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30780" yWindow="135" windowWidth="20730" windowHeight="11310" activeTab="2"/>
  </bookViews>
  <sheets>
    <sheet name="7PSourceSummary" sheetId="20" r:id="rId1"/>
    <sheet name="forRPM" sheetId="45" r:id="rId2"/>
    <sheet name="SC-Retro" sheetId="8" r:id="rId3"/>
    <sheet name="Accomplishments" sheetId="23" r:id="rId4"/>
    <sheet name="M_Input_Out" sheetId="22" r:id="rId5"/>
    <sheet name="M_Input" sheetId="3" r:id="rId6"/>
    <sheet name="Composite" sheetId="43" r:id="rId7"/>
    <sheet name="Pump Sizes" sheetId="44" r:id="rId8"/>
    <sheet name="Raw" sheetId="18" r:id="rId9"/>
    <sheet name="SavingsAnalysis" sheetId="40" r:id="rId10"/>
    <sheet name="CostAnalysis" sheetId="41" r:id="rId11"/>
    <sheet name="Life" sheetId="42" r:id="rId12"/>
  </sheets>
  <externalReferences>
    <externalReference r:id="rId13"/>
    <externalReference r:id="rId14"/>
    <externalReference r:id="rId15"/>
  </externalReferences>
  <definedNames>
    <definedName name="_xlnm._FilterDatabase" localSheetId="3" hidden="1">Accomplishments!$A$1:$G$57</definedName>
    <definedName name="_Key1" localSheetId="0" hidden="1">#REF!</definedName>
    <definedName name="_Key1" localSheetId="1" hidden="1">#REF!</definedName>
    <definedName name="_Key1" localSheetId="2" hidden="1">#REF!</definedName>
    <definedName name="_Key1" hidden="1">#REF!</definedName>
    <definedName name="_Key1old" localSheetId="0" hidden="1">#REF!</definedName>
    <definedName name="_Key1old" hidden="1">#REF!</definedName>
    <definedName name="_Order1" hidden="1">255</definedName>
    <definedName name="_Sort" localSheetId="0" hidden="1">#REF!</definedName>
    <definedName name="_Sort" localSheetId="1" hidden="1">#REF!</definedName>
    <definedName name="_Sort" localSheetId="2" hidden="1">#REF!</definedName>
    <definedName name="_Sort" hidden="1">#REF!</definedName>
    <definedName name="_SortOld" localSheetId="0" hidden="1">#REF!</definedName>
    <definedName name="_SortOld" hidden="1">#REF!</definedName>
    <definedName name="AgBase">'[1]Ag Forecast (Base Case)'!$C$26:$BB$29</definedName>
    <definedName name="anscount" hidden="1">1</definedName>
    <definedName name="CBWorkbookPriority" hidden="1">-738590518</definedName>
    <definedName name="Deflator">CostAnalysis!$C$6</definedName>
    <definedName name="limcount" hidden="1">1</definedName>
    <definedName name="MeasureOutput">M_Input_Out!$A$4:$AM$200</definedName>
    <definedName name="sencount" hidden="1">1</definedName>
    <definedName name="sort" localSheetId="1" hidden="1">#REF!</definedName>
    <definedName name="sort" hidden="1">#REF!</definedName>
  </definedNames>
  <calcPr calcId="125725"/>
</workbook>
</file>

<file path=xl/calcChain.xml><?xml version="1.0" encoding="utf-8"?>
<calcChain xmlns="http://schemas.openxmlformats.org/spreadsheetml/2006/main">
  <c r="D9" i="8"/>
  <c r="N12" i="41" l="1"/>
  <c r="N13"/>
  <c r="N14"/>
  <c r="N15"/>
  <c r="N16"/>
  <c r="N17"/>
  <c r="N18"/>
  <c r="N19"/>
  <c r="N20"/>
  <c r="N21"/>
  <c r="N22"/>
  <c r="N23"/>
  <c r="N24"/>
  <c r="N25"/>
  <c r="N26"/>
  <c r="N27"/>
  <c r="N28"/>
  <c r="N29"/>
  <c r="N30"/>
  <c r="N31"/>
  <c r="N32"/>
  <c r="N33"/>
  <c r="N34"/>
  <c r="N35"/>
  <c r="N36"/>
  <c r="N37"/>
  <c r="N38"/>
  <c r="N39"/>
  <c r="N40"/>
  <c r="N41"/>
  <c r="N42"/>
  <c r="N43"/>
  <c r="N44"/>
  <c r="N45"/>
  <c r="N46"/>
  <c r="N11"/>
  <c r="E40" i="8"/>
  <c r="A27"/>
  <c r="C9" l="1"/>
  <c r="H8" i="43"/>
  <c r="H9"/>
  <c r="H10"/>
  <c r="H11"/>
  <c r="H12"/>
  <c r="H13"/>
  <c r="H14"/>
  <c r="H15"/>
  <c r="H16"/>
  <c r="H17"/>
  <c r="H18"/>
  <c r="H19"/>
  <c r="H20"/>
  <c r="H21"/>
  <c r="H22"/>
  <c r="H23"/>
  <c r="H24"/>
  <c r="H25"/>
  <c r="H26"/>
  <c r="H27"/>
  <c r="H28"/>
  <c r="H29"/>
  <c r="H30"/>
  <c r="H31"/>
  <c r="H32"/>
  <c r="H33"/>
  <c r="H34"/>
  <c r="H35"/>
  <c r="H36"/>
  <c r="H37"/>
  <c r="H38"/>
  <c r="H39"/>
  <c r="H40"/>
  <c r="H41"/>
  <c r="A41" i="18"/>
  <c r="A31"/>
  <c r="A32"/>
  <c r="A33"/>
  <c r="A34"/>
  <c r="A35"/>
  <c r="A36"/>
  <c r="A37"/>
  <c r="A38"/>
  <c r="A39"/>
  <c r="A40"/>
  <c r="A30"/>
  <c r="A17"/>
  <c r="A18"/>
  <c r="A19"/>
  <c r="A20"/>
  <c r="A21"/>
  <c r="A22"/>
  <c r="A23"/>
  <c r="A24"/>
  <c r="A25"/>
  <c r="A26"/>
  <c r="A27"/>
  <c r="A28"/>
  <c r="A29"/>
  <c r="A16"/>
  <c r="A9"/>
  <c r="A10"/>
  <c r="A11"/>
  <c r="A12"/>
  <c r="A13"/>
  <c r="A14"/>
  <c r="A15"/>
  <c r="A8"/>
  <c r="A9" i="8"/>
  <c r="E8" i="45" s="1"/>
  <c r="BC10"/>
  <c r="AU10"/>
  <c r="AL10"/>
  <c r="BA8"/>
  <c r="AS8"/>
  <c r="AJ8"/>
  <c r="AZ6"/>
  <c r="AQ6"/>
  <c r="AI6"/>
  <c r="AX4"/>
  <c r="AO4"/>
  <c r="AG4"/>
  <c r="J10"/>
  <c r="I10"/>
  <c r="BD10" s="1"/>
  <c r="J9"/>
  <c r="I9"/>
  <c r="AZ9" s="1"/>
  <c r="J8"/>
  <c r="I8"/>
  <c r="BC8" s="1"/>
  <c r="J7"/>
  <c r="I7"/>
  <c r="BB7" s="1"/>
  <c r="J6"/>
  <c r="I6"/>
  <c r="BD6" s="1"/>
  <c r="J5"/>
  <c r="I5"/>
  <c r="AZ5" s="1"/>
  <c r="J4"/>
  <c r="I4"/>
  <c r="BC4" s="1"/>
  <c r="J3"/>
  <c r="I3"/>
  <c r="BB3" s="1"/>
  <c r="C10"/>
  <c r="A10" s="1"/>
  <c r="B10"/>
  <c r="C9"/>
  <c r="B9"/>
  <c r="C8"/>
  <c r="B8"/>
  <c r="C7"/>
  <c r="B7"/>
  <c r="A7" s="1"/>
  <c r="C6"/>
  <c r="A6" s="1"/>
  <c r="B6"/>
  <c r="C5"/>
  <c r="B5"/>
  <c r="C4"/>
  <c r="B4"/>
  <c r="C3"/>
  <c r="B3"/>
  <c r="A3" s="1"/>
  <c r="A8"/>
  <c r="AD2"/>
  <c r="AC2"/>
  <c r="AB2"/>
  <c r="AA2"/>
  <c r="Z2"/>
  <c r="Y2"/>
  <c r="X2"/>
  <c r="W2"/>
  <c r="V2"/>
  <c r="U2"/>
  <c r="T2"/>
  <c r="S2"/>
  <c r="R2"/>
  <c r="Q2"/>
  <c r="P2"/>
  <c r="O2"/>
  <c r="N2"/>
  <c r="M2"/>
  <c r="L2"/>
  <c r="K2"/>
  <c r="AF4" l="1"/>
  <c r="AN4"/>
  <c r="AW4"/>
  <c r="AH6"/>
  <c r="AP6"/>
  <c r="AY6"/>
  <c r="AG8"/>
  <c r="AO8"/>
  <c r="AX8"/>
  <c r="AI10"/>
  <c r="AQ10"/>
  <c r="AZ10"/>
  <c r="F4"/>
  <c r="AK4"/>
  <c r="AT4"/>
  <c r="BB4"/>
  <c r="AM6"/>
  <c r="AV6"/>
  <c r="AF8"/>
  <c r="AN8"/>
  <c r="AW8"/>
  <c r="AH10"/>
  <c r="AP10"/>
  <c r="AY10"/>
  <c r="BD4"/>
  <c r="F8"/>
  <c r="AJ4"/>
  <c r="AS4"/>
  <c r="BA4"/>
  <c r="AL6"/>
  <c r="AU6"/>
  <c r="BC6"/>
  <c r="AK8"/>
  <c r="AT8"/>
  <c r="BB8"/>
  <c r="AM10"/>
  <c r="AV10"/>
  <c r="BD8"/>
  <c r="E3"/>
  <c r="AH5"/>
  <c r="AL5"/>
  <c r="AP5"/>
  <c r="AU5"/>
  <c r="AY5"/>
  <c r="BC5"/>
  <c r="AJ7"/>
  <c r="AN7"/>
  <c r="AW7"/>
  <c r="BA7"/>
  <c r="AM3"/>
  <c r="AV3"/>
  <c r="AZ3"/>
  <c r="AG5"/>
  <c r="AO5"/>
  <c r="AT5"/>
  <c r="AX5"/>
  <c r="BB5"/>
  <c r="AQ7"/>
  <c r="A4"/>
  <c r="F9"/>
  <c r="F5"/>
  <c r="AH3"/>
  <c r="AL3"/>
  <c r="AP3"/>
  <c r="AU3"/>
  <c r="AY3"/>
  <c r="BC3"/>
  <c r="AI4"/>
  <c r="AM4"/>
  <c r="AQ4"/>
  <c r="AV4"/>
  <c r="AZ4"/>
  <c r="AF5"/>
  <c r="AJ5"/>
  <c r="AN5"/>
  <c r="AS5"/>
  <c r="AW5"/>
  <c r="BA5"/>
  <c r="AG6"/>
  <c r="AK6"/>
  <c r="AO6"/>
  <c r="AT6"/>
  <c r="AX6"/>
  <c r="BB6"/>
  <c r="AH7"/>
  <c r="AL7"/>
  <c r="AP7"/>
  <c r="AU7"/>
  <c r="AY7"/>
  <c r="BC7"/>
  <c r="AI8"/>
  <c r="AM8"/>
  <c r="AQ8"/>
  <c r="AV8"/>
  <c r="AZ8"/>
  <c r="AF9"/>
  <c r="AJ9"/>
  <c r="AN9"/>
  <c r="AS9"/>
  <c r="AW9"/>
  <c r="BA9"/>
  <c r="AG10"/>
  <c r="AK10"/>
  <c r="AO10"/>
  <c r="AT10"/>
  <c r="AX10"/>
  <c r="BB10"/>
  <c r="BD9"/>
  <c r="BD5"/>
  <c r="F3"/>
  <c r="F7"/>
  <c r="AF3"/>
  <c r="AJ3"/>
  <c r="AN3"/>
  <c r="AS3"/>
  <c r="AW3"/>
  <c r="BA3"/>
  <c r="AF7"/>
  <c r="AS7"/>
  <c r="AH9"/>
  <c r="AL9"/>
  <c r="AP9"/>
  <c r="AU9"/>
  <c r="AY9"/>
  <c r="BC9"/>
  <c r="BD3"/>
  <c r="BD7"/>
  <c r="AI3"/>
  <c r="AQ3"/>
  <c r="AK5"/>
  <c r="AI7"/>
  <c r="AM7"/>
  <c r="AV7"/>
  <c r="AZ7"/>
  <c r="AG9"/>
  <c r="AK9"/>
  <c r="AO9"/>
  <c r="AT9"/>
  <c r="AX9"/>
  <c r="BB9"/>
  <c r="A5"/>
  <c r="A9"/>
  <c r="F10"/>
  <c r="F6"/>
  <c r="AG3"/>
  <c r="AK3"/>
  <c r="AO3"/>
  <c r="AT3"/>
  <c r="AX3"/>
  <c r="AH4"/>
  <c r="AL4"/>
  <c r="AP4"/>
  <c r="AU4"/>
  <c r="AY4"/>
  <c r="AI5"/>
  <c r="AM5"/>
  <c r="AQ5"/>
  <c r="AV5"/>
  <c r="AF6"/>
  <c r="AJ6"/>
  <c r="AN6"/>
  <c r="AS6"/>
  <c r="AW6"/>
  <c r="BA6"/>
  <c r="AG7"/>
  <c r="AK7"/>
  <c r="AO7"/>
  <c r="AT7"/>
  <c r="AX7"/>
  <c r="AH8"/>
  <c r="AL8"/>
  <c r="AP8"/>
  <c r="AU8"/>
  <c r="AY8"/>
  <c r="AI9"/>
  <c r="AM9"/>
  <c r="AQ9"/>
  <c r="AV9"/>
  <c r="AF10"/>
  <c r="AJ10"/>
  <c r="AN10"/>
  <c r="AS10"/>
  <c r="AW10"/>
  <c r="BA10"/>
  <c r="E7"/>
  <c r="E10"/>
  <c r="E5"/>
  <c r="E9"/>
  <c r="E6"/>
  <c r="E4"/>
  <c r="B10" i="44"/>
  <c r="C10" s="1"/>
  <c r="B54" i="43" s="1"/>
  <c r="B9" i="44"/>
  <c r="C9" s="1"/>
  <c r="B53" i="43" s="1"/>
  <c r="B8" i="44"/>
  <c r="C8" s="1"/>
  <c r="B52" i="43" s="1"/>
  <c r="B7" i="44"/>
  <c r="C7" s="1"/>
  <c r="B51" i="43" s="1"/>
  <c r="B6" i="44"/>
  <c r="C6" s="1"/>
  <c r="B50" i="43" s="1"/>
  <c r="B5" i="44"/>
  <c r="C5" s="1"/>
  <c r="B49" i="43" s="1"/>
  <c r="B4" i="44"/>
  <c r="C4" s="1"/>
  <c r="B48" i="43" s="1"/>
  <c r="B3" i="44"/>
  <c r="C3" s="1"/>
  <c r="B47" i="43" s="1"/>
  <c r="E20" i="8"/>
  <c r="E19"/>
  <c r="E18"/>
  <c r="E17"/>
  <c r="E16"/>
  <c r="E15"/>
  <c r="E14"/>
  <c r="E13"/>
  <c r="A11"/>
  <c r="B14"/>
  <c r="B15"/>
  <c r="B16"/>
  <c r="B17"/>
  <c r="B18"/>
  <c r="B19"/>
  <c r="B20"/>
  <c r="B13"/>
  <c r="Z28"/>
  <c r="Z29"/>
  <c r="Z30"/>
  <c r="Z31"/>
  <c r="Z32"/>
  <c r="Z33"/>
  <c r="Z34"/>
  <c r="Z27"/>
  <c r="D48"/>
  <c r="D47"/>
  <c r="D46"/>
  <c r="D45"/>
  <c r="D44"/>
  <c r="D43"/>
  <c r="D42"/>
  <c r="D41"/>
  <c r="D59"/>
  <c r="D60"/>
  <c r="D61"/>
  <c r="D62"/>
  <c r="D63"/>
  <c r="D64"/>
  <c r="D65"/>
  <c r="D58"/>
  <c r="C45"/>
  <c r="C46"/>
  <c r="C47"/>
  <c r="C48"/>
  <c r="B16" i="3"/>
  <c r="C16"/>
  <c r="D16"/>
  <c r="E16"/>
  <c r="F16"/>
  <c r="G16"/>
  <c r="H16"/>
  <c r="A16"/>
  <c r="C16" i="43"/>
  <c r="A16" s="1"/>
  <c r="D16"/>
  <c r="I16"/>
  <c r="J16"/>
  <c r="K16"/>
  <c r="L16"/>
  <c r="M16"/>
  <c r="N16"/>
  <c r="O16"/>
  <c r="P16"/>
  <c r="C17"/>
  <c r="A17" s="1"/>
  <c r="D17"/>
  <c r="I17"/>
  <c r="J17"/>
  <c r="K17"/>
  <c r="L17"/>
  <c r="M17"/>
  <c r="N17"/>
  <c r="O17"/>
  <c r="P17"/>
  <c r="C18"/>
  <c r="A18" s="1"/>
  <c r="D18"/>
  <c r="I18"/>
  <c r="J18"/>
  <c r="K18"/>
  <c r="L18"/>
  <c r="M18"/>
  <c r="N18"/>
  <c r="O18"/>
  <c r="P18"/>
  <c r="C19"/>
  <c r="A19" s="1"/>
  <c r="D19"/>
  <c r="I19"/>
  <c r="J19"/>
  <c r="K19"/>
  <c r="L19"/>
  <c r="M19"/>
  <c r="N19"/>
  <c r="O19"/>
  <c r="P19"/>
  <c r="C20"/>
  <c r="A20" s="1"/>
  <c r="D20"/>
  <c r="I20"/>
  <c r="J20"/>
  <c r="K20"/>
  <c r="L20"/>
  <c r="M20"/>
  <c r="N20"/>
  <c r="O20"/>
  <c r="P20"/>
  <c r="C21"/>
  <c r="A21" s="1"/>
  <c r="D21"/>
  <c r="I21"/>
  <c r="J21"/>
  <c r="K21"/>
  <c r="L21"/>
  <c r="M21"/>
  <c r="N21"/>
  <c r="O21"/>
  <c r="P21"/>
  <c r="C22"/>
  <c r="A22" s="1"/>
  <c r="D22"/>
  <c r="I22"/>
  <c r="J22"/>
  <c r="K22"/>
  <c r="L22"/>
  <c r="M22"/>
  <c r="N22"/>
  <c r="O22"/>
  <c r="P22"/>
  <c r="C23"/>
  <c r="A23" s="1"/>
  <c r="D23"/>
  <c r="I23"/>
  <c r="J23"/>
  <c r="K23"/>
  <c r="L23"/>
  <c r="M23"/>
  <c r="N23"/>
  <c r="O23"/>
  <c r="P23"/>
  <c r="C24"/>
  <c r="A24" s="1"/>
  <c r="D24"/>
  <c r="I24"/>
  <c r="J24"/>
  <c r="K24"/>
  <c r="L24"/>
  <c r="M24"/>
  <c r="N24"/>
  <c r="O24"/>
  <c r="P24"/>
  <c r="C25"/>
  <c r="A25" s="1"/>
  <c r="B25" s="1"/>
  <c r="D25"/>
  <c r="I25"/>
  <c r="J25"/>
  <c r="K25"/>
  <c r="L25"/>
  <c r="M25"/>
  <c r="N25"/>
  <c r="O25"/>
  <c r="P25"/>
  <c r="C26"/>
  <c r="A26"/>
  <c r="B26" s="1"/>
  <c r="D26"/>
  <c r="I26"/>
  <c r="J26"/>
  <c r="K26"/>
  <c r="L26"/>
  <c r="M26"/>
  <c r="N26"/>
  <c r="O26"/>
  <c r="P26"/>
  <c r="C27"/>
  <c r="A27" s="1"/>
  <c r="D27"/>
  <c r="I27"/>
  <c r="J27"/>
  <c r="K27"/>
  <c r="L27"/>
  <c r="M27"/>
  <c r="N27"/>
  <c r="O27"/>
  <c r="P27"/>
  <c r="C28"/>
  <c r="A28" s="1"/>
  <c r="D28"/>
  <c r="I28"/>
  <c r="J28"/>
  <c r="K28"/>
  <c r="L28"/>
  <c r="M28"/>
  <c r="N28"/>
  <c r="O28"/>
  <c r="P28"/>
  <c r="C29"/>
  <c r="A29"/>
  <c r="D29"/>
  <c r="I29"/>
  <c r="J29"/>
  <c r="K29"/>
  <c r="L29"/>
  <c r="M29"/>
  <c r="N29"/>
  <c r="O29"/>
  <c r="P29"/>
  <c r="C30"/>
  <c r="A30" s="1"/>
  <c r="D30"/>
  <c r="I30"/>
  <c r="J30"/>
  <c r="K30"/>
  <c r="L30"/>
  <c r="M30"/>
  <c r="N30"/>
  <c r="O30"/>
  <c r="P30"/>
  <c r="C31"/>
  <c r="A31" s="1"/>
  <c r="D31"/>
  <c r="I31"/>
  <c r="J31"/>
  <c r="K31"/>
  <c r="L31"/>
  <c r="M31"/>
  <c r="N31"/>
  <c r="O31"/>
  <c r="P31"/>
  <c r="C32"/>
  <c r="A32" s="1"/>
  <c r="D32"/>
  <c r="I32"/>
  <c r="J32"/>
  <c r="K32"/>
  <c r="L32"/>
  <c r="M32"/>
  <c r="N32"/>
  <c r="O32"/>
  <c r="P32"/>
  <c r="C33"/>
  <c r="A33" s="1"/>
  <c r="D33"/>
  <c r="I33"/>
  <c r="J33"/>
  <c r="K33"/>
  <c r="L33"/>
  <c r="M33"/>
  <c r="N33"/>
  <c r="O33"/>
  <c r="P33"/>
  <c r="C34"/>
  <c r="A34" s="1"/>
  <c r="D34"/>
  <c r="I34"/>
  <c r="J34"/>
  <c r="K34"/>
  <c r="L34"/>
  <c r="M34"/>
  <c r="N34"/>
  <c r="O34"/>
  <c r="P34"/>
  <c r="C35"/>
  <c r="A35" s="1"/>
  <c r="B35" s="1"/>
  <c r="D35"/>
  <c r="I35"/>
  <c r="J35"/>
  <c r="K35"/>
  <c r="L35"/>
  <c r="M35"/>
  <c r="N35"/>
  <c r="O35"/>
  <c r="P35"/>
  <c r="C36"/>
  <c r="A36" s="1"/>
  <c r="D36"/>
  <c r="I36"/>
  <c r="J36"/>
  <c r="K36"/>
  <c r="L36"/>
  <c r="M36"/>
  <c r="N36"/>
  <c r="O36"/>
  <c r="P36"/>
  <c r="C37"/>
  <c r="A37" s="1"/>
  <c r="D37"/>
  <c r="I37"/>
  <c r="J37"/>
  <c r="K37"/>
  <c r="L37"/>
  <c r="M37"/>
  <c r="N37"/>
  <c r="O37"/>
  <c r="P37"/>
  <c r="C38"/>
  <c r="A38"/>
  <c r="B38" s="1"/>
  <c r="D38"/>
  <c r="I38"/>
  <c r="J38"/>
  <c r="K38"/>
  <c r="L38"/>
  <c r="M38"/>
  <c r="N38"/>
  <c r="O38"/>
  <c r="P38"/>
  <c r="C39"/>
  <c r="A39" s="1"/>
  <c r="D39"/>
  <c r="I39"/>
  <c r="J39"/>
  <c r="K39"/>
  <c r="L39"/>
  <c r="M39"/>
  <c r="N39"/>
  <c r="O39"/>
  <c r="P39"/>
  <c r="C40"/>
  <c r="A40" s="1"/>
  <c r="D40"/>
  <c r="I40"/>
  <c r="J40"/>
  <c r="K40"/>
  <c r="L40"/>
  <c r="M40"/>
  <c r="N40"/>
  <c r="O40"/>
  <c r="P40"/>
  <c r="C41"/>
  <c r="A41"/>
  <c r="B41" s="1"/>
  <c r="D41"/>
  <c r="I41"/>
  <c r="J41"/>
  <c r="K41"/>
  <c r="L41"/>
  <c r="M41"/>
  <c r="N41"/>
  <c r="O41"/>
  <c r="P41"/>
  <c r="D8"/>
  <c r="D9"/>
  <c r="D10"/>
  <c r="D11"/>
  <c r="D12"/>
  <c r="D13"/>
  <c r="D14"/>
  <c r="D15"/>
  <c r="C9"/>
  <c r="A9"/>
  <c r="C10"/>
  <c r="A10" s="1"/>
  <c r="C11"/>
  <c r="A11" s="1"/>
  <c r="C12"/>
  <c r="A12" s="1"/>
  <c r="C13"/>
  <c r="A13" s="1"/>
  <c r="C14"/>
  <c r="A14"/>
  <c r="B14" s="1"/>
  <c r="C15"/>
  <c r="A15" s="1"/>
  <c r="C8"/>
  <c r="A8" s="1"/>
  <c r="I8"/>
  <c r="J8"/>
  <c r="K8"/>
  <c r="L8"/>
  <c r="M8"/>
  <c r="N8"/>
  <c r="O8"/>
  <c r="P8"/>
  <c r="I9"/>
  <c r="J9"/>
  <c r="K9"/>
  <c r="L9"/>
  <c r="M9"/>
  <c r="N9"/>
  <c r="O9"/>
  <c r="P9"/>
  <c r="I10"/>
  <c r="J10"/>
  <c r="K10"/>
  <c r="L10"/>
  <c r="M10"/>
  <c r="N10"/>
  <c r="O10"/>
  <c r="P10"/>
  <c r="I11"/>
  <c r="J11"/>
  <c r="K11"/>
  <c r="L11"/>
  <c r="M11"/>
  <c r="N11"/>
  <c r="O11"/>
  <c r="P11"/>
  <c r="I12"/>
  <c r="J12"/>
  <c r="K12"/>
  <c r="L12"/>
  <c r="M12"/>
  <c r="N12"/>
  <c r="O12"/>
  <c r="P12"/>
  <c r="I13"/>
  <c r="J13"/>
  <c r="K13"/>
  <c r="L13"/>
  <c r="M13"/>
  <c r="N13"/>
  <c r="O13"/>
  <c r="P13"/>
  <c r="I14"/>
  <c r="J14"/>
  <c r="K14"/>
  <c r="L14"/>
  <c r="M14"/>
  <c r="N14"/>
  <c r="O14"/>
  <c r="P14"/>
  <c r="I15"/>
  <c r="J15"/>
  <c r="K15"/>
  <c r="L15"/>
  <c r="M15"/>
  <c r="N15"/>
  <c r="O15"/>
  <c r="P15"/>
  <c r="F9" i="18"/>
  <c r="F10"/>
  <c r="F11"/>
  <c r="F12"/>
  <c r="F13"/>
  <c r="F14"/>
  <c r="F15"/>
  <c r="F16"/>
  <c r="F17"/>
  <c r="F18"/>
  <c r="F19"/>
  <c r="F20"/>
  <c r="F21"/>
  <c r="F22"/>
  <c r="F23"/>
  <c r="F24"/>
  <c r="F25"/>
  <c r="F26"/>
  <c r="F27"/>
  <c r="F28"/>
  <c r="F29"/>
  <c r="F30"/>
  <c r="F31"/>
  <c r="F32"/>
  <c r="F33"/>
  <c r="F34"/>
  <c r="F35"/>
  <c r="F36"/>
  <c r="F37"/>
  <c r="F38"/>
  <c r="F39"/>
  <c r="F40"/>
  <c r="F41"/>
  <c r="F8"/>
  <c r="B44" i="42"/>
  <c r="D44"/>
  <c r="E41" i="18" s="1"/>
  <c r="B43" i="42"/>
  <c r="B42"/>
  <c r="D42" s="1"/>
  <c r="E39" i="18" s="1"/>
  <c r="B41" i="42"/>
  <c r="B40"/>
  <c r="D40" s="1"/>
  <c r="E37" i="18" s="1"/>
  <c r="B39" i="42"/>
  <c r="D39" s="1"/>
  <c r="E36" i="18" s="1"/>
  <c r="B38" i="42"/>
  <c r="D38" s="1"/>
  <c r="E35" i="18" s="1"/>
  <c r="B37" i="42"/>
  <c r="D37" s="1"/>
  <c r="E34" i="18" s="1"/>
  <c r="B36" i="42"/>
  <c r="D36" s="1"/>
  <c r="E33" i="18" s="1"/>
  <c r="B35" i="42"/>
  <c r="D35" s="1"/>
  <c r="E32" i="18" s="1"/>
  <c r="B34" i="42"/>
  <c r="B33"/>
  <c r="D33" s="1"/>
  <c r="E30" i="18" s="1"/>
  <c r="B32" i="42"/>
  <c r="D32"/>
  <c r="E29" i="18" s="1"/>
  <c r="B31" i="42"/>
  <c r="D31" s="1"/>
  <c r="E28" i="18" s="1"/>
  <c r="B30" i="42"/>
  <c r="B29"/>
  <c r="B28"/>
  <c r="D28"/>
  <c r="E25" i="18" s="1"/>
  <c r="B27" i="42"/>
  <c r="D27" s="1"/>
  <c r="E24" i="18" s="1"/>
  <c r="B26" i="42"/>
  <c r="B25"/>
  <c r="D25" s="1"/>
  <c r="E22" i="18" s="1"/>
  <c r="B24" i="42"/>
  <c r="D24" s="1"/>
  <c r="E21" i="18" s="1"/>
  <c r="B23" i="42"/>
  <c r="D23"/>
  <c r="E20" i="18" s="1"/>
  <c r="B22" i="42"/>
  <c r="B21"/>
  <c r="B20"/>
  <c r="D20"/>
  <c r="E17" i="18" s="1"/>
  <c r="B19" i="42"/>
  <c r="D19" s="1"/>
  <c r="E16" i="18" s="1"/>
  <c r="B18" i="42"/>
  <c r="D18" s="1"/>
  <c r="E15" i="18" s="1"/>
  <c r="B17" i="42"/>
  <c r="B16"/>
  <c r="D16" s="1"/>
  <c r="E13" i="18" s="1"/>
  <c r="B15" i="42"/>
  <c r="D15"/>
  <c r="E12" i="18" s="1"/>
  <c r="B14" i="42"/>
  <c r="B13"/>
  <c r="B12"/>
  <c r="D12"/>
  <c r="E9" i="18" s="1"/>
  <c r="B11" i="42"/>
  <c r="D11" s="1"/>
  <c r="E8" i="18" s="1"/>
  <c r="A44" i="42"/>
  <c r="D43"/>
  <c r="E40" i="18" s="1"/>
  <c r="A43" i="42"/>
  <c r="A42"/>
  <c r="D41"/>
  <c r="E38" i="18" s="1"/>
  <c r="A41" i="42"/>
  <c r="A40"/>
  <c r="A39"/>
  <c r="A38"/>
  <c r="A37"/>
  <c r="A36"/>
  <c r="A35"/>
  <c r="D34"/>
  <c r="E31" i="18" s="1"/>
  <c r="A34" i="42"/>
  <c r="A33"/>
  <c r="A32"/>
  <c r="A31"/>
  <c r="D30"/>
  <c r="E27" i="18" s="1"/>
  <c r="A30" i="42"/>
  <c r="D29"/>
  <c r="E26" i="18" s="1"/>
  <c r="A29" i="42"/>
  <c r="D26"/>
  <c r="E23" i="18" s="1"/>
  <c r="D22" i="42"/>
  <c r="E19" i="18" s="1"/>
  <c r="D21" i="42"/>
  <c r="E18" i="18" s="1"/>
  <c r="D17" i="42"/>
  <c r="E14" i="18" s="1"/>
  <c r="D14" i="42"/>
  <c r="E11" i="18" s="1"/>
  <c r="D13" i="42"/>
  <c r="E10" i="18" s="1"/>
  <c r="D9"/>
  <c r="D10"/>
  <c r="D11"/>
  <c r="D12"/>
  <c r="D13"/>
  <c r="D14"/>
  <c r="D15"/>
  <c r="D16"/>
  <c r="D17"/>
  <c r="D18"/>
  <c r="D19"/>
  <c r="D20"/>
  <c r="D21"/>
  <c r="D22"/>
  <c r="D23"/>
  <c r="D24"/>
  <c r="D25"/>
  <c r="D26"/>
  <c r="D27"/>
  <c r="D28"/>
  <c r="D29"/>
  <c r="D30"/>
  <c r="D31"/>
  <c r="D32"/>
  <c r="D33"/>
  <c r="D34"/>
  <c r="D35"/>
  <c r="D36"/>
  <c r="D37"/>
  <c r="D38"/>
  <c r="D39"/>
  <c r="D40"/>
  <c r="D41"/>
  <c r="D8"/>
  <c r="B9"/>
  <c r="B10"/>
  <c r="B11"/>
  <c r="B12"/>
  <c r="B13"/>
  <c r="B14"/>
  <c r="B15"/>
  <c r="B16"/>
  <c r="B17"/>
  <c r="B18"/>
  <c r="B19"/>
  <c r="B20"/>
  <c r="B21"/>
  <c r="B22"/>
  <c r="B23"/>
  <c r="B24"/>
  <c r="B25"/>
  <c r="B26"/>
  <c r="B27"/>
  <c r="B28"/>
  <c r="B29"/>
  <c r="B30"/>
  <c r="B31"/>
  <c r="B32"/>
  <c r="B33"/>
  <c r="B34"/>
  <c r="B35"/>
  <c r="B36"/>
  <c r="B37"/>
  <c r="B38"/>
  <c r="B39"/>
  <c r="B40"/>
  <c r="B41"/>
  <c r="B8"/>
  <c r="L70" i="41"/>
  <c r="M70"/>
  <c r="J70"/>
  <c r="C70"/>
  <c r="D70"/>
  <c r="E70"/>
  <c r="M46"/>
  <c r="M69"/>
  <c r="L69"/>
  <c r="J69"/>
  <c r="E69"/>
  <c r="M45"/>
  <c r="D69"/>
  <c r="C69"/>
  <c r="L68"/>
  <c r="M68"/>
  <c r="J68"/>
  <c r="C68"/>
  <c r="D68"/>
  <c r="E68"/>
  <c r="M44"/>
  <c r="M67"/>
  <c r="L67"/>
  <c r="J67"/>
  <c r="E67"/>
  <c r="M43"/>
  <c r="D67"/>
  <c r="C67"/>
  <c r="L66"/>
  <c r="M66"/>
  <c r="J66"/>
  <c r="C66"/>
  <c r="D66"/>
  <c r="E66"/>
  <c r="M42"/>
  <c r="M65"/>
  <c r="L65"/>
  <c r="J65"/>
  <c r="E65"/>
  <c r="M41"/>
  <c r="D65"/>
  <c r="C65"/>
  <c r="L64"/>
  <c r="M64"/>
  <c r="J64"/>
  <c r="C64"/>
  <c r="D64"/>
  <c r="E64"/>
  <c r="M40"/>
  <c r="M63"/>
  <c r="L63"/>
  <c r="J63"/>
  <c r="E63"/>
  <c r="M39"/>
  <c r="D63"/>
  <c r="C63"/>
  <c r="L62"/>
  <c r="M62"/>
  <c r="J62"/>
  <c r="C62"/>
  <c r="D62"/>
  <c r="E62"/>
  <c r="M38"/>
  <c r="M61"/>
  <c r="L61"/>
  <c r="J61"/>
  <c r="E61"/>
  <c r="M37"/>
  <c r="D61"/>
  <c r="C61"/>
  <c r="L60"/>
  <c r="M60"/>
  <c r="J60"/>
  <c r="C60"/>
  <c r="D60"/>
  <c r="E60"/>
  <c r="M36"/>
  <c r="M59"/>
  <c r="L59"/>
  <c r="J59"/>
  <c r="E59"/>
  <c r="M35"/>
  <c r="D59"/>
  <c r="C59"/>
  <c r="L58"/>
  <c r="M58"/>
  <c r="J58"/>
  <c r="C58"/>
  <c r="D58"/>
  <c r="E58"/>
  <c r="M34"/>
  <c r="M57"/>
  <c r="L57"/>
  <c r="J57"/>
  <c r="E57"/>
  <c r="M33"/>
  <c r="D57"/>
  <c r="C57"/>
  <c r="L56"/>
  <c r="M56"/>
  <c r="J56"/>
  <c r="C56"/>
  <c r="D56"/>
  <c r="E56"/>
  <c r="M32"/>
  <c r="M55"/>
  <c r="L55"/>
  <c r="J55"/>
  <c r="E55"/>
  <c r="M31"/>
  <c r="D55"/>
  <c r="C55"/>
  <c r="K46"/>
  <c r="K45"/>
  <c r="K44"/>
  <c r="K43"/>
  <c r="K42"/>
  <c r="K41"/>
  <c r="K40"/>
  <c r="K39"/>
  <c r="K38"/>
  <c r="K37"/>
  <c r="K36"/>
  <c r="K35"/>
  <c r="K34"/>
  <c r="K33"/>
  <c r="K32"/>
  <c r="K31"/>
  <c r="K30"/>
  <c r="J30"/>
  <c r="I30"/>
  <c r="H30"/>
  <c r="M30"/>
  <c r="K29"/>
  <c r="J29"/>
  <c r="I29"/>
  <c r="H29"/>
  <c r="M29"/>
  <c r="K28"/>
  <c r="J28"/>
  <c r="I28"/>
  <c r="H28"/>
  <c r="M28"/>
  <c r="K27"/>
  <c r="J27"/>
  <c r="I27"/>
  <c r="H27"/>
  <c r="M27"/>
  <c r="K26"/>
  <c r="J26"/>
  <c r="I26"/>
  <c r="H26"/>
  <c r="M26"/>
  <c r="K25"/>
  <c r="J25"/>
  <c r="I25"/>
  <c r="H25"/>
  <c r="M25"/>
  <c r="K24"/>
  <c r="J24"/>
  <c r="I24"/>
  <c r="H24"/>
  <c r="M24"/>
  <c r="K23"/>
  <c r="J23"/>
  <c r="I23"/>
  <c r="H23"/>
  <c r="M23"/>
  <c r="K22"/>
  <c r="J22"/>
  <c r="I22"/>
  <c r="H22"/>
  <c r="M22"/>
  <c r="K21"/>
  <c r="J21"/>
  <c r="I21"/>
  <c r="H21"/>
  <c r="M21"/>
  <c r="K20"/>
  <c r="J20"/>
  <c r="I20"/>
  <c r="H20"/>
  <c r="M20"/>
  <c r="K19"/>
  <c r="J19"/>
  <c r="I19"/>
  <c r="H19"/>
  <c r="M19"/>
  <c r="K18"/>
  <c r="J18"/>
  <c r="I18"/>
  <c r="H18"/>
  <c r="M18"/>
  <c r="M17"/>
  <c r="K17"/>
  <c r="J17"/>
  <c r="I17"/>
  <c r="H17"/>
  <c r="K16"/>
  <c r="J16"/>
  <c r="I16"/>
  <c r="H16"/>
  <c r="M16"/>
  <c r="K15"/>
  <c r="J15"/>
  <c r="I15"/>
  <c r="H15"/>
  <c r="K14"/>
  <c r="J14"/>
  <c r="I14"/>
  <c r="H14"/>
  <c r="K13"/>
  <c r="J13"/>
  <c r="I13"/>
  <c r="H13"/>
  <c r="M13"/>
  <c r="K12"/>
  <c r="J12"/>
  <c r="I12"/>
  <c r="H12"/>
  <c r="M12"/>
  <c r="K11"/>
  <c r="J11"/>
  <c r="I11"/>
  <c r="H11"/>
  <c r="M11"/>
  <c r="K46" i="40"/>
  <c r="K45"/>
  <c r="K44"/>
  <c r="K43"/>
  <c r="K42"/>
  <c r="K41"/>
  <c r="K40"/>
  <c r="K39"/>
  <c r="K38"/>
  <c r="K37"/>
  <c r="B37"/>
  <c r="K36"/>
  <c r="C36"/>
  <c r="Q36"/>
  <c r="K35"/>
  <c r="K34"/>
  <c r="K33"/>
  <c r="K32"/>
  <c r="C32"/>
  <c r="C33"/>
  <c r="C34"/>
  <c r="B32"/>
  <c r="Q32"/>
  <c r="W31"/>
  <c r="AC31"/>
  <c r="AI31"/>
  <c r="AJ31"/>
  <c r="Q31"/>
  <c r="K31"/>
  <c r="P30"/>
  <c r="O30"/>
  <c r="N30"/>
  <c r="M30"/>
  <c r="L30"/>
  <c r="K30"/>
  <c r="P29"/>
  <c r="O29"/>
  <c r="N29"/>
  <c r="M29"/>
  <c r="L29"/>
  <c r="K29"/>
  <c r="P28"/>
  <c r="O28"/>
  <c r="N28"/>
  <c r="M28"/>
  <c r="L28"/>
  <c r="K28"/>
  <c r="P27"/>
  <c r="O27"/>
  <c r="N27"/>
  <c r="M27"/>
  <c r="L27"/>
  <c r="K27"/>
  <c r="S26"/>
  <c r="P26"/>
  <c r="O26"/>
  <c r="AA26"/>
  <c r="N26"/>
  <c r="M26"/>
  <c r="L26"/>
  <c r="K26"/>
  <c r="W26"/>
  <c r="C26"/>
  <c r="Z26"/>
  <c r="B26"/>
  <c r="AB26"/>
  <c r="AA25"/>
  <c r="AG25"/>
  <c r="V25"/>
  <c r="U25"/>
  <c r="T25"/>
  <c r="S25"/>
  <c r="R25"/>
  <c r="Q25"/>
  <c r="P25"/>
  <c r="AB25"/>
  <c r="AH25"/>
  <c r="O25"/>
  <c r="N25"/>
  <c r="Z25"/>
  <c r="AF25"/>
  <c r="M25"/>
  <c r="Y25"/>
  <c r="AE25"/>
  <c r="L25"/>
  <c r="X25"/>
  <c r="AD25"/>
  <c r="K25"/>
  <c r="W25"/>
  <c r="AC25"/>
  <c r="AI25"/>
  <c r="AJ25"/>
  <c r="Y24"/>
  <c r="P24"/>
  <c r="O24"/>
  <c r="N24"/>
  <c r="M24"/>
  <c r="L24"/>
  <c r="K24"/>
  <c r="B24"/>
  <c r="Q24"/>
  <c r="Y23"/>
  <c r="U23"/>
  <c r="P23"/>
  <c r="O23"/>
  <c r="N23"/>
  <c r="M23"/>
  <c r="L23"/>
  <c r="K23"/>
  <c r="C23"/>
  <c r="C24"/>
  <c r="B23"/>
  <c r="V22"/>
  <c r="U22"/>
  <c r="AG22"/>
  <c r="T22"/>
  <c r="S22"/>
  <c r="R22"/>
  <c r="Q22"/>
  <c r="AC22"/>
  <c r="P22"/>
  <c r="AB22"/>
  <c r="AH22"/>
  <c r="O22"/>
  <c r="AA22"/>
  <c r="N22"/>
  <c r="Z22"/>
  <c r="AF22"/>
  <c r="M22"/>
  <c r="Y22"/>
  <c r="AE22"/>
  <c r="L22"/>
  <c r="X22"/>
  <c r="AD22"/>
  <c r="K22"/>
  <c r="W22"/>
  <c r="P21"/>
  <c r="O21"/>
  <c r="N21"/>
  <c r="M21"/>
  <c r="L21"/>
  <c r="K21"/>
  <c r="S20"/>
  <c r="P20"/>
  <c r="O20"/>
  <c r="AA20"/>
  <c r="N20"/>
  <c r="M20"/>
  <c r="L20"/>
  <c r="K20"/>
  <c r="W20"/>
  <c r="C20"/>
  <c r="Z20"/>
  <c r="B20"/>
  <c r="AB20"/>
  <c r="AA19"/>
  <c r="AG19"/>
  <c r="V19"/>
  <c r="U19"/>
  <c r="T19"/>
  <c r="S19"/>
  <c r="R19"/>
  <c r="Q19"/>
  <c r="P19"/>
  <c r="AB19"/>
  <c r="AH19"/>
  <c r="O19"/>
  <c r="N19"/>
  <c r="Z19"/>
  <c r="AF19"/>
  <c r="M19"/>
  <c r="Y19"/>
  <c r="AE19"/>
  <c r="L19"/>
  <c r="X19"/>
  <c r="AD19"/>
  <c r="K19"/>
  <c r="W19"/>
  <c r="AC19"/>
  <c r="P18"/>
  <c r="O18"/>
  <c r="N18"/>
  <c r="M18"/>
  <c r="L18"/>
  <c r="K18"/>
  <c r="Y17"/>
  <c r="P17"/>
  <c r="O17"/>
  <c r="N17"/>
  <c r="M17"/>
  <c r="L17"/>
  <c r="K17"/>
  <c r="B17"/>
  <c r="Y16"/>
  <c r="U16"/>
  <c r="P16"/>
  <c r="O16"/>
  <c r="N16"/>
  <c r="M16"/>
  <c r="L16"/>
  <c r="K16"/>
  <c r="C16"/>
  <c r="C17"/>
  <c r="C18"/>
  <c r="B16"/>
  <c r="V15"/>
  <c r="U15"/>
  <c r="AG15"/>
  <c r="T15"/>
  <c r="S15"/>
  <c r="R15"/>
  <c r="Q15"/>
  <c r="AC15"/>
  <c r="P15"/>
  <c r="AB15"/>
  <c r="AH15"/>
  <c r="O15"/>
  <c r="AA15"/>
  <c r="N15"/>
  <c r="Z15"/>
  <c r="AF15"/>
  <c r="M15"/>
  <c r="Y15"/>
  <c r="AE15"/>
  <c r="L15"/>
  <c r="X15"/>
  <c r="AD15"/>
  <c r="K15"/>
  <c r="W15"/>
  <c r="S14"/>
  <c r="P14"/>
  <c r="O14"/>
  <c r="AA14"/>
  <c r="N14"/>
  <c r="M14"/>
  <c r="L14"/>
  <c r="K14"/>
  <c r="W14"/>
  <c r="C14"/>
  <c r="V14"/>
  <c r="B14"/>
  <c r="AB14"/>
  <c r="AA13"/>
  <c r="AG13"/>
  <c r="V13"/>
  <c r="U13"/>
  <c r="T13"/>
  <c r="S13"/>
  <c r="R13"/>
  <c r="Q13"/>
  <c r="P13"/>
  <c r="AB13"/>
  <c r="AH13"/>
  <c r="O13"/>
  <c r="N13"/>
  <c r="Z13"/>
  <c r="AF13"/>
  <c r="M13"/>
  <c r="Y13"/>
  <c r="AE13"/>
  <c r="L13"/>
  <c r="X13"/>
  <c r="AD13"/>
  <c r="K13"/>
  <c r="W13"/>
  <c r="AC13"/>
  <c r="AI13"/>
  <c r="AJ13"/>
  <c r="O13" i="41"/>
  <c r="AG20" i="40"/>
  <c r="AI15"/>
  <c r="AJ15"/>
  <c r="AI22"/>
  <c r="AJ22"/>
  <c r="AC14"/>
  <c r="AI19"/>
  <c r="AJ19"/>
  <c r="AC20"/>
  <c r="AG14"/>
  <c r="O18" i="41"/>
  <c r="O20"/>
  <c r="O22"/>
  <c r="O24"/>
  <c r="O26"/>
  <c r="O27"/>
  <c r="O28"/>
  <c r="O30"/>
  <c r="O35"/>
  <c r="O36"/>
  <c r="O43"/>
  <c r="O44"/>
  <c r="O16"/>
  <c r="O34"/>
  <c r="O41"/>
  <c r="O42"/>
  <c r="Z17" i="40"/>
  <c r="V17"/>
  <c r="R17"/>
  <c r="AB17"/>
  <c r="AH17"/>
  <c r="AA17"/>
  <c r="W17"/>
  <c r="S17"/>
  <c r="AE17"/>
  <c r="X17"/>
  <c r="T17"/>
  <c r="Z16"/>
  <c r="V16"/>
  <c r="R16"/>
  <c r="AB16"/>
  <c r="T16"/>
  <c r="AA16"/>
  <c r="AG16"/>
  <c r="W16"/>
  <c r="AC16"/>
  <c r="S16"/>
  <c r="X16"/>
  <c r="Z23"/>
  <c r="V23"/>
  <c r="R23"/>
  <c r="AB23"/>
  <c r="T23"/>
  <c r="AA23"/>
  <c r="AG23"/>
  <c r="W23"/>
  <c r="S23"/>
  <c r="X23"/>
  <c r="AD23"/>
  <c r="O37" i="41"/>
  <c r="O38"/>
  <c r="O45"/>
  <c r="O46"/>
  <c r="AE23" i="40"/>
  <c r="O11" i="41"/>
  <c r="U17" i="40"/>
  <c r="U24"/>
  <c r="AH14"/>
  <c r="Q16"/>
  <c r="Q17"/>
  <c r="Q23"/>
  <c r="W32"/>
  <c r="AC32"/>
  <c r="AI32"/>
  <c r="AJ32"/>
  <c r="M14" i="41"/>
  <c r="M71"/>
  <c r="O12"/>
  <c r="O19"/>
  <c r="O21"/>
  <c r="O23"/>
  <c r="O25"/>
  <c r="O29"/>
  <c r="O17"/>
  <c r="O33"/>
  <c r="Z24" i="40"/>
  <c r="V24"/>
  <c r="R24"/>
  <c r="X24"/>
  <c r="AA24"/>
  <c r="AG24"/>
  <c r="W24"/>
  <c r="AC24"/>
  <c r="S24"/>
  <c r="AE24"/>
  <c r="AB24"/>
  <c r="T24"/>
  <c r="O31" i="41"/>
  <c r="O32"/>
  <c r="O39"/>
  <c r="O40"/>
  <c r="AE16" i="40"/>
  <c r="B18"/>
  <c r="B33"/>
  <c r="M15" i="41"/>
  <c r="R14" i="40"/>
  <c r="Z14"/>
  <c r="AF14"/>
  <c r="V20"/>
  <c r="AH20"/>
  <c r="C21"/>
  <c r="V26"/>
  <c r="AH26"/>
  <c r="C27"/>
  <c r="C28"/>
  <c r="C29"/>
  <c r="C30"/>
  <c r="Q14"/>
  <c r="U14"/>
  <c r="Y14"/>
  <c r="AE14"/>
  <c r="Q20"/>
  <c r="U20"/>
  <c r="Y20"/>
  <c r="AE20"/>
  <c r="B21"/>
  <c r="Q26"/>
  <c r="AC26"/>
  <c r="AI26"/>
  <c r="AJ26"/>
  <c r="U26"/>
  <c r="AG26"/>
  <c r="Y26"/>
  <c r="AE26"/>
  <c r="B27"/>
  <c r="W36"/>
  <c r="AC36"/>
  <c r="AI36"/>
  <c r="AJ36"/>
  <c r="B38"/>
  <c r="R20"/>
  <c r="R26"/>
  <c r="C37"/>
  <c r="C38"/>
  <c r="C39"/>
  <c r="C40"/>
  <c r="C41"/>
  <c r="C42"/>
  <c r="C43"/>
  <c r="C44"/>
  <c r="C45"/>
  <c r="C46"/>
  <c r="T14"/>
  <c r="X14"/>
  <c r="AD14"/>
  <c r="T20"/>
  <c r="AF20"/>
  <c r="X20"/>
  <c r="T26"/>
  <c r="AF26"/>
  <c r="X26"/>
  <c r="AD26"/>
  <c r="Q33"/>
  <c r="B34"/>
  <c r="W33"/>
  <c r="AC33"/>
  <c r="AI33"/>
  <c r="AJ33"/>
  <c r="Q38"/>
  <c r="B39"/>
  <c r="W38"/>
  <c r="AC38"/>
  <c r="AI38"/>
  <c r="AJ38"/>
  <c r="O15" i="41"/>
  <c r="AF24" i="40"/>
  <c r="AF23"/>
  <c r="AD17"/>
  <c r="W37"/>
  <c r="AC37"/>
  <c r="AI37"/>
  <c r="AJ37"/>
  <c r="AH24"/>
  <c r="AI24"/>
  <c r="AJ24"/>
  <c r="AD24"/>
  <c r="AH23"/>
  <c r="AD16"/>
  <c r="AI16"/>
  <c r="AJ16"/>
  <c r="AF16"/>
  <c r="AC17"/>
  <c r="AB27"/>
  <c r="AH27"/>
  <c r="X27"/>
  <c r="T27"/>
  <c r="V27"/>
  <c r="B28"/>
  <c r="Y27"/>
  <c r="AE27"/>
  <c r="U27"/>
  <c r="Q27"/>
  <c r="Z27"/>
  <c r="R27"/>
  <c r="S27"/>
  <c r="W27"/>
  <c r="AC27"/>
  <c r="AA27"/>
  <c r="AB21"/>
  <c r="AH21"/>
  <c r="X21"/>
  <c r="T21"/>
  <c r="V21"/>
  <c r="Y21"/>
  <c r="AE21"/>
  <c r="U21"/>
  <c r="Q21"/>
  <c r="Z21"/>
  <c r="AF21"/>
  <c r="R21"/>
  <c r="W21"/>
  <c r="AC21"/>
  <c r="AA21"/>
  <c r="S21"/>
  <c r="Z18"/>
  <c r="V18"/>
  <c r="R18"/>
  <c r="X18"/>
  <c r="AD18"/>
  <c r="AA18"/>
  <c r="AG18"/>
  <c r="W18"/>
  <c r="AC18"/>
  <c r="S18"/>
  <c r="AB18"/>
  <c r="T18"/>
  <c r="Y18"/>
  <c r="AE18"/>
  <c r="Q18"/>
  <c r="U18"/>
  <c r="O14" i="41"/>
  <c r="AI14" i="40"/>
  <c r="AJ14"/>
  <c r="AD20"/>
  <c r="AI20"/>
  <c r="AJ20"/>
  <c r="Q37"/>
  <c r="AC23"/>
  <c r="AH16"/>
  <c r="AG17"/>
  <c r="AF17"/>
  <c r="AB28"/>
  <c r="AH28"/>
  <c r="X28"/>
  <c r="T28"/>
  <c r="Z28"/>
  <c r="AF28"/>
  <c r="R28"/>
  <c r="B29"/>
  <c r="Y28"/>
  <c r="U28"/>
  <c r="Q28"/>
  <c r="V28"/>
  <c r="S28"/>
  <c r="W28"/>
  <c r="AA28"/>
  <c r="AG28"/>
  <c r="Q39"/>
  <c r="B40"/>
  <c r="W39"/>
  <c r="AD27"/>
  <c r="AI27"/>
  <c r="AJ27"/>
  <c r="AD21"/>
  <c r="AH18"/>
  <c r="AG27"/>
  <c r="AF27"/>
  <c r="Q34"/>
  <c r="W34"/>
  <c r="AC34"/>
  <c r="AI34"/>
  <c r="AJ34"/>
  <c r="B35"/>
  <c r="AF18"/>
  <c r="AI18"/>
  <c r="AJ18"/>
  <c r="AI23"/>
  <c r="AJ23"/>
  <c r="AG21"/>
  <c r="AI21"/>
  <c r="AJ21"/>
  <c r="AI17"/>
  <c r="AJ17"/>
  <c r="Q35"/>
  <c r="W35"/>
  <c r="AC35"/>
  <c r="AI35"/>
  <c r="AJ35"/>
  <c r="Q40"/>
  <c r="B41"/>
  <c r="W40"/>
  <c r="AC40"/>
  <c r="AI40"/>
  <c r="AJ40"/>
  <c r="AD28"/>
  <c r="AE28"/>
  <c r="AB29"/>
  <c r="AH29"/>
  <c r="X29"/>
  <c r="T29"/>
  <c r="V29"/>
  <c r="B30"/>
  <c r="Y29"/>
  <c r="U29"/>
  <c r="Q29"/>
  <c r="Z29"/>
  <c r="R29"/>
  <c r="W29"/>
  <c r="AC29"/>
  <c r="AA29"/>
  <c r="S29"/>
  <c r="AC39"/>
  <c r="AI39"/>
  <c r="AJ39"/>
  <c r="AC28"/>
  <c r="AI28"/>
  <c r="AJ28"/>
  <c r="AB30"/>
  <c r="X30"/>
  <c r="T30"/>
  <c r="Z30"/>
  <c r="AF30"/>
  <c r="R30"/>
  <c r="Y30"/>
  <c r="U30"/>
  <c r="Q30"/>
  <c r="V30"/>
  <c r="S30"/>
  <c r="W30"/>
  <c r="AA30"/>
  <c r="AG30"/>
  <c r="Q41"/>
  <c r="B42"/>
  <c r="W41"/>
  <c r="AF29"/>
  <c r="AE29"/>
  <c r="AD29"/>
  <c r="AI29"/>
  <c r="AJ29"/>
  <c r="AG29"/>
  <c r="AD30"/>
  <c r="AC41"/>
  <c r="AI41"/>
  <c r="AJ41"/>
  <c r="AC30"/>
  <c r="Q42"/>
  <c r="B43"/>
  <c r="W42"/>
  <c r="AC42"/>
  <c r="AI42"/>
  <c r="AJ42"/>
  <c r="AH30"/>
  <c r="AE30"/>
  <c r="Q43"/>
  <c r="B44"/>
  <c r="W43"/>
  <c r="AC43"/>
  <c r="AI43"/>
  <c r="AJ43"/>
  <c r="AI30"/>
  <c r="AJ30"/>
  <c r="Q44"/>
  <c r="B45"/>
  <c r="W44"/>
  <c r="AC44"/>
  <c r="AI44"/>
  <c r="AJ44"/>
  <c r="Q45"/>
  <c r="B46"/>
  <c r="W45"/>
  <c r="Q46"/>
  <c r="W46"/>
  <c r="AC46"/>
  <c r="AI46"/>
  <c r="AJ46"/>
  <c r="AC45"/>
  <c r="AI45"/>
  <c r="AJ45"/>
  <c r="B65" i="8"/>
  <c r="H10" i="45" s="1"/>
  <c r="A65" i="8"/>
  <c r="G10" i="45" s="1"/>
  <c r="B64" i="8"/>
  <c r="H9" i="45" s="1"/>
  <c r="A64" i="8"/>
  <c r="G9" i="45" s="1"/>
  <c r="B63" i="8"/>
  <c r="H8" i="45" s="1"/>
  <c r="A63" i="8"/>
  <c r="G8" i="45" s="1"/>
  <c r="B62" i="8"/>
  <c r="H7" i="45" s="1"/>
  <c r="A62" i="8"/>
  <c r="G7" i="45" s="1"/>
  <c r="C42" i="8"/>
  <c r="C43"/>
  <c r="C44"/>
  <c r="C41"/>
  <c r="C55"/>
  <c r="B59"/>
  <c r="H4" i="45" s="1"/>
  <c r="B61" i="8"/>
  <c r="H6" i="45" s="1"/>
  <c r="A61" i="8"/>
  <c r="G6" i="45" s="1"/>
  <c r="B58" i="8"/>
  <c r="H3" i="45" s="1"/>
  <c r="A58" i="8"/>
  <c r="G3" i="45" s="1"/>
  <c r="A59" i="8"/>
  <c r="G4" i="45" s="1"/>
  <c r="B60" i="8"/>
  <c r="H5" i="45" s="1"/>
  <c r="A60" i="8"/>
  <c r="G5" i="45" s="1"/>
  <c r="X12" i="8"/>
  <c r="W12"/>
  <c r="V12"/>
  <c r="U12"/>
  <c r="T12"/>
  <c r="S12"/>
  <c r="R12"/>
  <c r="Q12"/>
  <c r="P12"/>
  <c r="O12"/>
  <c r="N12"/>
  <c r="M12"/>
  <c r="L12"/>
  <c r="K12"/>
  <c r="J12"/>
  <c r="I12"/>
  <c r="H12"/>
  <c r="G12"/>
  <c r="F12"/>
  <c r="E12"/>
  <c r="X111"/>
  <c r="W111"/>
  <c r="V111"/>
  <c r="U111"/>
  <c r="T111"/>
  <c r="S111"/>
  <c r="R111"/>
  <c r="Q111"/>
  <c r="P111"/>
  <c r="O111"/>
  <c r="N111"/>
  <c r="M111"/>
  <c r="L111"/>
  <c r="K111"/>
  <c r="J111"/>
  <c r="I111"/>
  <c r="H111"/>
  <c r="G111"/>
  <c r="F111"/>
  <c r="E111"/>
  <c r="X74"/>
  <c r="W74"/>
  <c r="V74"/>
  <c r="U74"/>
  <c r="T74"/>
  <c r="S74"/>
  <c r="R74"/>
  <c r="Q74"/>
  <c r="P74"/>
  <c r="O74"/>
  <c r="N74"/>
  <c r="M74"/>
  <c r="L74"/>
  <c r="K74"/>
  <c r="J74"/>
  <c r="I74"/>
  <c r="H74"/>
  <c r="G74"/>
  <c r="F74"/>
  <c r="E74"/>
  <c r="X57"/>
  <c r="W57"/>
  <c r="V57"/>
  <c r="U57"/>
  <c r="T57"/>
  <c r="S57"/>
  <c r="R57"/>
  <c r="Q57"/>
  <c r="P57"/>
  <c r="O57"/>
  <c r="N57"/>
  <c r="M57"/>
  <c r="L57"/>
  <c r="K57"/>
  <c r="J57"/>
  <c r="I57"/>
  <c r="H57"/>
  <c r="G57"/>
  <c r="F57"/>
  <c r="E57"/>
  <c r="X110"/>
  <c r="W110"/>
  <c r="V110"/>
  <c r="U110"/>
  <c r="T110"/>
  <c r="S110"/>
  <c r="R110"/>
  <c r="Q110"/>
  <c r="P110"/>
  <c r="O110"/>
  <c r="N110"/>
  <c r="M110"/>
  <c r="L110"/>
  <c r="K110"/>
  <c r="J110"/>
  <c r="I110"/>
  <c r="H110"/>
  <c r="G110"/>
  <c r="F110"/>
  <c r="E110"/>
  <c r="X73"/>
  <c r="W73"/>
  <c r="V73"/>
  <c r="U73"/>
  <c r="T73"/>
  <c r="S73"/>
  <c r="R73"/>
  <c r="Q73"/>
  <c r="P73"/>
  <c r="O73"/>
  <c r="N73"/>
  <c r="M73"/>
  <c r="L73"/>
  <c r="K73"/>
  <c r="J73"/>
  <c r="I73"/>
  <c r="H73"/>
  <c r="G73"/>
  <c r="F73"/>
  <c r="E73"/>
  <c r="X56"/>
  <c r="W56"/>
  <c r="V56"/>
  <c r="U56"/>
  <c r="T56"/>
  <c r="S56"/>
  <c r="R56"/>
  <c r="Q56"/>
  <c r="P56"/>
  <c r="O56"/>
  <c r="N56"/>
  <c r="M56"/>
  <c r="L56"/>
  <c r="K56"/>
  <c r="J56"/>
  <c r="I56"/>
  <c r="H56"/>
  <c r="G56"/>
  <c r="F56"/>
  <c r="E56"/>
  <c r="C26"/>
  <c r="C40" s="1"/>
  <c r="E13" i="43" l="1"/>
  <c r="E53" s="1"/>
  <c r="C14" i="3" s="1"/>
  <c r="G13" i="43"/>
  <c r="F13"/>
  <c r="B13"/>
  <c r="F30"/>
  <c r="G30"/>
  <c r="E30"/>
  <c r="B30"/>
  <c r="F24"/>
  <c r="G24"/>
  <c r="E24"/>
  <c r="B24"/>
  <c r="F34"/>
  <c r="G34"/>
  <c r="E34"/>
  <c r="B34"/>
  <c r="E21"/>
  <c r="G21"/>
  <c r="F21"/>
  <c r="B21"/>
  <c r="G11"/>
  <c r="F11"/>
  <c r="E11"/>
  <c r="B11"/>
  <c r="F40"/>
  <c r="G40"/>
  <c r="E40"/>
  <c r="B40"/>
  <c r="E31"/>
  <c r="G31"/>
  <c r="F31"/>
  <c r="B31"/>
  <c r="G8"/>
  <c r="F8"/>
  <c r="E8"/>
  <c r="B8"/>
  <c r="E39"/>
  <c r="G39"/>
  <c r="F39"/>
  <c r="B39"/>
  <c r="E27"/>
  <c r="G27"/>
  <c r="F27"/>
  <c r="B27"/>
  <c r="F10"/>
  <c r="E10"/>
  <c r="G10"/>
  <c r="B10"/>
  <c r="F36"/>
  <c r="G36"/>
  <c r="E36"/>
  <c r="B36"/>
  <c r="E17"/>
  <c r="G17"/>
  <c r="F17"/>
  <c r="B17"/>
  <c r="E15"/>
  <c r="G15"/>
  <c r="F15"/>
  <c r="B15"/>
  <c r="F12"/>
  <c r="F52" s="1"/>
  <c r="D13" i="3" s="1"/>
  <c r="E12" i="43"/>
  <c r="E52" s="1"/>
  <c r="C13" i="3" s="1"/>
  <c r="G12" i="43"/>
  <c r="G52" s="1"/>
  <c r="E13" i="3" s="1"/>
  <c r="B12" i="43"/>
  <c r="E37"/>
  <c r="G37"/>
  <c r="F37"/>
  <c r="B37"/>
  <c r="E33"/>
  <c r="G33"/>
  <c r="F33"/>
  <c r="B33"/>
  <c r="F20"/>
  <c r="G20"/>
  <c r="E20"/>
  <c r="B20"/>
  <c r="F18"/>
  <c r="F47" s="1"/>
  <c r="D8" i="3" s="1"/>
  <c r="G18" i="43"/>
  <c r="E18"/>
  <c r="B18"/>
  <c r="F22"/>
  <c r="G22"/>
  <c r="E22"/>
  <c r="E19"/>
  <c r="G19"/>
  <c r="F19"/>
  <c r="F14"/>
  <c r="F49" s="1"/>
  <c r="D10" i="3" s="1"/>
  <c r="G14" i="43"/>
  <c r="E14"/>
  <c r="E49" s="1"/>
  <c r="C10" i="3" s="1"/>
  <c r="F9" i="43"/>
  <c r="E9"/>
  <c r="G9"/>
  <c r="F32"/>
  <c r="G32"/>
  <c r="E32"/>
  <c r="E29"/>
  <c r="G29"/>
  <c r="F29"/>
  <c r="F26"/>
  <c r="G26"/>
  <c r="E26"/>
  <c r="F16"/>
  <c r="G16"/>
  <c r="E16"/>
  <c r="B22"/>
  <c r="B29"/>
  <c r="B9"/>
  <c r="N49"/>
  <c r="E25"/>
  <c r="G25"/>
  <c r="F25"/>
  <c r="E23"/>
  <c r="G23"/>
  <c r="F23"/>
  <c r="B23"/>
  <c r="B19"/>
  <c r="E41"/>
  <c r="G41"/>
  <c r="F41"/>
  <c r="F38"/>
  <c r="G38"/>
  <c r="E38"/>
  <c r="F28"/>
  <c r="G28"/>
  <c r="E28"/>
  <c r="E35"/>
  <c r="G35"/>
  <c r="F35"/>
  <c r="L52"/>
  <c r="B32"/>
  <c r="B28"/>
  <c r="B16"/>
  <c r="E22" i="8"/>
  <c r="U75"/>
  <c r="U112" s="1"/>
  <c r="E76"/>
  <c r="Q76"/>
  <c r="V75"/>
  <c r="V112" s="1"/>
  <c r="Q75"/>
  <c r="Q112" s="1"/>
  <c r="M76"/>
  <c r="U76"/>
  <c r="O75"/>
  <c r="I76"/>
  <c r="F75"/>
  <c r="F112" s="1"/>
  <c r="E75"/>
  <c r="E112" s="1"/>
  <c r="N76"/>
  <c r="V76"/>
  <c r="J75"/>
  <c r="J112" s="1"/>
  <c r="H75"/>
  <c r="H112" s="1"/>
  <c r="Y75"/>
  <c r="X76"/>
  <c r="K76"/>
  <c r="J76"/>
  <c r="F76"/>
  <c r="W76"/>
  <c r="N75"/>
  <c r="N112" s="1"/>
  <c r="P75"/>
  <c r="P112" s="1"/>
  <c r="W75"/>
  <c r="W112" s="1"/>
  <c r="G75"/>
  <c r="G112" s="1"/>
  <c r="Y76"/>
  <c r="O76"/>
  <c r="H76"/>
  <c r="G76"/>
  <c r="G113" s="1"/>
  <c r="S75"/>
  <c r="S112" s="1"/>
  <c r="L75"/>
  <c r="L112" s="1"/>
  <c r="S76"/>
  <c r="L76"/>
  <c r="P76"/>
  <c r="R76"/>
  <c r="T76"/>
  <c r="R75"/>
  <c r="R112" s="1"/>
  <c r="T75"/>
  <c r="T112" s="1"/>
  <c r="M75"/>
  <c r="M112" s="1"/>
  <c r="K75"/>
  <c r="K112" s="1"/>
  <c r="I75"/>
  <c r="X75"/>
  <c r="X112" s="1"/>
  <c r="V40"/>
  <c r="R40"/>
  <c r="N40"/>
  <c r="J40"/>
  <c r="F40"/>
  <c r="W40"/>
  <c r="O40"/>
  <c r="K40"/>
  <c r="G40"/>
  <c r="X40"/>
  <c r="P40"/>
  <c r="L40"/>
  <c r="H40"/>
  <c r="U40"/>
  <c r="Q40"/>
  <c r="M40"/>
  <c r="I40"/>
  <c r="A39"/>
  <c r="S40"/>
  <c r="T40"/>
  <c r="A25"/>
  <c r="D110"/>
  <c r="O53" i="43"/>
  <c r="K53"/>
  <c r="D53"/>
  <c r="B14" i="3" s="1"/>
  <c r="H53" i="43"/>
  <c r="F14" i="3" s="1"/>
  <c r="J53" i="43"/>
  <c r="H14" i="3" s="1"/>
  <c r="P53" i="43"/>
  <c r="L53"/>
  <c r="C53"/>
  <c r="A14" i="3" s="1"/>
  <c r="M53" i="43"/>
  <c r="N53"/>
  <c r="I53"/>
  <c r="G14" i="3" s="1"/>
  <c r="O49" i="43"/>
  <c r="K49"/>
  <c r="D49"/>
  <c r="B10" i="3" s="1"/>
  <c r="H49" i="43"/>
  <c r="F10" i="3" s="1"/>
  <c r="J49" i="43"/>
  <c r="H10" i="3" s="1"/>
  <c r="P49" i="43"/>
  <c r="L49"/>
  <c r="C49"/>
  <c r="A10" i="3" s="1"/>
  <c r="M49" i="43"/>
  <c r="G49"/>
  <c r="E10" i="3" s="1"/>
  <c r="I49" i="43"/>
  <c r="G10" i="3" s="1"/>
  <c r="O47" i="43"/>
  <c r="K47"/>
  <c r="I47"/>
  <c r="G8" i="3" s="1"/>
  <c r="D47" i="43"/>
  <c r="B8" i="3" s="1"/>
  <c r="C47" i="43"/>
  <c r="A8" i="3" s="1"/>
  <c r="P47" i="43"/>
  <c r="L47"/>
  <c r="M47"/>
  <c r="H47"/>
  <c r="F8" i="3" s="1"/>
  <c r="J47" i="43"/>
  <c r="H8" i="3" s="1"/>
  <c r="N47" i="43"/>
  <c r="C54"/>
  <c r="A15" i="3" s="1"/>
  <c r="H54" i="43"/>
  <c r="F15" i="3" s="1"/>
  <c r="K54" i="43"/>
  <c r="I54"/>
  <c r="G15" i="3" s="1"/>
  <c r="O50" i="43"/>
  <c r="E50"/>
  <c r="C11" i="3" s="1"/>
  <c r="O51" i="43"/>
  <c r="K51"/>
  <c r="D51"/>
  <c r="B12" i="3" s="1"/>
  <c r="H51" i="43"/>
  <c r="F12" i="3" s="1"/>
  <c r="J51" i="43"/>
  <c r="H12" i="3" s="1"/>
  <c r="P51" i="43"/>
  <c r="L51"/>
  <c r="C51"/>
  <c r="A12" i="3" s="1"/>
  <c r="M51" i="43"/>
  <c r="G51"/>
  <c r="E12" i="3" s="1"/>
  <c r="N51" i="43"/>
  <c r="I51"/>
  <c r="G12" i="3" s="1"/>
  <c r="C52" i="43"/>
  <c r="A13" i="3" s="1"/>
  <c r="M52" i="43"/>
  <c r="D52"/>
  <c r="B13" i="3" s="1"/>
  <c r="H52" i="43"/>
  <c r="F13" i="3" s="1"/>
  <c r="J52" i="43"/>
  <c r="H13" i="3" s="1"/>
  <c r="N52" i="43"/>
  <c r="O52"/>
  <c r="K52"/>
  <c r="I52"/>
  <c r="G13" i="3" s="1"/>
  <c r="P52" i="43"/>
  <c r="C48"/>
  <c r="A9" i="3" s="1"/>
  <c r="M48" i="43"/>
  <c r="D48"/>
  <c r="B9" i="3" s="1"/>
  <c r="H48" i="43"/>
  <c r="F9" i="3" s="1"/>
  <c r="J48" i="43"/>
  <c r="H9" i="3" s="1"/>
  <c r="N48" i="43"/>
  <c r="O48"/>
  <c r="K48"/>
  <c r="L48"/>
  <c r="P48"/>
  <c r="I48"/>
  <c r="G9" i="3" s="1"/>
  <c r="F50" i="43" l="1"/>
  <c r="D11" i="3" s="1"/>
  <c r="G47" i="43"/>
  <c r="E8" i="3" s="1"/>
  <c r="G53" i="43"/>
  <c r="E14" i="3" s="1"/>
  <c r="E47" i="43"/>
  <c r="C8" i="3" s="1"/>
  <c r="F53" i="43"/>
  <c r="D14" i="3" s="1"/>
  <c r="G48" i="43"/>
  <c r="E9" i="3" s="1"/>
  <c r="E51" i="43"/>
  <c r="C12" i="3" s="1"/>
  <c r="F51" i="43"/>
  <c r="D12" i="3" s="1"/>
  <c r="F54" i="43"/>
  <c r="D15" i="3" s="1"/>
  <c r="F48" i="43"/>
  <c r="D9" i="3" s="1"/>
  <c r="E48" i="43"/>
  <c r="C9" i="3" s="1"/>
  <c r="I50" i="43"/>
  <c r="G11" i="3" s="1"/>
  <c r="K50" i="43"/>
  <c r="H50"/>
  <c r="F11" i="3" s="1"/>
  <c r="C50" i="43"/>
  <c r="A11" i="3" s="1"/>
  <c r="G54" i="43"/>
  <c r="E15" i="3" s="1"/>
  <c r="J54" i="43"/>
  <c r="H15" i="3" s="1"/>
  <c r="M54" i="43"/>
  <c r="P54"/>
  <c r="L50"/>
  <c r="J50"/>
  <c r="H11" i="3" s="1"/>
  <c r="E54" i="43"/>
  <c r="C15" i="3" s="1"/>
  <c r="D54" i="43"/>
  <c r="B15" i="3" s="1"/>
  <c r="G50" i="43"/>
  <c r="E11" i="3" s="1"/>
  <c r="M50" i="43"/>
  <c r="N54"/>
  <c r="P50"/>
  <c r="N50"/>
  <c r="D50"/>
  <c r="B11" i="3" s="1"/>
  <c r="L54" i="43"/>
  <c r="O54"/>
  <c r="E113" i="8"/>
  <c r="R113"/>
  <c r="U113"/>
  <c r="Q113"/>
  <c r="F113"/>
  <c r="T113"/>
  <c r="S113"/>
  <c r="Y113"/>
  <c r="H113"/>
  <c r="O113"/>
  <c r="Y112"/>
  <c r="M113"/>
  <c r="P113"/>
  <c r="O112"/>
  <c r="L113"/>
  <c r="W113"/>
  <c r="X113"/>
  <c r="V113"/>
  <c r="K113"/>
  <c r="I112"/>
  <c r="I113"/>
  <c r="N113"/>
  <c r="J113"/>
  <c r="E77" l="1"/>
  <c r="E114" s="1"/>
  <c r="G77"/>
  <c r="G114" s="1"/>
  <c r="H77"/>
  <c r="H114" s="1"/>
  <c r="F77"/>
  <c r="F114" s="1"/>
  <c r="I77" l="1"/>
  <c r="I114" s="1"/>
  <c r="J77"/>
  <c r="J114" s="1"/>
  <c r="K77" l="1"/>
  <c r="K114" s="1"/>
  <c r="M77" l="1"/>
  <c r="M114" s="1"/>
  <c r="L77"/>
  <c r="L114" s="1"/>
  <c r="O77" l="1"/>
  <c r="O114" s="1"/>
  <c r="N77"/>
  <c r="N114" s="1"/>
  <c r="P77" l="1"/>
  <c r="P114" s="1"/>
  <c r="Q77" l="1"/>
  <c r="Q114" s="1"/>
  <c r="R77" l="1"/>
  <c r="R114" s="1"/>
  <c r="S77" l="1"/>
  <c r="S114" s="1"/>
  <c r="T77" l="1"/>
  <c r="T114" s="1"/>
  <c r="U77" l="1"/>
  <c r="U114" s="1"/>
  <c r="V77" l="1"/>
  <c r="V114" s="1"/>
  <c r="W77" l="1"/>
  <c r="W114" s="1"/>
  <c r="Y77" l="1"/>
  <c r="Y114" s="1"/>
  <c r="X77" l="1"/>
  <c r="X114" s="1"/>
  <c r="A34" l="1"/>
  <c r="A30"/>
  <c r="A29"/>
  <c r="A33"/>
  <c r="A32"/>
  <c r="A28"/>
  <c r="A31"/>
  <c r="E34" l="1"/>
  <c r="E48" s="1"/>
  <c r="E30"/>
  <c r="E44" s="1"/>
  <c r="E29"/>
  <c r="E43" s="1"/>
  <c r="E33"/>
  <c r="E47" s="1"/>
  <c r="E32"/>
  <c r="E46" s="1"/>
  <c r="E28"/>
  <c r="E42" s="1"/>
  <c r="E31"/>
  <c r="E45" s="1"/>
  <c r="E27"/>
  <c r="E65" l="1"/>
  <c r="E62"/>
  <c r="E59"/>
  <c r="E60"/>
  <c r="E64"/>
  <c r="E58"/>
  <c r="E41"/>
  <c r="E36"/>
  <c r="E61"/>
  <c r="K7" i="45" l="1"/>
  <c r="K10"/>
  <c r="K5"/>
  <c r="K4"/>
  <c r="K3"/>
  <c r="K9"/>
  <c r="E51" i="8"/>
  <c r="E63"/>
  <c r="E83" s="1"/>
  <c r="K6" i="45"/>
  <c r="E98" i="8"/>
  <c r="E67" l="1"/>
  <c r="E69" s="1"/>
  <c r="E88"/>
  <c r="E106"/>
  <c r="E108" s="1"/>
  <c r="E92"/>
  <c r="E105"/>
  <c r="E90"/>
  <c r="E96"/>
  <c r="E97"/>
  <c r="E81"/>
  <c r="E103"/>
  <c r="E87"/>
  <c r="E93"/>
  <c r="E130" s="1"/>
  <c r="E99"/>
  <c r="E136" s="1"/>
  <c r="E79"/>
  <c r="E85"/>
  <c r="E80"/>
  <c r="E89"/>
  <c r="E94"/>
  <c r="E100"/>
  <c r="E95"/>
  <c r="E104"/>
  <c r="E82"/>
  <c r="E120" s="1"/>
  <c r="E91"/>
  <c r="E102"/>
  <c r="E101"/>
  <c r="E86"/>
  <c r="E78"/>
  <c r="E115" s="1"/>
  <c r="E84"/>
  <c r="E121" s="1"/>
  <c r="K8" i="45"/>
  <c r="E125" i="8" l="1"/>
  <c r="E140"/>
  <c r="E134"/>
  <c r="E126"/>
  <c r="E135"/>
  <c r="E143"/>
  <c r="E137"/>
  <c r="E133"/>
  <c r="E118"/>
  <c r="E127"/>
  <c r="E141"/>
  <c r="E128"/>
  <c r="E124"/>
  <c r="E117"/>
  <c r="E138"/>
  <c r="E116"/>
  <c r="E132"/>
  <c r="E142"/>
  <c r="E139"/>
  <c r="E122"/>
  <c r="E119"/>
  <c r="E131"/>
  <c r="E123"/>
  <c r="E129"/>
  <c r="E145" l="1"/>
  <c r="E146" s="1"/>
  <c r="F17" l="1"/>
  <c r="G17" s="1"/>
  <c r="H17" s="1"/>
  <c r="I17" s="1"/>
  <c r="J17" s="1"/>
  <c r="K17" s="1"/>
  <c r="L17" s="1"/>
  <c r="M17" s="1"/>
  <c r="N17" s="1"/>
  <c r="O17" s="1"/>
  <c r="P17" s="1"/>
  <c r="Q17" s="1"/>
  <c r="R17" s="1"/>
  <c r="S17" s="1"/>
  <c r="T17" s="1"/>
  <c r="U17" s="1"/>
  <c r="V17" s="1"/>
  <c r="W17" s="1"/>
  <c r="X17" s="1"/>
  <c r="F15"/>
  <c r="G15" s="1"/>
  <c r="H15" s="1"/>
  <c r="I15" s="1"/>
  <c r="J15" s="1"/>
  <c r="K15" s="1"/>
  <c r="L15" s="1"/>
  <c r="M15" s="1"/>
  <c r="N15" s="1"/>
  <c r="O15" s="1"/>
  <c r="P15" s="1"/>
  <c r="Q15" s="1"/>
  <c r="R15" s="1"/>
  <c r="S15" s="1"/>
  <c r="T15" s="1"/>
  <c r="U15" s="1"/>
  <c r="V15" s="1"/>
  <c r="W15" s="1"/>
  <c r="X15" s="1"/>
  <c r="F19"/>
  <c r="G19" s="1"/>
  <c r="H19" s="1"/>
  <c r="I19" s="1"/>
  <c r="J19" s="1"/>
  <c r="K19" s="1"/>
  <c r="L19" s="1"/>
  <c r="M19" s="1"/>
  <c r="N19" s="1"/>
  <c r="O19" s="1"/>
  <c r="P19" s="1"/>
  <c r="Q19" s="1"/>
  <c r="R19" s="1"/>
  <c r="S19" s="1"/>
  <c r="T19" s="1"/>
  <c r="U19" s="1"/>
  <c r="V19" s="1"/>
  <c r="W19" s="1"/>
  <c r="X19" s="1"/>
  <c r="F18"/>
  <c r="G18" s="1"/>
  <c r="H18" s="1"/>
  <c r="I18" s="1"/>
  <c r="J18" s="1"/>
  <c r="K18" s="1"/>
  <c r="L18" s="1"/>
  <c r="M18" s="1"/>
  <c r="N18" s="1"/>
  <c r="O18" s="1"/>
  <c r="P18" s="1"/>
  <c r="Q18" s="1"/>
  <c r="R18" s="1"/>
  <c r="S18" s="1"/>
  <c r="T18" s="1"/>
  <c r="U18" s="1"/>
  <c r="V18" s="1"/>
  <c r="W18" s="1"/>
  <c r="X18" s="1"/>
  <c r="F14"/>
  <c r="G14" s="1"/>
  <c r="H14" s="1"/>
  <c r="I14" s="1"/>
  <c r="J14" s="1"/>
  <c r="K14" s="1"/>
  <c r="L14" s="1"/>
  <c r="M14" s="1"/>
  <c r="N14" s="1"/>
  <c r="O14" s="1"/>
  <c r="P14" s="1"/>
  <c r="Q14" s="1"/>
  <c r="R14" s="1"/>
  <c r="S14" s="1"/>
  <c r="T14" s="1"/>
  <c r="U14" s="1"/>
  <c r="V14" s="1"/>
  <c r="W14" s="1"/>
  <c r="X14" s="1"/>
  <c r="F13"/>
  <c r="G13" s="1"/>
  <c r="H13" s="1"/>
  <c r="I13" s="1"/>
  <c r="J13" s="1"/>
  <c r="K13" s="1"/>
  <c r="L13" s="1"/>
  <c r="M13" s="1"/>
  <c r="N13" s="1"/>
  <c r="O13" s="1"/>
  <c r="P13" s="1"/>
  <c r="Q13" s="1"/>
  <c r="R13" s="1"/>
  <c r="S13" s="1"/>
  <c r="T13" s="1"/>
  <c r="U13" s="1"/>
  <c r="V13" s="1"/>
  <c r="W13" s="1"/>
  <c r="X13" s="1"/>
  <c r="F16" l="1"/>
  <c r="F20"/>
  <c r="G20" s="1"/>
  <c r="H20" s="1"/>
  <c r="I20" s="1"/>
  <c r="J20" s="1"/>
  <c r="K20" s="1"/>
  <c r="L20" s="1"/>
  <c r="M20" s="1"/>
  <c r="N20" s="1"/>
  <c r="O20" s="1"/>
  <c r="P20" s="1"/>
  <c r="Q20" s="1"/>
  <c r="R20" s="1"/>
  <c r="S20" s="1"/>
  <c r="T20" s="1"/>
  <c r="U20" s="1"/>
  <c r="V20" s="1"/>
  <c r="W20" s="1"/>
  <c r="X20" s="1"/>
  <c r="F33"/>
  <c r="F47" s="1"/>
  <c r="F28"/>
  <c r="F42" s="1"/>
  <c r="F31"/>
  <c r="F45" s="1"/>
  <c r="F29"/>
  <c r="F43" s="1"/>
  <c r="F32"/>
  <c r="F46" s="1"/>
  <c r="F27"/>
  <c r="F22" l="1"/>
  <c r="G16"/>
  <c r="H16" s="1"/>
  <c r="I16" s="1"/>
  <c r="J16" s="1"/>
  <c r="K16" s="1"/>
  <c r="L16" s="1"/>
  <c r="M16" s="1"/>
  <c r="N16" s="1"/>
  <c r="O16" s="1"/>
  <c r="P16" s="1"/>
  <c r="Q16" s="1"/>
  <c r="R16" s="1"/>
  <c r="S16" s="1"/>
  <c r="T16" s="1"/>
  <c r="U16" s="1"/>
  <c r="V16" s="1"/>
  <c r="W16" s="1"/>
  <c r="X16" s="1"/>
  <c r="F60"/>
  <c r="F58"/>
  <c r="F34"/>
  <c r="F48" s="1"/>
  <c r="G32"/>
  <c r="G46" s="1"/>
  <c r="G64" s="1"/>
  <c r="M9" i="45" s="1"/>
  <c r="G31" i="8"/>
  <c r="G45" s="1"/>
  <c r="G61" s="1"/>
  <c r="M6" i="45" s="1"/>
  <c r="G33" i="8"/>
  <c r="G47" s="1"/>
  <c r="G59" s="1"/>
  <c r="M4" i="45" s="1"/>
  <c r="G29" i="8"/>
  <c r="G43" s="1"/>
  <c r="G60" s="1"/>
  <c r="M5" i="45" s="1"/>
  <c r="G28" i="8"/>
  <c r="G42" s="1"/>
  <c r="G58" s="1"/>
  <c r="M3" i="45" s="1"/>
  <c r="F30" i="8"/>
  <c r="F44" s="1"/>
  <c r="F64"/>
  <c r="F61"/>
  <c r="F59"/>
  <c r="G27"/>
  <c r="F41"/>
  <c r="G30" l="1"/>
  <c r="G44" s="1"/>
  <c r="G62" s="1"/>
  <c r="M7" i="45" s="1"/>
  <c r="F62" i="8"/>
  <c r="F65"/>
  <c r="L4" i="45"/>
  <c r="L9"/>
  <c r="H28" i="8"/>
  <c r="H42" s="1"/>
  <c r="H58" s="1"/>
  <c r="N3" i="45" s="1"/>
  <c r="H33" i="8"/>
  <c r="H47" s="1"/>
  <c r="H32"/>
  <c r="H46" s="1"/>
  <c r="L3" i="45"/>
  <c r="G22" i="8"/>
  <c r="L6" i="45"/>
  <c r="H29" i="8"/>
  <c r="H43" s="1"/>
  <c r="H60" s="1"/>
  <c r="N5" i="45" s="1"/>
  <c r="H31" i="8"/>
  <c r="H45" s="1"/>
  <c r="G34"/>
  <c r="G48" s="1"/>
  <c r="G65" s="1"/>
  <c r="M10" i="45" s="1"/>
  <c r="L5"/>
  <c r="F36" i="8"/>
  <c r="G41"/>
  <c r="F63"/>
  <c r="F51"/>
  <c r="H27"/>
  <c r="G36" l="1"/>
  <c r="I31"/>
  <c r="I45" s="1"/>
  <c r="I61" s="1"/>
  <c r="O6" i="45" s="1"/>
  <c r="I33" i="8"/>
  <c r="I47" s="1"/>
  <c r="I59" s="1"/>
  <c r="O4" i="45" s="1"/>
  <c r="H30" i="8"/>
  <c r="H44" s="1"/>
  <c r="H62" s="1"/>
  <c r="N7" i="45" s="1"/>
  <c r="H61" i="8"/>
  <c r="H59"/>
  <c r="H34"/>
  <c r="H48" s="1"/>
  <c r="I29"/>
  <c r="I43" s="1"/>
  <c r="I60" s="1"/>
  <c r="I32"/>
  <c r="I46" s="1"/>
  <c r="I64" s="1"/>
  <c r="O9" i="45" s="1"/>
  <c r="I28" i="8"/>
  <c r="I42" s="1"/>
  <c r="L7" i="45"/>
  <c r="L10"/>
  <c r="H64" i="8"/>
  <c r="H22"/>
  <c r="H41"/>
  <c r="G63"/>
  <c r="G51"/>
  <c r="I22"/>
  <c r="I27"/>
  <c r="F106"/>
  <c r="F100"/>
  <c r="F97"/>
  <c r="F93"/>
  <c r="F81"/>
  <c r="F98"/>
  <c r="F96"/>
  <c r="F84"/>
  <c r="F94"/>
  <c r="F86"/>
  <c r="F88"/>
  <c r="F104"/>
  <c r="L8" i="45"/>
  <c r="F80" i="8"/>
  <c r="F101"/>
  <c r="F90"/>
  <c r="F99"/>
  <c r="F92"/>
  <c r="F79"/>
  <c r="F103"/>
  <c r="F102"/>
  <c r="F89"/>
  <c r="F82"/>
  <c r="F78"/>
  <c r="F115" s="1"/>
  <c r="F91"/>
  <c r="F67"/>
  <c r="F95"/>
  <c r="F83"/>
  <c r="F85"/>
  <c r="F87"/>
  <c r="F124" s="1"/>
  <c r="F105"/>
  <c r="F142" s="1"/>
  <c r="F138" l="1"/>
  <c r="F140"/>
  <c r="F127"/>
  <c r="F130"/>
  <c r="F136"/>
  <c r="N4" i="45"/>
  <c r="I58" i="8"/>
  <c r="O5" i="45"/>
  <c r="N9"/>
  <c r="J32" i="8"/>
  <c r="J46" s="1"/>
  <c r="I34"/>
  <c r="I48" s="1"/>
  <c r="I65" s="1"/>
  <c r="O10" i="45" s="1"/>
  <c r="N6"/>
  <c r="J33" i="8"/>
  <c r="J47" s="1"/>
  <c r="F120"/>
  <c r="F139"/>
  <c r="F118"/>
  <c r="J28"/>
  <c r="J42" s="1"/>
  <c r="J58" s="1"/>
  <c r="P3" i="45" s="1"/>
  <c r="J29" i="8"/>
  <c r="J43" s="1"/>
  <c r="I30"/>
  <c r="I44" s="1"/>
  <c r="I62" s="1"/>
  <c r="O7" i="45" s="1"/>
  <c r="J31" i="8"/>
  <c r="J45" s="1"/>
  <c r="J61" s="1"/>
  <c r="P6" i="45" s="1"/>
  <c r="H65" i="8"/>
  <c r="F126"/>
  <c r="F135"/>
  <c r="H36"/>
  <c r="J22"/>
  <c r="J27"/>
  <c r="F108"/>
  <c r="F143"/>
  <c r="H63"/>
  <c r="H51"/>
  <c r="F69"/>
  <c r="I41"/>
  <c r="G85"/>
  <c r="G86"/>
  <c r="G87"/>
  <c r="G106"/>
  <c r="G99"/>
  <c r="G91"/>
  <c r="G95"/>
  <c r="G90"/>
  <c r="G80"/>
  <c r="G89"/>
  <c r="G79"/>
  <c r="G105"/>
  <c r="G93"/>
  <c r="G102"/>
  <c r="G81"/>
  <c r="G88"/>
  <c r="G100"/>
  <c r="G137" s="1"/>
  <c r="G78"/>
  <c r="G115" s="1"/>
  <c r="G84"/>
  <c r="G101"/>
  <c r="G96"/>
  <c r="G103"/>
  <c r="G140" s="1"/>
  <c r="G67"/>
  <c r="G98"/>
  <c r="G82"/>
  <c r="G97"/>
  <c r="G104"/>
  <c r="G83"/>
  <c r="M8" i="45"/>
  <c r="G94" i="8"/>
  <c r="G92"/>
  <c r="F128"/>
  <c r="F129"/>
  <c r="F117"/>
  <c r="F123"/>
  <c r="F137"/>
  <c r="F141"/>
  <c r="F121"/>
  <c r="F122"/>
  <c r="F131"/>
  <c r="F132"/>
  <c r="F119"/>
  <c r="F116"/>
  <c r="F125"/>
  <c r="F133"/>
  <c r="F134"/>
  <c r="G120" l="1"/>
  <c r="G138"/>
  <c r="F145"/>
  <c r="F146" s="1"/>
  <c r="I36"/>
  <c r="N10" i="45"/>
  <c r="J30" i="8"/>
  <c r="J44" s="1"/>
  <c r="J62" s="1"/>
  <c r="K32"/>
  <c r="K46" s="1"/>
  <c r="K64" s="1"/>
  <c r="Q9" i="45" s="1"/>
  <c r="J64" i="8"/>
  <c r="K31"/>
  <c r="K45" s="1"/>
  <c r="K61" s="1"/>
  <c r="K29"/>
  <c r="K43" s="1"/>
  <c r="K60" s="1"/>
  <c r="Q5" i="45" s="1"/>
  <c r="K33" i="8"/>
  <c r="K47" s="1"/>
  <c r="K59" s="1"/>
  <c r="Q4" i="45" s="1"/>
  <c r="J34" i="8"/>
  <c r="J48" s="1"/>
  <c r="O3" i="45"/>
  <c r="G134" i="8"/>
  <c r="G139"/>
  <c r="G126"/>
  <c r="G128"/>
  <c r="G123"/>
  <c r="G69"/>
  <c r="K28"/>
  <c r="K42" s="1"/>
  <c r="K58" s="1"/>
  <c r="Q3" i="45" s="1"/>
  <c r="J60" i="8"/>
  <c r="J59"/>
  <c r="G131"/>
  <c r="G121"/>
  <c r="G118"/>
  <c r="H94"/>
  <c r="H100"/>
  <c r="H106"/>
  <c r="H86"/>
  <c r="H90"/>
  <c r="H91"/>
  <c r="H99"/>
  <c r="H81"/>
  <c r="H95"/>
  <c r="H132" s="1"/>
  <c r="H92"/>
  <c r="H129" s="1"/>
  <c r="H84"/>
  <c r="H102"/>
  <c r="H97"/>
  <c r="H85"/>
  <c r="H78"/>
  <c r="H115" s="1"/>
  <c r="H104"/>
  <c r="H88"/>
  <c r="H82"/>
  <c r="H96"/>
  <c r="H83"/>
  <c r="H87"/>
  <c r="H67"/>
  <c r="H105"/>
  <c r="H80"/>
  <c r="H98"/>
  <c r="H135" s="1"/>
  <c r="H101"/>
  <c r="H138" s="1"/>
  <c r="H89"/>
  <c r="H79"/>
  <c r="N8" i="45"/>
  <c r="H103" i="8"/>
  <c r="H93"/>
  <c r="I51"/>
  <c r="I63"/>
  <c r="J41"/>
  <c r="K22"/>
  <c r="K27"/>
  <c r="G129"/>
  <c r="G116"/>
  <c r="G124"/>
  <c r="G119"/>
  <c r="G133"/>
  <c r="G130"/>
  <c r="G117"/>
  <c r="G136"/>
  <c r="G122"/>
  <c r="H69"/>
  <c r="G141"/>
  <c r="G132"/>
  <c r="G135"/>
  <c r="G125"/>
  <c r="G142"/>
  <c r="G127"/>
  <c r="G143"/>
  <c r="G108"/>
  <c r="H120" l="1"/>
  <c r="H123"/>
  <c r="H141"/>
  <c r="H139"/>
  <c r="P5" i="45"/>
  <c r="J65" i="8"/>
  <c r="P7" i="45"/>
  <c r="L33" i="8"/>
  <c r="L47" s="1"/>
  <c r="L59" s="1"/>
  <c r="R4" i="45" s="1"/>
  <c r="L31" i="8"/>
  <c r="L45" s="1"/>
  <c r="L32"/>
  <c r="L46" s="1"/>
  <c r="P4" i="45"/>
  <c r="L28" i="8"/>
  <c r="L42" s="1"/>
  <c r="Q6" i="45"/>
  <c r="K34" i="8"/>
  <c r="K48" s="1"/>
  <c r="K65" s="1"/>
  <c r="Q10" i="45" s="1"/>
  <c r="L29" i="8"/>
  <c r="L43" s="1"/>
  <c r="L60" s="1"/>
  <c r="R5" i="45" s="1"/>
  <c r="P9"/>
  <c r="K30" i="8"/>
  <c r="K44" s="1"/>
  <c r="K62" s="1"/>
  <c r="Q7" i="45" s="1"/>
  <c r="G145" i="8"/>
  <c r="G146" s="1"/>
  <c r="J36"/>
  <c r="H128"/>
  <c r="H130"/>
  <c r="H126"/>
  <c r="H142"/>
  <c r="H133"/>
  <c r="H121"/>
  <c r="H136"/>
  <c r="K41"/>
  <c r="J63"/>
  <c r="J51"/>
  <c r="H143"/>
  <c r="H117"/>
  <c r="H118"/>
  <c r="H108"/>
  <c r="H124"/>
  <c r="H125"/>
  <c r="H134"/>
  <c r="H127"/>
  <c r="H131"/>
  <c r="L22"/>
  <c r="L27"/>
  <c r="I100"/>
  <c r="I84"/>
  <c r="I67"/>
  <c r="I95"/>
  <c r="I96"/>
  <c r="I104"/>
  <c r="I81"/>
  <c r="I86"/>
  <c r="I94"/>
  <c r="I93"/>
  <c r="I89"/>
  <c r="O8" i="45"/>
  <c r="I98" i="8"/>
  <c r="I105"/>
  <c r="I142" s="1"/>
  <c r="I102"/>
  <c r="I106"/>
  <c r="I90"/>
  <c r="I83"/>
  <c r="I87"/>
  <c r="I97"/>
  <c r="I82"/>
  <c r="I79"/>
  <c r="I103"/>
  <c r="I140" s="1"/>
  <c r="I80"/>
  <c r="I91"/>
  <c r="I128" s="1"/>
  <c r="I99"/>
  <c r="I78"/>
  <c r="I115" s="1"/>
  <c r="I88"/>
  <c r="I92"/>
  <c r="I129" s="1"/>
  <c r="I85"/>
  <c r="I122" s="1"/>
  <c r="I101"/>
  <c r="H116"/>
  <c r="H140"/>
  <c r="H119"/>
  <c r="H122"/>
  <c r="H137"/>
  <c r="I138" l="1"/>
  <c r="I124"/>
  <c r="I126"/>
  <c r="I118"/>
  <c r="I136"/>
  <c r="I134"/>
  <c r="L61"/>
  <c r="L34"/>
  <c r="L48" s="1"/>
  <c r="L65" s="1"/>
  <c r="R10" i="45" s="1"/>
  <c r="M28" i="8"/>
  <c r="M42" s="1"/>
  <c r="M58" s="1"/>
  <c r="S3" i="45" s="1"/>
  <c r="M32" i="8"/>
  <c r="M46" s="1"/>
  <c r="M64" s="1"/>
  <c r="S9" i="45" s="1"/>
  <c r="M33" i="8"/>
  <c r="M47" s="1"/>
  <c r="P10" i="45"/>
  <c r="I108" i="8"/>
  <c r="I133"/>
  <c r="K36"/>
  <c r="L30"/>
  <c r="L44" s="1"/>
  <c r="L62" s="1"/>
  <c r="R7" i="45" s="1"/>
  <c r="M29" i="8"/>
  <c r="M43" s="1"/>
  <c r="M60" s="1"/>
  <c r="S5" i="45" s="1"/>
  <c r="M31" i="8"/>
  <c r="M45" s="1"/>
  <c r="M61" s="1"/>
  <c r="S6" i="45" s="1"/>
  <c r="L58" i="8"/>
  <c r="L64"/>
  <c r="H145"/>
  <c r="H146" s="1"/>
  <c r="I116"/>
  <c r="I120"/>
  <c r="I130"/>
  <c r="I141"/>
  <c r="M27"/>
  <c r="I121"/>
  <c r="I119"/>
  <c r="I127"/>
  <c r="I135"/>
  <c r="I131"/>
  <c r="I137"/>
  <c r="K63"/>
  <c r="K51"/>
  <c r="L41"/>
  <c r="L36"/>
  <c r="J95"/>
  <c r="J101"/>
  <c r="J83"/>
  <c r="J105"/>
  <c r="J85"/>
  <c r="J94"/>
  <c r="J103"/>
  <c r="J81"/>
  <c r="J67"/>
  <c r="J93"/>
  <c r="J102"/>
  <c r="P8" i="45"/>
  <c r="J92" i="8"/>
  <c r="J84"/>
  <c r="J80"/>
  <c r="J98"/>
  <c r="J88"/>
  <c r="J104"/>
  <c r="J106"/>
  <c r="J143" s="1"/>
  <c r="J90"/>
  <c r="J79"/>
  <c r="J91"/>
  <c r="J96"/>
  <c r="J100"/>
  <c r="J89"/>
  <c r="J126" s="1"/>
  <c r="J86"/>
  <c r="J99"/>
  <c r="J136" s="1"/>
  <c r="J78"/>
  <c r="J115" s="1"/>
  <c r="J87"/>
  <c r="J82"/>
  <c r="J97"/>
  <c r="I139"/>
  <c r="I125"/>
  <c r="I117"/>
  <c r="I143"/>
  <c r="I123"/>
  <c r="I132"/>
  <c r="I69"/>
  <c r="J133" l="1"/>
  <c r="J69"/>
  <c r="I145"/>
  <c r="I146" s="1"/>
  <c r="J117"/>
  <c r="J127"/>
  <c r="J139"/>
  <c r="J142"/>
  <c r="N33"/>
  <c r="N47" s="1"/>
  <c r="N59" s="1"/>
  <c r="T4" i="45" s="1"/>
  <c r="N28" i="8"/>
  <c r="N42" s="1"/>
  <c r="N58" s="1"/>
  <c r="T3" i="45" s="1"/>
  <c r="R6"/>
  <c r="R9"/>
  <c r="N31" i="8"/>
  <c r="N45" s="1"/>
  <c r="N61" s="1"/>
  <c r="T6" i="45" s="1"/>
  <c r="M30" i="8"/>
  <c r="M44" s="1"/>
  <c r="M62" s="1"/>
  <c r="M59"/>
  <c r="N32"/>
  <c r="N46" s="1"/>
  <c r="M34"/>
  <c r="M48" s="1"/>
  <c r="J134"/>
  <c r="J108"/>
  <c r="J124"/>
  <c r="J129"/>
  <c r="J122"/>
  <c r="J132"/>
  <c r="M22"/>
  <c r="R3" i="45"/>
  <c r="N29" i="8"/>
  <c r="N43" s="1"/>
  <c r="N60" s="1"/>
  <c r="T5" i="45" s="1"/>
  <c r="J141" i="8"/>
  <c r="J121"/>
  <c r="L51"/>
  <c r="L63"/>
  <c r="J140"/>
  <c r="J120"/>
  <c r="K106"/>
  <c r="K67"/>
  <c r="K69" s="1"/>
  <c r="K85"/>
  <c r="K82"/>
  <c r="K83"/>
  <c r="K91"/>
  <c r="K79"/>
  <c r="K99"/>
  <c r="Q8" i="45"/>
  <c r="K98" i="8"/>
  <c r="K104"/>
  <c r="K88"/>
  <c r="K86"/>
  <c r="K90"/>
  <c r="K89"/>
  <c r="K97"/>
  <c r="K84"/>
  <c r="K121" s="1"/>
  <c r="K100"/>
  <c r="K93"/>
  <c r="K94"/>
  <c r="K87"/>
  <c r="K124" s="1"/>
  <c r="K101"/>
  <c r="K138" s="1"/>
  <c r="K78"/>
  <c r="K115" s="1"/>
  <c r="K102"/>
  <c r="K81"/>
  <c r="K105"/>
  <c r="K103"/>
  <c r="K80"/>
  <c r="K95"/>
  <c r="K92"/>
  <c r="K129" s="1"/>
  <c r="K96"/>
  <c r="N22"/>
  <c r="N27"/>
  <c r="M41"/>
  <c r="K108"/>
  <c r="J137"/>
  <c r="J135"/>
  <c r="J118"/>
  <c r="J116"/>
  <c r="J125"/>
  <c r="J119"/>
  <c r="J123"/>
  <c r="J128"/>
  <c r="J130"/>
  <c r="J131"/>
  <c r="J138"/>
  <c r="K139" l="1"/>
  <c r="K136"/>
  <c r="O29"/>
  <c r="O43" s="1"/>
  <c r="O60" s="1"/>
  <c r="U5" i="45" s="1"/>
  <c r="N34" i="8"/>
  <c r="N48" s="1"/>
  <c r="N65" s="1"/>
  <c r="T10" i="45" s="1"/>
  <c r="S4"/>
  <c r="O31" i="8"/>
  <c r="O45" s="1"/>
  <c r="O61" s="1"/>
  <c r="U6" i="45" s="1"/>
  <c r="O33" i="8"/>
  <c r="O47" s="1"/>
  <c r="O59" s="1"/>
  <c r="U4" i="45" s="1"/>
  <c r="M65" i="8"/>
  <c r="O32"/>
  <c r="O46" s="1"/>
  <c r="O64" s="1"/>
  <c r="U9" i="45" s="1"/>
  <c r="N30" i="8"/>
  <c r="N44" s="1"/>
  <c r="N62" s="1"/>
  <c r="T7" i="45" s="1"/>
  <c r="O28" i="8"/>
  <c r="O42" s="1"/>
  <c r="O58" s="1"/>
  <c r="J145"/>
  <c r="J146" s="1"/>
  <c r="M36"/>
  <c r="K133"/>
  <c r="K140"/>
  <c r="K130"/>
  <c r="K126"/>
  <c r="K122"/>
  <c r="N64"/>
  <c r="S7" i="45"/>
  <c r="K125" i="8"/>
  <c r="K119"/>
  <c r="M51"/>
  <c r="M63"/>
  <c r="O22"/>
  <c r="O27"/>
  <c r="N41"/>
  <c r="K117"/>
  <c r="K131"/>
  <c r="K142"/>
  <c r="K137"/>
  <c r="K127"/>
  <c r="K135"/>
  <c r="K128"/>
  <c r="R8" i="45"/>
  <c r="L92" i="8"/>
  <c r="L96"/>
  <c r="L81"/>
  <c r="L102"/>
  <c r="L89"/>
  <c r="L95"/>
  <c r="L98"/>
  <c r="L87"/>
  <c r="L93"/>
  <c r="L130" s="1"/>
  <c r="L78"/>
  <c r="L115" s="1"/>
  <c r="L79"/>
  <c r="L97"/>
  <c r="L67"/>
  <c r="L69" s="1"/>
  <c r="L82"/>
  <c r="L119" s="1"/>
  <c r="L100"/>
  <c r="L90"/>
  <c r="L99"/>
  <c r="L86"/>
  <c r="L106"/>
  <c r="L108" s="1"/>
  <c r="L83"/>
  <c r="L91"/>
  <c r="L80"/>
  <c r="L117" s="1"/>
  <c r="L103"/>
  <c r="L105"/>
  <c r="L84"/>
  <c r="L104"/>
  <c r="L101"/>
  <c r="L138" s="1"/>
  <c r="L94"/>
  <c r="L88"/>
  <c r="L85"/>
  <c r="K141"/>
  <c r="K116"/>
  <c r="K134"/>
  <c r="K132"/>
  <c r="K118"/>
  <c r="K123"/>
  <c r="K120"/>
  <c r="K143"/>
  <c r="L131" l="1"/>
  <c r="L127"/>
  <c r="K145"/>
  <c r="K146" s="1"/>
  <c r="P28"/>
  <c r="P42" s="1"/>
  <c r="P58" s="1"/>
  <c r="V3" i="45" s="1"/>
  <c r="P33" i="8"/>
  <c r="P47" s="1"/>
  <c r="P59" s="1"/>
  <c r="V4" i="45" s="1"/>
  <c r="P29" i="8"/>
  <c r="P43" s="1"/>
  <c r="P60" s="1"/>
  <c r="V5" i="45" s="1"/>
  <c r="U3"/>
  <c r="T9"/>
  <c r="O30" i="8"/>
  <c r="O44" s="1"/>
  <c r="O62" s="1"/>
  <c r="U7" i="45" s="1"/>
  <c r="S10"/>
  <c r="P31" i="8"/>
  <c r="P45" s="1"/>
  <c r="P61" s="1"/>
  <c r="V6" i="45" s="1"/>
  <c r="O34" i="8"/>
  <c r="O48" s="1"/>
  <c r="O65" s="1"/>
  <c r="U10" i="45" s="1"/>
  <c r="L142" i="8"/>
  <c r="L120"/>
  <c r="L134"/>
  <c r="L124"/>
  <c r="L139"/>
  <c r="N36"/>
  <c r="P32"/>
  <c r="P46" s="1"/>
  <c r="P64" s="1"/>
  <c r="V9" i="45" s="1"/>
  <c r="L136" i="8"/>
  <c r="O41"/>
  <c r="N51"/>
  <c r="N63"/>
  <c r="S8" i="45"/>
  <c r="M97" i="8"/>
  <c r="M78"/>
  <c r="M115" s="1"/>
  <c r="M86"/>
  <c r="M88"/>
  <c r="M104"/>
  <c r="M83"/>
  <c r="M84"/>
  <c r="M80"/>
  <c r="M92"/>
  <c r="M103"/>
  <c r="M101"/>
  <c r="M67"/>
  <c r="M69" s="1"/>
  <c r="M79"/>
  <c r="M82"/>
  <c r="M95"/>
  <c r="M105"/>
  <c r="M99"/>
  <c r="M100"/>
  <c r="M81"/>
  <c r="M93"/>
  <c r="M87"/>
  <c r="M106"/>
  <c r="M98"/>
  <c r="M85"/>
  <c r="M90"/>
  <c r="M96"/>
  <c r="M91"/>
  <c r="M89"/>
  <c r="M126" s="1"/>
  <c r="M102"/>
  <c r="M94"/>
  <c r="L125"/>
  <c r="L128"/>
  <c r="L129"/>
  <c r="L122"/>
  <c r="L141"/>
  <c r="L123"/>
  <c r="L132"/>
  <c r="L133"/>
  <c r="P22"/>
  <c r="P27"/>
  <c r="L121"/>
  <c r="L126"/>
  <c r="L140"/>
  <c r="L143"/>
  <c r="L137"/>
  <c r="L116"/>
  <c r="L135"/>
  <c r="L118"/>
  <c r="L145" l="1"/>
  <c r="L146" s="1"/>
  <c r="M137"/>
  <c r="M128"/>
  <c r="M135"/>
  <c r="M118"/>
  <c r="M123"/>
  <c r="Q32"/>
  <c r="Q46" s="1"/>
  <c r="Q64" s="1"/>
  <c r="W9" i="45" s="1"/>
  <c r="Q31" i="8"/>
  <c r="Q45" s="1"/>
  <c r="Q61" s="1"/>
  <c r="W6" i="45" s="1"/>
  <c r="P30" i="8"/>
  <c r="P44" s="1"/>
  <c r="P62" s="1"/>
  <c r="V7" i="45" s="1"/>
  <c r="Q33" i="8"/>
  <c r="Q47" s="1"/>
  <c r="Q59" s="1"/>
  <c r="W4" i="45" s="1"/>
  <c r="M139" i="8"/>
  <c r="M127"/>
  <c r="M124"/>
  <c r="O36"/>
  <c r="P34"/>
  <c r="P48" s="1"/>
  <c r="P65" s="1"/>
  <c r="V10" i="45" s="1"/>
  <c r="Q29" i="8"/>
  <c r="Q43" s="1"/>
  <c r="Q60" s="1"/>
  <c r="W5" i="45" s="1"/>
  <c r="Q28" i="8"/>
  <c r="Q42" s="1"/>
  <c r="Q58" s="1"/>
  <c r="W3" i="45" s="1"/>
  <c r="M131" i="8"/>
  <c r="M133"/>
  <c r="M143"/>
  <c r="M119"/>
  <c r="M140"/>
  <c r="P41"/>
  <c r="N83"/>
  <c r="N90"/>
  <c r="N78"/>
  <c r="N115" s="1"/>
  <c r="N79"/>
  <c r="N84"/>
  <c r="N121" s="1"/>
  <c r="N99"/>
  <c r="N67"/>
  <c r="N69" s="1"/>
  <c r="N88"/>
  <c r="N92"/>
  <c r="N93"/>
  <c r="N94"/>
  <c r="N96"/>
  <c r="N87"/>
  <c r="N104"/>
  <c r="N80"/>
  <c r="N103"/>
  <c r="N98"/>
  <c r="N89"/>
  <c r="N106"/>
  <c r="N86"/>
  <c r="N85"/>
  <c r="N122" s="1"/>
  <c r="N101"/>
  <c r="T8" i="45"/>
  <c r="N82" i="8"/>
  <c r="N95"/>
  <c r="N81"/>
  <c r="N102"/>
  <c r="N100"/>
  <c r="N105"/>
  <c r="N91"/>
  <c r="N128" s="1"/>
  <c r="N97"/>
  <c r="Q27"/>
  <c r="O51"/>
  <c r="O63"/>
  <c r="M120"/>
  <c r="M132"/>
  <c r="M138"/>
  <c r="M121"/>
  <c r="M122"/>
  <c r="M130"/>
  <c r="M142"/>
  <c r="M117"/>
  <c r="M125"/>
  <c r="M108"/>
  <c r="M136"/>
  <c r="M116"/>
  <c r="M129"/>
  <c r="M141"/>
  <c r="M134"/>
  <c r="N108" l="1"/>
  <c r="N118"/>
  <c r="N138"/>
  <c r="N134"/>
  <c r="N117"/>
  <c r="P36"/>
  <c r="N126"/>
  <c r="N141"/>
  <c r="N130"/>
  <c r="R28"/>
  <c r="R42" s="1"/>
  <c r="R58" s="1"/>
  <c r="X3" i="45" s="1"/>
  <c r="Q34" i="8"/>
  <c r="Q48" s="1"/>
  <c r="Q65" s="1"/>
  <c r="W10" i="45" s="1"/>
  <c r="R33" i="8"/>
  <c r="R47" s="1"/>
  <c r="R59" s="1"/>
  <c r="X4" i="45" s="1"/>
  <c r="R31" i="8"/>
  <c r="R45" s="1"/>
  <c r="R61" s="1"/>
  <c r="X6" i="45" s="1"/>
  <c r="Q30" i="8"/>
  <c r="Q44" s="1"/>
  <c r="Q62" s="1"/>
  <c r="W7" i="45" s="1"/>
  <c r="R32" i="8"/>
  <c r="R46" s="1"/>
  <c r="R64" s="1"/>
  <c r="X9" i="45" s="1"/>
  <c r="R29" i="8"/>
  <c r="R43" s="1"/>
  <c r="R60" s="1"/>
  <c r="X5" i="45" s="1"/>
  <c r="M145" i="8"/>
  <c r="M146" s="1"/>
  <c r="Q22"/>
  <c r="N142"/>
  <c r="N132"/>
  <c r="N135"/>
  <c r="O96"/>
  <c r="O93"/>
  <c r="O84"/>
  <c r="O98"/>
  <c r="O91"/>
  <c r="O87"/>
  <c r="O104"/>
  <c r="O80"/>
  <c r="O105"/>
  <c r="O102"/>
  <c r="O100"/>
  <c r="U8" i="45"/>
  <c r="O82" i="8"/>
  <c r="O94"/>
  <c r="O131" s="1"/>
  <c r="O78"/>
  <c r="O115" s="1"/>
  <c r="O101"/>
  <c r="O86"/>
  <c r="O79"/>
  <c r="O81"/>
  <c r="O89"/>
  <c r="O90"/>
  <c r="O88"/>
  <c r="O125" s="1"/>
  <c r="O83"/>
  <c r="O95"/>
  <c r="O67"/>
  <c r="O69" s="1"/>
  <c r="O97"/>
  <c r="O85"/>
  <c r="O122" s="1"/>
  <c r="O106"/>
  <c r="O103"/>
  <c r="O92"/>
  <c r="O99"/>
  <c r="R27"/>
  <c r="Q36"/>
  <c r="Q41"/>
  <c r="P51"/>
  <c r="P63"/>
  <c r="N136"/>
  <c r="N127"/>
  <c r="N139"/>
  <c r="N143"/>
  <c r="N131"/>
  <c r="N137"/>
  <c r="N119"/>
  <c r="N123"/>
  <c r="N140"/>
  <c r="N133"/>
  <c r="N125"/>
  <c r="N116"/>
  <c r="N124"/>
  <c r="N129"/>
  <c r="N120"/>
  <c r="O136" l="1"/>
  <c r="N145"/>
  <c r="N146" s="1"/>
  <c r="O116"/>
  <c r="O139"/>
  <c r="O127"/>
  <c r="S32"/>
  <c r="S46" s="1"/>
  <c r="S64" s="1"/>
  <c r="Y9" i="45" s="1"/>
  <c r="S31" i="8"/>
  <c r="S45" s="1"/>
  <c r="S61" s="1"/>
  <c r="Y6" i="45" s="1"/>
  <c r="R34" i="8"/>
  <c r="R48" s="1"/>
  <c r="R65" s="1"/>
  <c r="X10" i="45" s="1"/>
  <c r="O138" i="8"/>
  <c r="S29"/>
  <c r="S43" s="1"/>
  <c r="S60" s="1"/>
  <c r="Y5" i="45" s="1"/>
  <c r="R30" i="8"/>
  <c r="R44" s="1"/>
  <c r="R62" s="1"/>
  <c r="X7" i="45" s="1"/>
  <c r="S33" i="8"/>
  <c r="S47" s="1"/>
  <c r="S59" s="1"/>
  <c r="Y4" i="45" s="1"/>
  <c r="S28" i="8"/>
  <c r="S42" s="1"/>
  <c r="S58" s="1"/>
  <c r="Y3" i="45" s="1"/>
  <c r="R22" i="8"/>
  <c r="O140"/>
  <c r="O123"/>
  <c r="O119"/>
  <c r="O142"/>
  <c r="O133"/>
  <c r="P79"/>
  <c r="P89"/>
  <c r="P85"/>
  <c r="P67"/>
  <c r="P69" s="1"/>
  <c r="P106"/>
  <c r="P81"/>
  <c r="P94"/>
  <c r="P103"/>
  <c r="V8" i="45"/>
  <c r="P92" i="8"/>
  <c r="P102"/>
  <c r="P82"/>
  <c r="P98"/>
  <c r="P95"/>
  <c r="P80"/>
  <c r="P91"/>
  <c r="P87"/>
  <c r="P105"/>
  <c r="P99"/>
  <c r="P97"/>
  <c r="P101"/>
  <c r="P104"/>
  <c r="P100"/>
  <c r="P88"/>
  <c r="P125" s="1"/>
  <c r="P78"/>
  <c r="P115" s="1"/>
  <c r="P84"/>
  <c r="P83"/>
  <c r="P96"/>
  <c r="P133" s="1"/>
  <c r="P93"/>
  <c r="P130" s="1"/>
  <c r="P86"/>
  <c r="P90"/>
  <c r="R41"/>
  <c r="Q63"/>
  <c r="Q51"/>
  <c r="S27"/>
  <c r="O134"/>
  <c r="O143"/>
  <c r="O132"/>
  <c r="O126"/>
  <c r="O117"/>
  <c r="O135"/>
  <c r="O128"/>
  <c r="O129"/>
  <c r="O124"/>
  <c r="O130"/>
  <c r="O108"/>
  <c r="O120"/>
  <c r="O118"/>
  <c r="O137"/>
  <c r="O141"/>
  <c r="O121"/>
  <c r="P127" l="1"/>
  <c r="P119"/>
  <c r="P137"/>
  <c r="R36"/>
  <c r="P108"/>
  <c r="P120"/>
  <c r="P136"/>
  <c r="P117"/>
  <c r="P139"/>
  <c r="P131"/>
  <c r="P122"/>
  <c r="S34"/>
  <c r="S48" s="1"/>
  <c r="S65" s="1"/>
  <c r="Y10" i="45" s="1"/>
  <c r="T32" i="8"/>
  <c r="T46" s="1"/>
  <c r="T64" s="1"/>
  <c r="Z9" i="45" s="1"/>
  <c r="T28" i="8"/>
  <c r="T42" s="1"/>
  <c r="T58" s="1"/>
  <c r="Z3" i="45" s="1"/>
  <c r="S30" i="8"/>
  <c r="S44" s="1"/>
  <c r="S62" s="1"/>
  <c r="Y7" i="45" s="1"/>
  <c r="T31" i="8"/>
  <c r="T45" s="1"/>
  <c r="T61" s="1"/>
  <c r="Z6" i="45" s="1"/>
  <c r="S22" i="8"/>
  <c r="T33"/>
  <c r="T47" s="1"/>
  <c r="T59" s="1"/>
  <c r="Z4" i="45" s="1"/>
  <c r="T29" i="8"/>
  <c r="T43" s="1"/>
  <c r="T60" s="1"/>
  <c r="Z5" i="45" s="1"/>
  <c r="O145" i="8"/>
  <c r="O146" s="1"/>
  <c r="P134"/>
  <c r="P140"/>
  <c r="P138"/>
  <c r="P124"/>
  <c r="P135"/>
  <c r="P143"/>
  <c r="P116"/>
  <c r="T22"/>
  <c r="T27"/>
  <c r="R63"/>
  <c r="R51"/>
  <c r="S41"/>
  <c r="Q98"/>
  <c r="Q86"/>
  <c r="Q96"/>
  <c r="Q92"/>
  <c r="Q90"/>
  <c r="Q100"/>
  <c r="Q103"/>
  <c r="Q95"/>
  <c r="Q79"/>
  <c r="Q106"/>
  <c r="Q88"/>
  <c r="Q87"/>
  <c r="Q78"/>
  <c r="Q115" s="1"/>
  <c r="Q67"/>
  <c r="Q69" s="1"/>
  <c r="Q81"/>
  <c r="Q89"/>
  <c r="Q94"/>
  <c r="W8" i="45"/>
  <c r="Q84" i="8"/>
  <c r="Q91"/>
  <c r="Q128" s="1"/>
  <c r="Q104"/>
  <c r="Q105"/>
  <c r="Q93"/>
  <c r="Q80"/>
  <c r="Q117" s="1"/>
  <c r="Q99"/>
  <c r="Q136" s="1"/>
  <c r="Q101"/>
  <c r="Q138" s="1"/>
  <c r="Q85"/>
  <c r="Q122" s="1"/>
  <c r="Q83"/>
  <c r="Q82"/>
  <c r="Q97"/>
  <c r="Q102"/>
  <c r="P128"/>
  <c r="P123"/>
  <c r="P121"/>
  <c r="P141"/>
  <c r="P142"/>
  <c r="P132"/>
  <c r="P129"/>
  <c r="P118"/>
  <c r="P126"/>
  <c r="Q139" l="1"/>
  <c r="Q120"/>
  <c r="Q124"/>
  <c r="Q132"/>
  <c r="S36"/>
  <c r="U31"/>
  <c r="U45" s="1"/>
  <c r="U61" s="1"/>
  <c r="AA6" i="45" s="1"/>
  <c r="U28" i="8"/>
  <c r="U42" s="1"/>
  <c r="U58" s="1"/>
  <c r="AA3" i="45" s="1"/>
  <c r="T34" i="8"/>
  <c r="T48" s="1"/>
  <c r="T65" s="1"/>
  <c r="Z10" i="45" s="1"/>
  <c r="T30" i="8"/>
  <c r="T44" s="1"/>
  <c r="T62" s="1"/>
  <c r="Z7" i="45" s="1"/>
  <c r="U32" i="8"/>
  <c r="U46" s="1"/>
  <c r="U64" s="1"/>
  <c r="AA9" i="45" s="1"/>
  <c r="P145" i="8"/>
  <c r="P146" s="1"/>
  <c r="Q126"/>
  <c r="Q119"/>
  <c r="Q141"/>
  <c r="Q131"/>
  <c r="Q135"/>
  <c r="U29"/>
  <c r="U43" s="1"/>
  <c r="U60" s="1"/>
  <c r="AA5" i="45" s="1"/>
  <c r="U33" i="8"/>
  <c r="U47" s="1"/>
  <c r="U59" s="1"/>
  <c r="AA4" i="45" s="1"/>
  <c r="Q134" i="8"/>
  <c r="X8" i="45"/>
  <c r="R106" i="8"/>
  <c r="R90"/>
  <c r="R82"/>
  <c r="R78"/>
  <c r="R115" s="1"/>
  <c r="R79"/>
  <c r="R93"/>
  <c r="R94"/>
  <c r="R86"/>
  <c r="R99"/>
  <c r="R95"/>
  <c r="R100"/>
  <c r="R81"/>
  <c r="R96"/>
  <c r="R92"/>
  <c r="R98"/>
  <c r="R83"/>
  <c r="R84"/>
  <c r="R80"/>
  <c r="R104"/>
  <c r="R102"/>
  <c r="R101"/>
  <c r="R91"/>
  <c r="R128" s="1"/>
  <c r="R103"/>
  <c r="R67"/>
  <c r="R69" s="1"/>
  <c r="R87"/>
  <c r="R105"/>
  <c r="R85"/>
  <c r="R88"/>
  <c r="R97"/>
  <c r="R134" s="1"/>
  <c r="R89"/>
  <c r="U22"/>
  <c r="U27"/>
  <c r="Q127"/>
  <c r="Q142"/>
  <c r="Q143"/>
  <c r="Q137"/>
  <c r="Q123"/>
  <c r="T41"/>
  <c r="S51"/>
  <c r="S63"/>
  <c r="Q129"/>
  <c r="Q116"/>
  <c r="Q130"/>
  <c r="Q121"/>
  <c r="Q118"/>
  <c r="Q125"/>
  <c r="Q140"/>
  <c r="Q133"/>
  <c r="Q108"/>
  <c r="R133" l="1"/>
  <c r="T36"/>
  <c r="R125"/>
  <c r="R139"/>
  <c r="R118"/>
  <c r="V33"/>
  <c r="V47" s="1"/>
  <c r="V59" s="1"/>
  <c r="AB4" i="45" s="1"/>
  <c r="U30" i="8"/>
  <c r="U44" s="1"/>
  <c r="U62" s="1"/>
  <c r="AA7" i="45" s="1"/>
  <c r="V28" i="8"/>
  <c r="V42" s="1"/>
  <c r="V58" s="1"/>
  <c r="AB3" i="45" s="1"/>
  <c r="V29" i="8"/>
  <c r="V43" s="1"/>
  <c r="V60" s="1"/>
  <c r="AB5" i="45" s="1"/>
  <c r="V32" i="8"/>
  <c r="V46" s="1"/>
  <c r="V64" s="1"/>
  <c r="AB9" i="45" s="1"/>
  <c r="U34" i="8"/>
  <c r="U48" s="1"/>
  <c r="U65" s="1"/>
  <c r="AA10" i="45" s="1"/>
  <c r="V31" i="8"/>
  <c r="V45" s="1"/>
  <c r="V61" s="1"/>
  <c r="AB6" i="45" s="1"/>
  <c r="Q145" i="8"/>
  <c r="Q146" s="1"/>
  <c r="R108"/>
  <c r="R122"/>
  <c r="R140"/>
  <c r="R135"/>
  <c r="R137"/>
  <c r="R131"/>
  <c r="R119"/>
  <c r="R117"/>
  <c r="R141"/>
  <c r="R124"/>
  <c r="R138"/>
  <c r="R121"/>
  <c r="R136"/>
  <c r="R116"/>
  <c r="R143"/>
  <c r="V27"/>
  <c r="S86"/>
  <c r="S123" s="1"/>
  <c r="S84"/>
  <c r="S85"/>
  <c r="S95"/>
  <c r="S104"/>
  <c r="S97"/>
  <c r="S100"/>
  <c r="S91"/>
  <c r="S80"/>
  <c r="S105"/>
  <c r="Y8" i="45"/>
  <c r="S106" i="8"/>
  <c r="S99"/>
  <c r="S102"/>
  <c r="S87"/>
  <c r="S93"/>
  <c r="S92"/>
  <c r="S81"/>
  <c r="S96"/>
  <c r="S79"/>
  <c r="S88"/>
  <c r="S125" s="1"/>
  <c r="S89"/>
  <c r="S83"/>
  <c r="S94"/>
  <c r="S131" s="1"/>
  <c r="S98"/>
  <c r="S135" s="1"/>
  <c r="S82"/>
  <c r="S119" s="1"/>
  <c r="S103"/>
  <c r="S101"/>
  <c r="S138" s="1"/>
  <c r="S90"/>
  <c r="S127" s="1"/>
  <c r="S67"/>
  <c r="S69" s="1"/>
  <c r="S78"/>
  <c r="S115" s="1"/>
  <c r="U41"/>
  <c r="U36"/>
  <c r="T51"/>
  <c r="T63"/>
  <c r="R120"/>
  <c r="R123"/>
  <c r="R126"/>
  <c r="R142"/>
  <c r="R129"/>
  <c r="R132"/>
  <c r="R130"/>
  <c r="R127"/>
  <c r="S141" l="1"/>
  <c r="S140"/>
  <c r="S116"/>
  <c r="S130"/>
  <c r="S143"/>
  <c r="S128"/>
  <c r="V30"/>
  <c r="V44" s="1"/>
  <c r="V62" s="1"/>
  <c r="AB7" i="45" s="1"/>
  <c r="W31" i="8"/>
  <c r="W45" s="1"/>
  <c r="W61" s="1"/>
  <c r="AC6" i="45" s="1"/>
  <c r="W32" i="8"/>
  <c r="W46" s="1"/>
  <c r="W64" s="1"/>
  <c r="AC9" i="45" s="1"/>
  <c r="W28" i="8"/>
  <c r="W42" s="1"/>
  <c r="W58" s="1"/>
  <c r="AC3" i="45" s="1"/>
  <c r="W33" i="8"/>
  <c r="W47" s="1"/>
  <c r="W59" s="1"/>
  <c r="AC4" i="45" s="1"/>
  <c r="S122" i="8"/>
  <c r="V22"/>
  <c r="V34"/>
  <c r="V48" s="1"/>
  <c r="V65" s="1"/>
  <c r="AB10" i="45" s="1"/>
  <c r="W29" i="8"/>
  <c r="W43" s="1"/>
  <c r="W60" s="1"/>
  <c r="AC5" i="45" s="1"/>
  <c r="R145" i="8"/>
  <c r="R146" s="1"/>
  <c r="V41"/>
  <c r="T88"/>
  <c r="T94"/>
  <c r="T100"/>
  <c r="T85"/>
  <c r="T81"/>
  <c r="T84"/>
  <c r="T79"/>
  <c r="T93"/>
  <c r="T86"/>
  <c r="T87"/>
  <c r="T95"/>
  <c r="T106"/>
  <c r="T80"/>
  <c r="T99"/>
  <c r="T102"/>
  <c r="T89"/>
  <c r="T126" s="1"/>
  <c r="T98"/>
  <c r="T92"/>
  <c r="T103"/>
  <c r="T140" s="1"/>
  <c r="T104"/>
  <c r="T97"/>
  <c r="T67"/>
  <c r="T69" s="1"/>
  <c r="T83"/>
  <c r="T105"/>
  <c r="T142" s="1"/>
  <c r="T96"/>
  <c r="T78"/>
  <c r="T115" s="1"/>
  <c r="T91"/>
  <c r="T82"/>
  <c r="T119" s="1"/>
  <c r="T90"/>
  <c r="Z8" i="45"/>
  <c r="T101" i="8"/>
  <c r="T138" s="1"/>
  <c r="S132"/>
  <c r="S129"/>
  <c r="S120"/>
  <c r="S133"/>
  <c r="S124"/>
  <c r="S137"/>
  <c r="S108"/>
  <c r="U51"/>
  <c r="U63"/>
  <c r="W22"/>
  <c r="W27"/>
  <c r="S136"/>
  <c r="S117"/>
  <c r="S126"/>
  <c r="S118"/>
  <c r="S139"/>
  <c r="S142"/>
  <c r="S134"/>
  <c r="S121"/>
  <c r="T128" l="1"/>
  <c r="T120"/>
  <c r="W34"/>
  <c r="W48" s="1"/>
  <c r="W65" s="1"/>
  <c r="AC10" i="45" s="1"/>
  <c r="AA33" i="8"/>
  <c r="Y59" s="1"/>
  <c r="AE4" i="45" s="1"/>
  <c r="X33" i="8"/>
  <c r="X47" s="1"/>
  <c r="AA32"/>
  <c r="Y64" s="1"/>
  <c r="AE9" i="45" s="1"/>
  <c r="X32" i="8"/>
  <c r="X46" s="1"/>
  <c r="W30"/>
  <c r="W44" s="1"/>
  <c r="W62" s="1"/>
  <c r="AC7" i="45" s="1"/>
  <c r="V36" i="8"/>
  <c r="T127"/>
  <c r="T108"/>
  <c r="T129"/>
  <c r="T136"/>
  <c r="T124"/>
  <c r="T121"/>
  <c r="T131"/>
  <c r="AA29"/>
  <c r="Y60" s="1"/>
  <c r="AE5" i="45" s="1"/>
  <c r="X29" i="8"/>
  <c r="X43" s="1"/>
  <c r="AA28"/>
  <c r="Y58" s="1"/>
  <c r="AE3" i="45" s="1"/>
  <c r="X28" i="8"/>
  <c r="X42" s="1"/>
  <c r="AA31"/>
  <c r="Y61" s="1"/>
  <c r="AE6" i="45" s="1"/>
  <c r="X31" i="8"/>
  <c r="X45" s="1"/>
  <c r="S145"/>
  <c r="S146" s="1"/>
  <c r="T123"/>
  <c r="U95"/>
  <c r="U90"/>
  <c r="U100"/>
  <c r="U89"/>
  <c r="U78"/>
  <c r="U115" s="1"/>
  <c r="U92"/>
  <c r="U101"/>
  <c r="U138" s="1"/>
  <c r="U82"/>
  <c r="U81"/>
  <c r="U104"/>
  <c r="U105"/>
  <c r="U83"/>
  <c r="U120" s="1"/>
  <c r="U85"/>
  <c r="U97"/>
  <c r="U96"/>
  <c r="U88"/>
  <c r="U102"/>
  <c r="U91"/>
  <c r="U128" s="1"/>
  <c r="U94"/>
  <c r="U99"/>
  <c r="U87"/>
  <c r="U86"/>
  <c r="AA8" i="45"/>
  <c r="U98" i="8"/>
  <c r="U67"/>
  <c r="U69" s="1"/>
  <c r="U106"/>
  <c r="U93"/>
  <c r="U80"/>
  <c r="U84"/>
  <c r="U103"/>
  <c r="U79"/>
  <c r="X22"/>
  <c r="AA27"/>
  <c r="Y63" s="1"/>
  <c r="X27"/>
  <c r="V51"/>
  <c r="V63"/>
  <c r="T132"/>
  <c r="T116"/>
  <c r="T137"/>
  <c r="T141"/>
  <c r="T143"/>
  <c r="T130"/>
  <c r="T122"/>
  <c r="W36"/>
  <c r="W41"/>
  <c r="T139"/>
  <c r="T133"/>
  <c r="T134"/>
  <c r="T135"/>
  <c r="T117"/>
  <c r="T118"/>
  <c r="T125"/>
  <c r="U108" l="1"/>
  <c r="U135"/>
  <c r="U125"/>
  <c r="U119"/>
  <c r="U130"/>
  <c r="U142"/>
  <c r="X34"/>
  <c r="X48" s="1"/>
  <c r="AA34"/>
  <c r="Y65" s="1"/>
  <c r="AE10" i="45" s="1"/>
  <c r="AA30" i="8"/>
  <c r="Y62" s="1"/>
  <c r="AE7" i="45" s="1"/>
  <c r="X30" i="8"/>
  <c r="X44" s="1"/>
  <c r="U140"/>
  <c r="U123"/>
  <c r="X61"/>
  <c r="AA45"/>
  <c r="X60"/>
  <c r="AA43"/>
  <c r="X64"/>
  <c r="AA46"/>
  <c r="X58"/>
  <c r="AA42"/>
  <c r="X59"/>
  <c r="AA47"/>
  <c r="T145"/>
  <c r="T146" s="1"/>
  <c r="U116"/>
  <c r="U133"/>
  <c r="U137"/>
  <c r="AE8" i="45"/>
  <c r="U131" i="8"/>
  <c r="U117"/>
  <c r="U136"/>
  <c r="U126"/>
  <c r="U121"/>
  <c r="U124"/>
  <c r="U139"/>
  <c r="U122"/>
  <c r="U118"/>
  <c r="U132"/>
  <c r="V90"/>
  <c r="V100"/>
  <c r="V93"/>
  <c r="V104"/>
  <c r="V105"/>
  <c r="V86"/>
  <c r="V91"/>
  <c r="V83"/>
  <c r="V101"/>
  <c r="V87"/>
  <c r="V124" s="1"/>
  <c r="V78"/>
  <c r="V115" s="1"/>
  <c r="V92"/>
  <c r="V81"/>
  <c r="V84"/>
  <c r="V82"/>
  <c r="V89"/>
  <c r="V99"/>
  <c r="V94"/>
  <c r="V131" s="1"/>
  <c r="V80"/>
  <c r="AB8" i="45"/>
  <c r="V98" i="8"/>
  <c r="V85"/>
  <c r="V122" s="1"/>
  <c r="V102"/>
  <c r="V97"/>
  <c r="V88"/>
  <c r="V95"/>
  <c r="V132" s="1"/>
  <c r="V96"/>
  <c r="V67"/>
  <c r="V69" s="1"/>
  <c r="V103"/>
  <c r="V140" s="1"/>
  <c r="V79"/>
  <c r="V116" s="1"/>
  <c r="V106"/>
  <c r="W51"/>
  <c r="W63"/>
  <c r="X36"/>
  <c r="AA36" s="1"/>
  <c r="X41"/>
  <c r="U143"/>
  <c r="U134"/>
  <c r="U141"/>
  <c r="U129"/>
  <c r="U127"/>
  <c r="Y78" l="1"/>
  <c r="Y115" s="1"/>
  <c r="Y84"/>
  <c r="Y104"/>
  <c r="V129"/>
  <c r="Y101"/>
  <c r="V125"/>
  <c r="V118"/>
  <c r="V138"/>
  <c r="Y105"/>
  <c r="Y94"/>
  <c r="Y82"/>
  <c r="Y80"/>
  <c r="Y67"/>
  <c r="AD4" i="45"/>
  <c r="AA59" i="8"/>
  <c r="AD9" i="45"/>
  <c r="AA64" i="8"/>
  <c r="AD6" i="45"/>
  <c r="AA61" i="8"/>
  <c r="AD3" i="45"/>
  <c r="AA58" i="8"/>
  <c r="AD5" i="45"/>
  <c r="AA60" i="8"/>
  <c r="X65"/>
  <c r="AA48"/>
  <c r="Y92"/>
  <c r="Y88"/>
  <c r="Y102"/>
  <c r="Y95"/>
  <c r="V133"/>
  <c r="V134"/>
  <c r="V126"/>
  <c r="V120"/>
  <c r="V141"/>
  <c r="Y81"/>
  <c r="Y118" s="1"/>
  <c r="Y93"/>
  <c r="Y131" s="1"/>
  <c r="Y87"/>
  <c r="Y79"/>
  <c r="Y96"/>
  <c r="Y98"/>
  <c r="Y90"/>
  <c r="X62"/>
  <c r="AA44"/>
  <c r="U145"/>
  <c r="U146" s="1"/>
  <c r="Y91"/>
  <c r="Y100"/>
  <c r="Y106"/>
  <c r="V143"/>
  <c r="Y85"/>
  <c r="Y122" s="1"/>
  <c r="Y89"/>
  <c r="Y97"/>
  <c r="Y134" s="1"/>
  <c r="Y103"/>
  <c r="Y140" s="1"/>
  <c r="Y99"/>
  <c r="Y86"/>
  <c r="Y83"/>
  <c r="Y120" s="1"/>
  <c r="V135"/>
  <c r="V136"/>
  <c r="V142"/>
  <c r="V127"/>
  <c r="V108"/>
  <c r="V121"/>
  <c r="V123"/>
  <c r="V137"/>
  <c r="W94"/>
  <c r="W80"/>
  <c r="W95"/>
  <c r="W100"/>
  <c r="W91"/>
  <c r="W99"/>
  <c r="W136" s="1"/>
  <c r="W97"/>
  <c r="W98"/>
  <c r="W102"/>
  <c r="W106"/>
  <c r="W143" s="1"/>
  <c r="W101"/>
  <c r="W105"/>
  <c r="W86"/>
  <c r="W90"/>
  <c r="AC8" i="45"/>
  <c r="W84" i="8"/>
  <c r="W103"/>
  <c r="W140" s="1"/>
  <c r="W83"/>
  <c r="W104"/>
  <c r="W93"/>
  <c r="W81"/>
  <c r="W85"/>
  <c r="W122" s="1"/>
  <c r="W79"/>
  <c r="W96"/>
  <c r="W67"/>
  <c r="W69" s="1"/>
  <c r="W88"/>
  <c r="W87"/>
  <c r="W92"/>
  <c r="W129" s="1"/>
  <c r="W89"/>
  <c r="W82"/>
  <c r="W78"/>
  <c r="W115" s="1"/>
  <c r="X51"/>
  <c r="AA51" s="1"/>
  <c r="X63"/>
  <c r="AA41"/>
  <c r="V139"/>
  <c r="V117"/>
  <c r="V119"/>
  <c r="V128"/>
  <c r="V130"/>
  <c r="Y128"/>
  <c r="Y143"/>
  <c r="Y116" l="1"/>
  <c r="Y133"/>
  <c r="Y125"/>
  <c r="Y135"/>
  <c r="Y139"/>
  <c r="Y126"/>
  <c r="Y136"/>
  <c r="Y142"/>
  <c r="W125"/>
  <c r="W117"/>
  <c r="Y141"/>
  <c r="Y123"/>
  <c r="Y137"/>
  <c r="Y129"/>
  <c r="Y132"/>
  <c r="Y117"/>
  <c r="V145"/>
  <c r="V146" s="1"/>
  <c r="Y124"/>
  <c r="AD7" i="45"/>
  <c r="AA62" i="8"/>
  <c r="AD10" i="45"/>
  <c r="AA65" i="8"/>
  <c r="W119"/>
  <c r="W127"/>
  <c r="Y138"/>
  <c r="W124"/>
  <c r="W141"/>
  <c r="W138"/>
  <c r="W134"/>
  <c r="W132"/>
  <c r="Y119"/>
  <c r="Y121"/>
  <c r="Y127"/>
  <c r="Y130"/>
  <c r="AD8" i="45"/>
  <c r="X104" i="8"/>
  <c r="X84"/>
  <c r="X100"/>
  <c r="X91"/>
  <c r="X82"/>
  <c r="X106"/>
  <c r="X80"/>
  <c r="X94"/>
  <c r="X90"/>
  <c r="X79"/>
  <c r="X93"/>
  <c r="X99"/>
  <c r="X105"/>
  <c r="X142" s="1"/>
  <c r="X87"/>
  <c r="X83"/>
  <c r="X92"/>
  <c r="X129" s="1"/>
  <c r="X67"/>
  <c r="X69" s="1"/>
  <c r="X98"/>
  <c r="X89"/>
  <c r="X97"/>
  <c r="X103"/>
  <c r="X101"/>
  <c r="X96"/>
  <c r="X85"/>
  <c r="X102"/>
  <c r="X88"/>
  <c r="X125" s="1"/>
  <c r="X78"/>
  <c r="X115" s="1"/>
  <c r="X95"/>
  <c r="X132" s="1"/>
  <c r="X81"/>
  <c r="X86"/>
  <c r="AA63"/>
  <c r="W116"/>
  <c r="W126"/>
  <c r="W118"/>
  <c r="W123"/>
  <c r="W139"/>
  <c r="W128"/>
  <c r="W131"/>
  <c r="W120"/>
  <c r="W133"/>
  <c r="W130"/>
  <c r="W121"/>
  <c r="W142"/>
  <c r="W135"/>
  <c r="W137"/>
  <c r="W108"/>
  <c r="X133" l="1"/>
  <c r="X126"/>
  <c r="X120"/>
  <c r="X130"/>
  <c r="X137"/>
  <c r="Y145"/>
  <c r="W145"/>
  <c r="W146" s="1"/>
  <c r="X123"/>
  <c r="X138"/>
  <c r="X135"/>
  <c r="X116"/>
  <c r="X143"/>
  <c r="X121"/>
  <c r="X124"/>
  <c r="X108"/>
  <c r="X122"/>
  <c r="X134"/>
  <c r="X136"/>
  <c r="X131"/>
  <c r="X128"/>
  <c r="AA67"/>
  <c r="B67" s="1"/>
  <c r="C10"/>
  <c r="X117"/>
  <c r="X118"/>
  <c r="X139"/>
  <c r="X140"/>
  <c r="X127"/>
  <c r="X119"/>
  <c r="X141"/>
  <c r="X145" l="1"/>
  <c r="X146" s="1"/>
</calcChain>
</file>

<file path=xl/comments1.xml><?xml version="1.0" encoding="utf-8"?>
<comments xmlns="http://schemas.openxmlformats.org/spreadsheetml/2006/main">
  <authors>
    <author xml:space="preserve"> </author>
    <author>Tina Jayaweera</author>
  </authors>
  <commentList>
    <comment ref="I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BH43"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3"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3"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3"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56"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56"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56"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56"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2.xml><?xml version="1.0" encoding="utf-8"?>
<comments xmlns="http://schemas.openxmlformats.org/spreadsheetml/2006/main">
  <authors>
    <author xml:space="preserve"> </author>
  </authors>
  <commentList>
    <comment ref="K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Q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C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D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E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F7" authorId="0">
      <text>
        <r>
          <rPr>
            <b/>
            <sz val="8"/>
            <color indexed="81"/>
            <rFont val="Tahoma"/>
            <family val="2"/>
          </rPr>
          <t xml:space="preserve"> :ProCost</t>
        </r>
        <r>
          <rPr>
            <sz val="8"/>
            <color indexed="81"/>
            <rFont val="Tahoma"/>
            <family val="2"/>
          </rPr>
          <t xml:space="preserve">
Physical life of the measure in years.  Must be &gt;=1.</t>
        </r>
      </text>
    </comment>
    <comment ref="G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H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I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J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K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O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P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Q7" authorId="0">
      <text>
        <r>
          <rPr>
            <b/>
            <sz val="8"/>
            <color indexed="81"/>
            <rFont val="Tahoma"/>
            <family val="2"/>
          </rPr>
          <t xml:space="preserve"> :</t>
        </r>
        <r>
          <rPr>
            <sz val="8"/>
            <color indexed="81"/>
            <rFont val="Tahoma"/>
            <family val="2"/>
          </rPr>
          <t xml:space="preserve">
Annual gas savings, or increases, in therms.</t>
        </r>
      </text>
    </comment>
    <comment ref="R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K45"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Q45"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C46"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D46"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E46"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F46" authorId="0">
      <text>
        <r>
          <rPr>
            <b/>
            <sz val="8"/>
            <color indexed="81"/>
            <rFont val="Tahoma"/>
            <family val="2"/>
          </rPr>
          <t xml:space="preserve"> :ProCost</t>
        </r>
        <r>
          <rPr>
            <sz val="8"/>
            <color indexed="81"/>
            <rFont val="Tahoma"/>
            <family val="2"/>
          </rPr>
          <t xml:space="preserve">
Physical life of the measure in years.  Must be &gt;=1.</t>
        </r>
      </text>
    </comment>
    <comment ref="G46"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H46"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I4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J46"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K46"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L46"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M46"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N46"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O46"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P46"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Q46" authorId="0">
      <text>
        <r>
          <rPr>
            <b/>
            <sz val="8"/>
            <color indexed="81"/>
            <rFont val="Tahoma"/>
            <family val="2"/>
          </rPr>
          <t xml:space="preserve"> :</t>
        </r>
        <r>
          <rPr>
            <sz val="8"/>
            <color indexed="81"/>
            <rFont val="Tahoma"/>
            <family val="2"/>
          </rPr>
          <t xml:space="preserve">
Annual gas savings, or increases, in therms.</t>
        </r>
      </text>
    </comment>
    <comment ref="R4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List>
</comments>
</file>

<file path=xl/comments3.xml><?xml version="1.0" encoding="utf-8"?>
<comments xmlns="http://schemas.openxmlformats.org/spreadsheetml/2006/main">
  <authors>
    <author xml:space="preserve"> </author>
    <author>Tina Jayaweera</author>
    <author>Tom Eckman</author>
  </authors>
  <commentList>
    <comment ref="J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B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7" authorId="0">
      <text>
        <r>
          <rPr>
            <b/>
            <sz val="8"/>
            <color indexed="81"/>
            <rFont val="Tahoma"/>
            <family val="2"/>
          </rPr>
          <t xml:space="preserve"> :ProCost</t>
        </r>
        <r>
          <rPr>
            <sz val="8"/>
            <color indexed="81"/>
            <rFont val="Tahoma"/>
            <family val="2"/>
          </rPr>
          <t xml:space="preserve">
Physical life of the measure in years.  Must be &gt;=1.</t>
        </r>
      </text>
    </comment>
    <comment ref="F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H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I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7" authorId="0">
      <text>
        <r>
          <rPr>
            <b/>
            <sz val="8"/>
            <color indexed="81"/>
            <rFont val="Tahoma"/>
            <family val="2"/>
          </rPr>
          <t xml:space="preserve"> :</t>
        </r>
        <r>
          <rPr>
            <sz val="8"/>
            <color indexed="81"/>
            <rFont val="Tahoma"/>
            <family val="2"/>
          </rPr>
          <t xml:space="preserve">
Annual gas savings, or increases, in therms.</t>
        </r>
      </text>
    </comment>
    <comment ref="Q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F42" authorId="1">
      <text>
        <r>
          <rPr>
            <b/>
            <sz val="9"/>
            <color indexed="81"/>
            <rFont val="Tahoma"/>
            <family val="2"/>
          </rPr>
          <t>Tina Jayaweera:</t>
        </r>
        <r>
          <rPr>
            <sz val="9"/>
            <color indexed="81"/>
            <rFont val="Tahoma"/>
            <family val="2"/>
          </rPr>
          <t xml:space="preserve">
6th Plan assumption, inflated from 2006$</t>
        </r>
      </text>
    </comment>
    <comment ref="I42"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43" authorId="1">
      <text>
        <r>
          <rPr>
            <b/>
            <sz val="9"/>
            <color indexed="81"/>
            <rFont val="Tahoma"/>
            <family val="2"/>
          </rPr>
          <t>Tina Jayaweera:</t>
        </r>
        <r>
          <rPr>
            <sz val="9"/>
            <color indexed="81"/>
            <rFont val="Tahoma"/>
            <family val="2"/>
          </rPr>
          <t xml:space="preserve">
6th Plan assumption, inflated from 2006$</t>
        </r>
      </text>
    </comment>
    <comment ref="I43"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44" authorId="1">
      <text>
        <r>
          <rPr>
            <b/>
            <sz val="9"/>
            <color indexed="81"/>
            <rFont val="Tahoma"/>
            <family val="2"/>
          </rPr>
          <t>Tina Jayaweera:</t>
        </r>
        <r>
          <rPr>
            <sz val="9"/>
            <color indexed="81"/>
            <rFont val="Tahoma"/>
            <family val="2"/>
          </rPr>
          <t xml:space="preserve">
6th Plan assumption, inflated from 2006$</t>
        </r>
      </text>
    </comment>
    <comment ref="I44"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45" authorId="1">
      <text>
        <r>
          <rPr>
            <b/>
            <sz val="9"/>
            <color indexed="81"/>
            <rFont val="Tahoma"/>
            <family val="2"/>
          </rPr>
          <t>Tina Jayaweera:</t>
        </r>
        <r>
          <rPr>
            <sz val="9"/>
            <color indexed="81"/>
            <rFont val="Tahoma"/>
            <family val="2"/>
          </rPr>
          <t xml:space="preserve">
6th Plan assumption, inflated from 2006$</t>
        </r>
      </text>
    </comment>
    <comment ref="I45"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46" authorId="1">
      <text>
        <r>
          <rPr>
            <b/>
            <sz val="9"/>
            <color indexed="81"/>
            <rFont val="Tahoma"/>
            <family val="2"/>
          </rPr>
          <t>Tina Jayaweera:</t>
        </r>
        <r>
          <rPr>
            <sz val="9"/>
            <color indexed="81"/>
            <rFont val="Tahoma"/>
            <family val="2"/>
          </rPr>
          <t xml:space="preserve">
6th Plan assumption, inflated from 2006$</t>
        </r>
      </text>
    </comment>
    <comment ref="I46"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47" authorId="1">
      <text>
        <r>
          <rPr>
            <b/>
            <sz val="9"/>
            <color indexed="81"/>
            <rFont val="Tahoma"/>
            <family val="2"/>
          </rPr>
          <t>Tina Jayaweera:</t>
        </r>
        <r>
          <rPr>
            <sz val="9"/>
            <color indexed="81"/>
            <rFont val="Tahoma"/>
            <family val="2"/>
          </rPr>
          <t xml:space="preserve">
6th Plan assumption, inflated from 2006$</t>
        </r>
      </text>
    </comment>
    <comment ref="I47"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48" authorId="1">
      <text>
        <r>
          <rPr>
            <b/>
            <sz val="9"/>
            <color indexed="81"/>
            <rFont val="Tahoma"/>
            <family val="2"/>
          </rPr>
          <t>Tina Jayaweera:</t>
        </r>
        <r>
          <rPr>
            <sz val="9"/>
            <color indexed="81"/>
            <rFont val="Tahoma"/>
            <family val="2"/>
          </rPr>
          <t xml:space="preserve">
6th Plan assumption, inflated from 2006$</t>
        </r>
      </text>
    </comment>
    <comment ref="I48"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49" authorId="1">
      <text>
        <r>
          <rPr>
            <b/>
            <sz val="9"/>
            <color indexed="81"/>
            <rFont val="Tahoma"/>
            <family val="2"/>
          </rPr>
          <t>Tina Jayaweera:</t>
        </r>
        <r>
          <rPr>
            <sz val="9"/>
            <color indexed="81"/>
            <rFont val="Tahoma"/>
            <family val="2"/>
          </rPr>
          <t xml:space="preserve">
6th Plan assumption, inflated from 2006$</t>
        </r>
      </text>
    </comment>
    <comment ref="I49"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50" authorId="1">
      <text>
        <r>
          <rPr>
            <b/>
            <sz val="9"/>
            <color indexed="81"/>
            <rFont val="Tahoma"/>
            <family val="2"/>
          </rPr>
          <t>Tina Jayaweera:</t>
        </r>
        <r>
          <rPr>
            <sz val="9"/>
            <color indexed="81"/>
            <rFont val="Tahoma"/>
            <family val="2"/>
          </rPr>
          <t xml:space="preserve">
6th Plan assumption, inflated from 2006$</t>
        </r>
      </text>
    </comment>
    <comment ref="I50"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51" authorId="1">
      <text>
        <r>
          <rPr>
            <b/>
            <sz val="9"/>
            <color indexed="81"/>
            <rFont val="Tahoma"/>
            <family val="2"/>
          </rPr>
          <t>Tina Jayaweera:</t>
        </r>
        <r>
          <rPr>
            <sz val="9"/>
            <color indexed="81"/>
            <rFont val="Tahoma"/>
            <family val="2"/>
          </rPr>
          <t xml:space="preserve">
6th Plan assumption, inflated from 2006$</t>
        </r>
      </text>
    </comment>
    <comment ref="I51"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52" authorId="1">
      <text>
        <r>
          <rPr>
            <b/>
            <sz val="9"/>
            <color indexed="81"/>
            <rFont val="Tahoma"/>
            <family val="2"/>
          </rPr>
          <t>Tina Jayaweera:</t>
        </r>
        <r>
          <rPr>
            <sz val="9"/>
            <color indexed="81"/>
            <rFont val="Tahoma"/>
            <family val="2"/>
          </rPr>
          <t xml:space="preserve">
6th Plan assumption, inflated from 2006$</t>
        </r>
      </text>
    </comment>
    <comment ref="I52"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53" authorId="1">
      <text>
        <r>
          <rPr>
            <b/>
            <sz val="9"/>
            <color indexed="81"/>
            <rFont val="Tahoma"/>
            <family val="2"/>
          </rPr>
          <t>Tina Jayaweera:</t>
        </r>
        <r>
          <rPr>
            <sz val="9"/>
            <color indexed="81"/>
            <rFont val="Tahoma"/>
            <family val="2"/>
          </rPr>
          <t xml:space="preserve">
6th Plan assumption, inflated from 2006$</t>
        </r>
      </text>
    </comment>
    <comment ref="I53"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54" authorId="1">
      <text>
        <r>
          <rPr>
            <b/>
            <sz val="9"/>
            <color indexed="81"/>
            <rFont val="Tahoma"/>
            <family val="2"/>
          </rPr>
          <t>Tina Jayaweera:</t>
        </r>
        <r>
          <rPr>
            <sz val="9"/>
            <color indexed="81"/>
            <rFont val="Tahoma"/>
            <family val="2"/>
          </rPr>
          <t xml:space="preserve">
6th Plan assumption, inflated from 2006$</t>
        </r>
      </text>
    </comment>
    <comment ref="I54"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55" authorId="1">
      <text>
        <r>
          <rPr>
            <b/>
            <sz val="9"/>
            <color indexed="81"/>
            <rFont val="Tahoma"/>
            <family val="2"/>
          </rPr>
          <t>Tina Jayaweera:</t>
        </r>
        <r>
          <rPr>
            <sz val="9"/>
            <color indexed="81"/>
            <rFont val="Tahoma"/>
            <family val="2"/>
          </rPr>
          <t xml:space="preserve">
6th Plan assumption, inflated from 2006$</t>
        </r>
      </text>
    </comment>
    <comment ref="I55"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56" authorId="1">
      <text>
        <r>
          <rPr>
            <b/>
            <sz val="9"/>
            <color indexed="81"/>
            <rFont val="Tahoma"/>
            <family val="2"/>
          </rPr>
          <t>Tina Jayaweera:</t>
        </r>
        <r>
          <rPr>
            <sz val="9"/>
            <color indexed="81"/>
            <rFont val="Tahoma"/>
            <family val="2"/>
          </rPr>
          <t xml:space="preserve">
6th Plan assumption, inflated from 2006$</t>
        </r>
      </text>
    </comment>
    <comment ref="I56"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57" authorId="1">
      <text>
        <r>
          <rPr>
            <b/>
            <sz val="9"/>
            <color indexed="81"/>
            <rFont val="Tahoma"/>
            <family val="2"/>
          </rPr>
          <t>Tina Jayaweera:</t>
        </r>
        <r>
          <rPr>
            <sz val="9"/>
            <color indexed="81"/>
            <rFont val="Tahoma"/>
            <family val="2"/>
          </rPr>
          <t xml:space="preserve">
6th Plan assumption, inflated from 2006$</t>
        </r>
      </text>
    </comment>
    <comment ref="I57"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58" authorId="1">
      <text>
        <r>
          <rPr>
            <b/>
            <sz val="9"/>
            <color indexed="81"/>
            <rFont val="Tahoma"/>
            <family val="2"/>
          </rPr>
          <t>Tina Jayaweera:</t>
        </r>
        <r>
          <rPr>
            <sz val="9"/>
            <color indexed="81"/>
            <rFont val="Tahoma"/>
            <family val="2"/>
          </rPr>
          <t xml:space="preserve">
6th Plan assumption, inflated from 2006$</t>
        </r>
      </text>
    </comment>
    <comment ref="I58"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59" authorId="1">
      <text>
        <r>
          <rPr>
            <b/>
            <sz val="9"/>
            <color indexed="81"/>
            <rFont val="Tahoma"/>
            <family val="2"/>
          </rPr>
          <t>Tina Jayaweera:</t>
        </r>
        <r>
          <rPr>
            <sz val="9"/>
            <color indexed="81"/>
            <rFont val="Tahoma"/>
            <family val="2"/>
          </rPr>
          <t xml:space="preserve">
6th Plan assumption, inflated from 2006$</t>
        </r>
      </text>
    </comment>
    <comment ref="I59"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60" authorId="1">
      <text>
        <r>
          <rPr>
            <b/>
            <sz val="9"/>
            <color indexed="81"/>
            <rFont val="Tahoma"/>
            <family val="2"/>
          </rPr>
          <t>Tina Jayaweera:</t>
        </r>
        <r>
          <rPr>
            <sz val="9"/>
            <color indexed="81"/>
            <rFont val="Tahoma"/>
            <family val="2"/>
          </rPr>
          <t xml:space="preserve">
6th Plan assumption, inflated from 2006$</t>
        </r>
      </text>
    </comment>
    <comment ref="I60"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61" authorId="1">
      <text>
        <r>
          <rPr>
            <b/>
            <sz val="9"/>
            <color indexed="81"/>
            <rFont val="Tahoma"/>
            <family val="2"/>
          </rPr>
          <t>Tina Jayaweera:</t>
        </r>
        <r>
          <rPr>
            <sz val="9"/>
            <color indexed="81"/>
            <rFont val="Tahoma"/>
            <family val="2"/>
          </rPr>
          <t xml:space="preserve">
6th Plan assumption, inflated from 2006$</t>
        </r>
      </text>
    </comment>
    <comment ref="I61"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62" authorId="1">
      <text>
        <r>
          <rPr>
            <b/>
            <sz val="9"/>
            <color indexed="81"/>
            <rFont val="Tahoma"/>
            <family val="2"/>
          </rPr>
          <t>Tina Jayaweera:</t>
        </r>
        <r>
          <rPr>
            <sz val="9"/>
            <color indexed="81"/>
            <rFont val="Tahoma"/>
            <family val="2"/>
          </rPr>
          <t xml:space="preserve">
6th Plan assumption, inflated from 2006$</t>
        </r>
      </text>
    </comment>
    <comment ref="I62"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63" authorId="1">
      <text>
        <r>
          <rPr>
            <b/>
            <sz val="9"/>
            <color indexed="81"/>
            <rFont val="Tahoma"/>
            <family val="2"/>
          </rPr>
          <t>Tina Jayaweera:</t>
        </r>
        <r>
          <rPr>
            <sz val="9"/>
            <color indexed="81"/>
            <rFont val="Tahoma"/>
            <family val="2"/>
          </rPr>
          <t xml:space="preserve">
6th Plan assumption, inflated from 2006$</t>
        </r>
      </text>
    </comment>
    <comment ref="I63"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64" authorId="1">
      <text>
        <r>
          <rPr>
            <b/>
            <sz val="9"/>
            <color indexed="81"/>
            <rFont val="Tahoma"/>
            <family val="2"/>
          </rPr>
          <t>Tina Jayaweera:</t>
        </r>
        <r>
          <rPr>
            <sz val="9"/>
            <color indexed="81"/>
            <rFont val="Tahoma"/>
            <family val="2"/>
          </rPr>
          <t xml:space="preserve">
6th Plan assumption, inflated from 2006$</t>
        </r>
      </text>
    </comment>
    <comment ref="I64"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65" authorId="1">
      <text>
        <r>
          <rPr>
            <b/>
            <sz val="9"/>
            <color indexed="81"/>
            <rFont val="Tahoma"/>
            <family val="2"/>
          </rPr>
          <t>Tina Jayaweera:</t>
        </r>
        <r>
          <rPr>
            <sz val="9"/>
            <color indexed="81"/>
            <rFont val="Tahoma"/>
            <family val="2"/>
          </rPr>
          <t xml:space="preserve">
6th Plan assumption, inflated from 2006$</t>
        </r>
      </text>
    </comment>
    <comment ref="I65"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66" authorId="1">
      <text>
        <r>
          <rPr>
            <b/>
            <sz val="9"/>
            <color indexed="81"/>
            <rFont val="Tahoma"/>
            <family val="2"/>
          </rPr>
          <t>Tina Jayaweera:</t>
        </r>
        <r>
          <rPr>
            <sz val="9"/>
            <color indexed="81"/>
            <rFont val="Tahoma"/>
            <family val="2"/>
          </rPr>
          <t xml:space="preserve">
6th Plan assumption, inflated from 2006$</t>
        </r>
      </text>
    </comment>
    <comment ref="I66"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67" authorId="1">
      <text>
        <r>
          <rPr>
            <b/>
            <sz val="9"/>
            <color indexed="81"/>
            <rFont val="Tahoma"/>
            <family val="2"/>
          </rPr>
          <t>Tina Jayaweera:</t>
        </r>
        <r>
          <rPr>
            <sz val="9"/>
            <color indexed="81"/>
            <rFont val="Tahoma"/>
            <family val="2"/>
          </rPr>
          <t xml:space="preserve">
6th Plan assumption, inflated from 2006$</t>
        </r>
      </text>
    </comment>
    <comment ref="I67"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68" authorId="1">
      <text>
        <r>
          <rPr>
            <b/>
            <sz val="9"/>
            <color indexed="81"/>
            <rFont val="Tahoma"/>
            <family val="2"/>
          </rPr>
          <t>Tina Jayaweera:</t>
        </r>
        <r>
          <rPr>
            <sz val="9"/>
            <color indexed="81"/>
            <rFont val="Tahoma"/>
            <family val="2"/>
          </rPr>
          <t xml:space="preserve">
6th Plan assumption, inflated from 2006$</t>
        </r>
      </text>
    </comment>
    <comment ref="I68"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69" authorId="1">
      <text>
        <r>
          <rPr>
            <b/>
            <sz val="9"/>
            <color indexed="81"/>
            <rFont val="Tahoma"/>
            <family val="2"/>
          </rPr>
          <t>Tina Jayaweera:</t>
        </r>
        <r>
          <rPr>
            <sz val="9"/>
            <color indexed="81"/>
            <rFont val="Tahoma"/>
            <family val="2"/>
          </rPr>
          <t xml:space="preserve">
6th Plan assumption, inflated from 2006$</t>
        </r>
      </text>
    </comment>
    <comment ref="I69"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70" authorId="1">
      <text>
        <r>
          <rPr>
            <b/>
            <sz val="9"/>
            <color indexed="81"/>
            <rFont val="Tahoma"/>
            <family val="2"/>
          </rPr>
          <t>Tina Jayaweera:</t>
        </r>
        <r>
          <rPr>
            <sz val="9"/>
            <color indexed="81"/>
            <rFont val="Tahoma"/>
            <family val="2"/>
          </rPr>
          <t xml:space="preserve">
6th Plan assumption, inflated from 2006$</t>
        </r>
      </text>
    </comment>
    <comment ref="I70"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71" authorId="1">
      <text>
        <r>
          <rPr>
            <b/>
            <sz val="9"/>
            <color indexed="81"/>
            <rFont val="Tahoma"/>
            <family val="2"/>
          </rPr>
          <t>Tina Jayaweera:</t>
        </r>
        <r>
          <rPr>
            <sz val="9"/>
            <color indexed="81"/>
            <rFont val="Tahoma"/>
            <family val="2"/>
          </rPr>
          <t xml:space="preserve">
6th Plan assumption, inflated from 2006$</t>
        </r>
      </text>
    </comment>
    <comment ref="I71"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72" authorId="1">
      <text>
        <r>
          <rPr>
            <b/>
            <sz val="9"/>
            <color indexed="81"/>
            <rFont val="Tahoma"/>
            <family val="2"/>
          </rPr>
          <t>Tina Jayaweera:</t>
        </r>
        <r>
          <rPr>
            <sz val="9"/>
            <color indexed="81"/>
            <rFont val="Tahoma"/>
            <family val="2"/>
          </rPr>
          <t xml:space="preserve">
6th Plan assumption, inflated from 2006$</t>
        </r>
      </text>
    </comment>
    <comment ref="I72"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73" authorId="1">
      <text>
        <r>
          <rPr>
            <b/>
            <sz val="9"/>
            <color indexed="81"/>
            <rFont val="Tahoma"/>
            <family val="2"/>
          </rPr>
          <t>Tina Jayaweera:</t>
        </r>
        <r>
          <rPr>
            <sz val="9"/>
            <color indexed="81"/>
            <rFont val="Tahoma"/>
            <family val="2"/>
          </rPr>
          <t xml:space="preserve">
6th Plan assumption, inflated from 2006$</t>
        </r>
      </text>
    </comment>
    <comment ref="I73"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74" authorId="1">
      <text>
        <r>
          <rPr>
            <b/>
            <sz val="9"/>
            <color indexed="81"/>
            <rFont val="Tahoma"/>
            <family val="2"/>
          </rPr>
          <t>Tina Jayaweera:</t>
        </r>
        <r>
          <rPr>
            <sz val="9"/>
            <color indexed="81"/>
            <rFont val="Tahoma"/>
            <family val="2"/>
          </rPr>
          <t xml:space="preserve">
6th Plan assumption, inflated from 2006$</t>
        </r>
      </text>
    </comment>
    <comment ref="I74"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75" authorId="1">
      <text>
        <r>
          <rPr>
            <b/>
            <sz val="9"/>
            <color indexed="81"/>
            <rFont val="Tahoma"/>
            <family val="2"/>
          </rPr>
          <t>Tina Jayaweera:</t>
        </r>
        <r>
          <rPr>
            <sz val="9"/>
            <color indexed="81"/>
            <rFont val="Tahoma"/>
            <family val="2"/>
          </rPr>
          <t xml:space="preserve">
6th Plan assumption, inflated from 2006$</t>
        </r>
      </text>
    </comment>
    <comment ref="I75"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76" authorId="1">
      <text>
        <r>
          <rPr>
            <b/>
            <sz val="9"/>
            <color indexed="81"/>
            <rFont val="Tahoma"/>
            <family val="2"/>
          </rPr>
          <t>Tina Jayaweera:</t>
        </r>
        <r>
          <rPr>
            <sz val="9"/>
            <color indexed="81"/>
            <rFont val="Tahoma"/>
            <family val="2"/>
          </rPr>
          <t xml:space="preserve">
6th Plan assumption, inflated from 2006$</t>
        </r>
      </text>
    </comment>
    <comment ref="I76"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77" authorId="1">
      <text>
        <r>
          <rPr>
            <b/>
            <sz val="9"/>
            <color indexed="81"/>
            <rFont val="Tahoma"/>
            <family val="2"/>
          </rPr>
          <t>Tina Jayaweera:</t>
        </r>
        <r>
          <rPr>
            <sz val="9"/>
            <color indexed="81"/>
            <rFont val="Tahoma"/>
            <family val="2"/>
          </rPr>
          <t xml:space="preserve">
6th Plan assumption, inflated from 2006$</t>
        </r>
      </text>
    </comment>
    <comment ref="I77"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78" authorId="1">
      <text>
        <r>
          <rPr>
            <b/>
            <sz val="9"/>
            <color indexed="81"/>
            <rFont val="Tahoma"/>
            <family val="2"/>
          </rPr>
          <t>Tina Jayaweera:</t>
        </r>
        <r>
          <rPr>
            <sz val="9"/>
            <color indexed="81"/>
            <rFont val="Tahoma"/>
            <family val="2"/>
          </rPr>
          <t xml:space="preserve">
6th Plan assumption, inflated from 2006$</t>
        </r>
      </text>
    </comment>
    <comment ref="I78"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79" authorId="1">
      <text>
        <r>
          <rPr>
            <b/>
            <sz val="9"/>
            <color indexed="81"/>
            <rFont val="Tahoma"/>
            <family val="2"/>
          </rPr>
          <t>Tina Jayaweera:</t>
        </r>
        <r>
          <rPr>
            <sz val="9"/>
            <color indexed="81"/>
            <rFont val="Tahoma"/>
            <family val="2"/>
          </rPr>
          <t xml:space="preserve">
6th Plan assumption, inflated from 2006$</t>
        </r>
      </text>
    </comment>
    <comment ref="I79"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80" authorId="1">
      <text>
        <r>
          <rPr>
            <b/>
            <sz val="9"/>
            <color indexed="81"/>
            <rFont val="Tahoma"/>
            <family val="2"/>
          </rPr>
          <t>Tina Jayaweera:</t>
        </r>
        <r>
          <rPr>
            <sz val="9"/>
            <color indexed="81"/>
            <rFont val="Tahoma"/>
            <family val="2"/>
          </rPr>
          <t xml:space="preserve">
6th Plan assumption, inflated from 2006$</t>
        </r>
      </text>
    </comment>
    <comment ref="I80"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81" authorId="1">
      <text>
        <r>
          <rPr>
            <b/>
            <sz val="9"/>
            <color indexed="81"/>
            <rFont val="Tahoma"/>
            <family val="2"/>
          </rPr>
          <t>Tina Jayaweera:</t>
        </r>
        <r>
          <rPr>
            <sz val="9"/>
            <color indexed="81"/>
            <rFont val="Tahoma"/>
            <family val="2"/>
          </rPr>
          <t xml:space="preserve">
6th Plan assumption, inflated from 2006$</t>
        </r>
      </text>
    </comment>
    <comment ref="I81"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82" authorId="1">
      <text>
        <r>
          <rPr>
            <b/>
            <sz val="9"/>
            <color indexed="81"/>
            <rFont val="Tahoma"/>
            <family val="2"/>
          </rPr>
          <t>Tina Jayaweera:</t>
        </r>
        <r>
          <rPr>
            <sz val="9"/>
            <color indexed="81"/>
            <rFont val="Tahoma"/>
            <family val="2"/>
          </rPr>
          <t xml:space="preserve">
6th Plan assumption, inflated from 2006$</t>
        </r>
      </text>
    </comment>
    <comment ref="I82"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83" authorId="1">
      <text>
        <r>
          <rPr>
            <b/>
            <sz val="9"/>
            <color indexed="81"/>
            <rFont val="Tahoma"/>
            <family val="2"/>
          </rPr>
          <t>Tina Jayaweera:</t>
        </r>
        <r>
          <rPr>
            <sz val="9"/>
            <color indexed="81"/>
            <rFont val="Tahoma"/>
            <family val="2"/>
          </rPr>
          <t xml:space="preserve">
6th Plan assumption, inflated from 2006$</t>
        </r>
      </text>
    </comment>
    <comment ref="I83"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84" authorId="1">
      <text>
        <r>
          <rPr>
            <b/>
            <sz val="9"/>
            <color indexed="81"/>
            <rFont val="Tahoma"/>
            <family val="2"/>
          </rPr>
          <t>Tina Jayaweera:</t>
        </r>
        <r>
          <rPr>
            <sz val="9"/>
            <color indexed="81"/>
            <rFont val="Tahoma"/>
            <family val="2"/>
          </rPr>
          <t xml:space="preserve">
6th Plan assumption, inflated from 2006$</t>
        </r>
      </text>
    </comment>
    <comment ref="I84"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85" authorId="1">
      <text>
        <r>
          <rPr>
            <b/>
            <sz val="9"/>
            <color indexed="81"/>
            <rFont val="Tahoma"/>
            <family val="2"/>
          </rPr>
          <t>Tina Jayaweera:</t>
        </r>
        <r>
          <rPr>
            <sz val="9"/>
            <color indexed="81"/>
            <rFont val="Tahoma"/>
            <family val="2"/>
          </rPr>
          <t xml:space="preserve">
6th Plan assumption, inflated from 2006$</t>
        </r>
      </text>
    </comment>
    <comment ref="F86" authorId="1">
      <text>
        <r>
          <rPr>
            <b/>
            <sz val="9"/>
            <color indexed="81"/>
            <rFont val="Tahoma"/>
            <family val="2"/>
          </rPr>
          <t>Tina Jayaweera:</t>
        </r>
        <r>
          <rPr>
            <sz val="9"/>
            <color indexed="81"/>
            <rFont val="Tahoma"/>
            <family val="2"/>
          </rPr>
          <t xml:space="preserve">
6th Plan assumption, inflated from 2006$</t>
        </r>
      </text>
    </comment>
    <comment ref="F87" authorId="1">
      <text>
        <r>
          <rPr>
            <b/>
            <sz val="9"/>
            <color indexed="81"/>
            <rFont val="Tahoma"/>
            <family val="2"/>
          </rPr>
          <t>Tina Jayaweera:</t>
        </r>
        <r>
          <rPr>
            <sz val="9"/>
            <color indexed="81"/>
            <rFont val="Tahoma"/>
            <family val="2"/>
          </rPr>
          <t xml:space="preserve">
6th Plan assumption, inflated from 2006$</t>
        </r>
      </text>
    </comment>
    <comment ref="F88" authorId="1">
      <text>
        <r>
          <rPr>
            <b/>
            <sz val="9"/>
            <color indexed="81"/>
            <rFont val="Tahoma"/>
            <family val="2"/>
          </rPr>
          <t>Tina Jayaweera:</t>
        </r>
        <r>
          <rPr>
            <sz val="9"/>
            <color indexed="81"/>
            <rFont val="Tahoma"/>
            <family val="2"/>
          </rPr>
          <t xml:space="preserve">
6th Plan assumption, inflated from 2006$</t>
        </r>
      </text>
    </comment>
    <comment ref="F89" authorId="1">
      <text>
        <r>
          <rPr>
            <b/>
            <sz val="9"/>
            <color indexed="81"/>
            <rFont val="Tahoma"/>
            <family val="2"/>
          </rPr>
          <t>Tina Jayaweera:</t>
        </r>
        <r>
          <rPr>
            <sz val="9"/>
            <color indexed="81"/>
            <rFont val="Tahoma"/>
            <family val="2"/>
          </rPr>
          <t xml:space="preserve">
6th Plan assumption, inflated from 2006$</t>
        </r>
      </text>
    </comment>
    <comment ref="F90" authorId="1">
      <text>
        <r>
          <rPr>
            <b/>
            <sz val="9"/>
            <color indexed="81"/>
            <rFont val="Tahoma"/>
            <family val="2"/>
          </rPr>
          <t>Tina Jayaweera:</t>
        </r>
        <r>
          <rPr>
            <sz val="9"/>
            <color indexed="81"/>
            <rFont val="Tahoma"/>
            <family val="2"/>
          </rPr>
          <t xml:space="preserve">
6th Plan assumption, inflated from 2006$</t>
        </r>
      </text>
    </comment>
    <comment ref="F91" authorId="1">
      <text>
        <r>
          <rPr>
            <b/>
            <sz val="9"/>
            <color indexed="81"/>
            <rFont val="Tahoma"/>
            <family val="2"/>
          </rPr>
          <t>Tina Jayaweera:</t>
        </r>
        <r>
          <rPr>
            <sz val="9"/>
            <color indexed="81"/>
            <rFont val="Tahoma"/>
            <family val="2"/>
          </rPr>
          <t xml:space="preserve">
6th Plan assumption, inflated from 2006$</t>
        </r>
      </text>
    </comment>
    <comment ref="F92" authorId="1">
      <text>
        <r>
          <rPr>
            <b/>
            <sz val="9"/>
            <color indexed="81"/>
            <rFont val="Tahoma"/>
            <family val="2"/>
          </rPr>
          <t>Tina Jayaweera:</t>
        </r>
        <r>
          <rPr>
            <sz val="9"/>
            <color indexed="81"/>
            <rFont val="Tahoma"/>
            <family val="2"/>
          </rPr>
          <t xml:space="preserve">
6th Plan assumption, inflated from 2006$</t>
        </r>
      </text>
    </comment>
    <comment ref="F93" authorId="1">
      <text>
        <r>
          <rPr>
            <b/>
            <sz val="9"/>
            <color indexed="81"/>
            <rFont val="Tahoma"/>
            <family val="2"/>
          </rPr>
          <t>Tina Jayaweera:</t>
        </r>
        <r>
          <rPr>
            <sz val="9"/>
            <color indexed="81"/>
            <rFont val="Tahoma"/>
            <family val="2"/>
          </rPr>
          <t xml:space="preserve">
6th Plan assumption, inflated from 2006$</t>
        </r>
      </text>
    </comment>
    <comment ref="F94" authorId="1">
      <text>
        <r>
          <rPr>
            <b/>
            <sz val="9"/>
            <color indexed="81"/>
            <rFont val="Tahoma"/>
            <family val="2"/>
          </rPr>
          <t>Tina Jayaweera:</t>
        </r>
        <r>
          <rPr>
            <sz val="9"/>
            <color indexed="81"/>
            <rFont val="Tahoma"/>
            <family val="2"/>
          </rPr>
          <t xml:space="preserve">
6th Plan assumption, inflated from 2006$</t>
        </r>
      </text>
    </comment>
    <comment ref="F95" authorId="1">
      <text>
        <r>
          <rPr>
            <b/>
            <sz val="9"/>
            <color indexed="81"/>
            <rFont val="Tahoma"/>
            <family val="2"/>
          </rPr>
          <t>Tina Jayaweera:</t>
        </r>
        <r>
          <rPr>
            <sz val="9"/>
            <color indexed="81"/>
            <rFont val="Tahoma"/>
            <family val="2"/>
          </rPr>
          <t xml:space="preserve">
6th Plan assumption, inflated from 2006$</t>
        </r>
      </text>
    </comment>
    <comment ref="F96" authorId="1">
      <text>
        <r>
          <rPr>
            <b/>
            <sz val="9"/>
            <color indexed="81"/>
            <rFont val="Tahoma"/>
            <family val="2"/>
          </rPr>
          <t>Tina Jayaweera:</t>
        </r>
        <r>
          <rPr>
            <sz val="9"/>
            <color indexed="81"/>
            <rFont val="Tahoma"/>
            <family val="2"/>
          </rPr>
          <t xml:space="preserve">
6th Plan assumption, inflated from 2006$</t>
        </r>
      </text>
    </comment>
    <comment ref="F97" authorId="1">
      <text>
        <r>
          <rPr>
            <b/>
            <sz val="9"/>
            <color indexed="81"/>
            <rFont val="Tahoma"/>
            <family val="2"/>
          </rPr>
          <t>Tina Jayaweera:</t>
        </r>
        <r>
          <rPr>
            <sz val="9"/>
            <color indexed="81"/>
            <rFont val="Tahoma"/>
            <family val="2"/>
          </rPr>
          <t xml:space="preserve">
6th Plan assumption, inflated from 2006$</t>
        </r>
      </text>
    </comment>
    <comment ref="F98" authorId="1">
      <text>
        <r>
          <rPr>
            <b/>
            <sz val="9"/>
            <color indexed="81"/>
            <rFont val="Tahoma"/>
            <family val="2"/>
          </rPr>
          <t>Tina Jayaweera:</t>
        </r>
        <r>
          <rPr>
            <sz val="9"/>
            <color indexed="81"/>
            <rFont val="Tahoma"/>
            <family val="2"/>
          </rPr>
          <t xml:space="preserve">
6th Plan assumption, inflated from 2006$</t>
        </r>
      </text>
    </comment>
    <comment ref="F99" authorId="1">
      <text>
        <r>
          <rPr>
            <b/>
            <sz val="9"/>
            <color indexed="81"/>
            <rFont val="Tahoma"/>
            <family val="2"/>
          </rPr>
          <t>Tina Jayaweera:</t>
        </r>
        <r>
          <rPr>
            <sz val="9"/>
            <color indexed="81"/>
            <rFont val="Tahoma"/>
            <family val="2"/>
          </rPr>
          <t xml:space="preserve">
6th Plan assumption, inflated from 2006$</t>
        </r>
      </text>
    </comment>
    <comment ref="F100" authorId="1">
      <text>
        <r>
          <rPr>
            <b/>
            <sz val="9"/>
            <color indexed="81"/>
            <rFont val="Tahoma"/>
            <family val="2"/>
          </rPr>
          <t>Tina Jayaweera:</t>
        </r>
        <r>
          <rPr>
            <sz val="9"/>
            <color indexed="81"/>
            <rFont val="Tahoma"/>
            <family val="2"/>
          </rPr>
          <t xml:space="preserve">
6th Plan assumption, inflated from 2006$</t>
        </r>
      </text>
    </comment>
    <comment ref="F101" authorId="1">
      <text>
        <r>
          <rPr>
            <b/>
            <sz val="9"/>
            <color indexed="81"/>
            <rFont val="Tahoma"/>
            <family val="2"/>
          </rPr>
          <t>Tina Jayaweera:</t>
        </r>
        <r>
          <rPr>
            <sz val="9"/>
            <color indexed="81"/>
            <rFont val="Tahoma"/>
            <family val="2"/>
          </rPr>
          <t xml:space="preserve">
6th Plan assumption, inflated from 2006$</t>
        </r>
      </text>
    </comment>
    <comment ref="F102" authorId="1">
      <text>
        <r>
          <rPr>
            <b/>
            <sz val="9"/>
            <color indexed="81"/>
            <rFont val="Tahoma"/>
            <family val="2"/>
          </rPr>
          <t>Tina Jayaweera:</t>
        </r>
        <r>
          <rPr>
            <sz val="9"/>
            <color indexed="81"/>
            <rFont val="Tahoma"/>
            <family val="2"/>
          </rPr>
          <t xml:space="preserve">
6th Plan assumption, inflated from 2006$</t>
        </r>
      </text>
    </comment>
    <comment ref="F103" authorId="1">
      <text>
        <r>
          <rPr>
            <b/>
            <sz val="9"/>
            <color indexed="81"/>
            <rFont val="Tahoma"/>
            <family val="2"/>
          </rPr>
          <t>Tina Jayaweera:</t>
        </r>
        <r>
          <rPr>
            <sz val="9"/>
            <color indexed="81"/>
            <rFont val="Tahoma"/>
            <family val="2"/>
          </rPr>
          <t xml:space="preserve">
6th Plan assumption, inflated from 2006$</t>
        </r>
      </text>
    </comment>
    <comment ref="F104" authorId="1">
      <text>
        <r>
          <rPr>
            <b/>
            <sz val="9"/>
            <color indexed="81"/>
            <rFont val="Tahoma"/>
            <family val="2"/>
          </rPr>
          <t>Tina Jayaweera:</t>
        </r>
        <r>
          <rPr>
            <sz val="9"/>
            <color indexed="81"/>
            <rFont val="Tahoma"/>
            <family val="2"/>
          </rPr>
          <t xml:space="preserve">
6th Plan assumption, inflated from 2006$</t>
        </r>
      </text>
    </comment>
    <comment ref="F105" authorId="1">
      <text>
        <r>
          <rPr>
            <b/>
            <sz val="9"/>
            <color indexed="81"/>
            <rFont val="Tahoma"/>
            <family val="2"/>
          </rPr>
          <t>Tina Jayaweera:</t>
        </r>
        <r>
          <rPr>
            <sz val="9"/>
            <color indexed="81"/>
            <rFont val="Tahoma"/>
            <family val="2"/>
          </rPr>
          <t xml:space="preserve">
6th Plan assumption, inflated from 2006$</t>
        </r>
      </text>
    </comment>
    <comment ref="F106" authorId="1">
      <text>
        <r>
          <rPr>
            <b/>
            <sz val="9"/>
            <color indexed="81"/>
            <rFont val="Tahoma"/>
            <family val="2"/>
          </rPr>
          <t>Tina Jayaweera:</t>
        </r>
        <r>
          <rPr>
            <sz val="9"/>
            <color indexed="81"/>
            <rFont val="Tahoma"/>
            <family val="2"/>
          </rPr>
          <t xml:space="preserve">
6th Plan assumption, inflated from 2006$</t>
        </r>
      </text>
    </comment>
    <comment ref="F107" authorId="1">
      <text>
        <r>
          <rPr>
            <b/>
            <sz val="9"/>
            <color indexed="81"/>
            <rFont val="Tahoma"/>
            <family val="2"/>
          </rPr>
          <t>Tina Jayaweera:</t>
        </r>
        <r>
          <rPr>
            <sz val="9"/>
            <color indexed="81"/>
            <rFont val="Tahoma"/>
            <family val="2"/>
          </rPr>
          <t xml:space="preserve">
6th Plan assumption, inflated from 2006$</t>
        </r>
      </text>
    </comment>
    <comment ref="F108" authorId="1">
      <text>
        <r>
          <rPr>
            <b/>
            <sz val="9"/>
            <color indexed="81"/>
            <rFont val="Tahoma"/>
            <family val="2"/>
          </rPr>
          <t>Tina Jayaweera:</t>
        </r>
        <r>
          <rPr>
            <sz val="9"/>
            <color indexed="81"/>
            <rFont val="Tahoma"/>
            <family val="2"/>
          </rPr>
          <t xml:space="preserve">
6th Plan assumption, inflated from 2006$</t>
        </r>
      </text>
    </comment>
    <comment ref="F109" authorId="1">
      <text>
        <r>
          <rPr>
            <b/>
            <sz val="9"/>
            <color indexed="81"/>
            <rFont val="Tahoma"/>
            <family val="2"/>
          </rPr>
          <t>Tina Jayaweera:</t>
        </r>
        <r>
          <rPr>
            <sz val="9"/>
            <color indexed="81"/>
            <rFont val="Tahoma"/>
            <family val="2"/>
          </rPr>
          <t xml:space="preserve">
6th Plan assumption, inflated from 2006$</t>
        </r>
      </text>
    </comment>
    <comment ref="F110" authorId="1">
      <text>
        <r>
          <rPr>
            <b/>
            <sz val="9"/>
            <color indexed="81"/>
            <rFont val="Tahoma"/>
            <family val="2"/>
          </rPr>
          <t>Tina Jayaweera:</t>
        </r>
        <r>
          <rPr>
            <sz val="9"/>
            <color indexed="81"/>
            <rFont val="Tahoma"/>
            <family val="2"/>
          </rPr>
          <t xml:space="preserve">
6th Plan assumption, inflated from 2006$</t>
        </r>
      </text>
    </comment>
    <comment ref="F111" authorId="1">
      <text>
        <r>
          <rPr>
            <b/>
            <sz val="9"/>
            <color indexed="81"/>
            <rFont val="Tahoma"/>
            <family val="2"/>
          </rPr>
          <t>Tina Jayaweera:</t>
        </r>
        <r>
          <rPr>
            <sz val="9"/>
            <color indexed="81"/>
            <rFont val="Tahoma"/>
            <family val="2"/>
          </rPr>
          <t xml:space="preserve">
6th Plan assumption, inflated from 2006$</t>
        </r>
      </text>
    </comment>
    <comment ref="F112" authorId="1">
      <text>
        <r>
          <rPr>
            <b/>
            <sz val="9"/>
            <color indexed="81"/>
            <rFont val="Tahoma"/>
            <family val="2"/>
          </rPr>
          <t>Tina Jayaweera:</t>
        </r>
        <r>
          <rPr>
            <sz val="9"/>
            <color indexed="81"/>
            <rFont val="Tahoma"/>
            <family val="2"/>
          </rPr>
          <t xml:space="preserve">
6th Plan assumption, inflated from 2006$</t>
        </r>
      </text>
    </comment>
    <comment ref="F113" authorId="1">
      <text>
        <r>
          <rPr>
            <b/>
            <sz val="9"/>
            <color indexed="81"/>
            <rFont val="Tahoma"/>
            <family val="2"/>
          </rPr>
          <t>Tina Jayaweera:</t>
        </r>
        <r>
          <rPr>
            <sz val="9"/>
            <color indexed="81"/>
            <rFont val="Tahoma"/>
            <family val="2"/>
          </rPr>
          <t xml:space="preserve">
6th Plan assumption, inflated from 2006$</t>
        </r>
      </text>
    </comment>
    <comment ref="F114" authorId="1">
      <text>
        <r>
          <rPr>
            <b/>
            <sz val="9"/>
            <color indexed="81"/>
            <rFont val="Tahoma"/>
            <family val="2"/>
          </rPr>
          <t>Tina Jayaweera:</t>
        </r>
        <r>
          <rPr>
            <sz val="9"/>
            <color indexed="81"/>
            <rFont val="Tahoma"/>
            <family val="2"/>
          </rPr>
          <t xml:space="preserve">
6th Plan assumption, inflated from 2006$</t>
        </r>
      </text>
    </comment>
    <comment ref="F115" authorId="1">
      <text>
        <r>
          <rPr>
            <b/>
            <sz val="9"/>
            <color indexed="81"/>
            <rFont val="Tahoma"/>
            <family val="2"/>
          </rPr>
          <t>Tina Jayaweera:</t>
        </r>
        <r>
          <rPr>
            <sz val="9"/>
            <color indexed="81"/>
            <rFont val="Tahoma"/>
            <family val="2"/>
          </rPr>
          <t xml:space="preserve">
6th Plan assumption, inflated from 2006$</t>
        </r>
      </text>
    </comment>
    <comment ref="F116" authorId="1">
      <text>
        <r>
          <rPr>
            <b/>
            <sz val="9"/>
            <color indexed="81"/>
            <rFont val="Tahoma"/>
            <family val="2"/>
          </rPr>
          <t>Tina Jayaweera:</t>
        </r>
        <r>
          <rPr>
            <sz val="9"/>
            <color indexed="81"/>
            <rFont val="Tahoma"/>
            <family val="2"/>
          </rPr>
          <t xml:space="preserve">
6th Plan assumption, inflated from 2006$</t>
        </r>
      </text>
    </comment>
    <comment ref="F117" authorId="1">
      <text>
        <r>
          <rPr>
            <b/>
            <sz val="9"/>
            <color indexed="81"/>
            <rFont val="Tahoma"/>
            <family val="2"/>
          </rPr>
          <t>Tina Jayaweera:</t>
        </r>
        <r>
          <rPr>
            <sz val="9"/>
            <color indexed="81"/>
            <rFont val="Tahoma"/>
            <family val="2"/>
          </rPr>
          <t xml:space="preserve">
6th Plan assumption, inflated from 2006$</t>
        </r>
      </text>
    </comment>
    <comment ref="F118" authorId="1">
      <text>
        <r>
          <rPr>
            <b/>
            <sz val="9"/>
            <color indexed="81"/>
            <rFont val="Tahoma"/>
            <family val="2"/>
          </rPr>
          <t>Tina Jayaweera:</t>
        </r>
        <r>
          <rPr>
            <sz val="9"/>
            <color indexed="81"/>
            <rFont val="Tahoma"/>
            <family val="2"/>
          </rPr>
          <t xml:space="preserve">
6th Plan assumption, inflated from 2006$</t>
        </r>
      </text>
    </comment>
    <comment ref="F119" authorId="1">
      <text>
        <r>
          <rPr>
            <b/>
            <sz val="9"/>
            <color indexed="81"/>
            <rFont val="Tahoma"/>
            <family val="2"/>
          </rPr>
          <t>Tina Jayaweera:</t>
        </r>
        <r>
          <rPr>
            <sz val="9"/>
            <color indexed="81"/>
            <rFont val="Tahoma"/>
            <family val="2"/>
          </rPr>
          <t xml:space="preserve">
6th Plan assumption, inflated from 2006$</t>
        </r>
      </text>
    </comment>
    <comment ref="F120" authorId="1">
      <text>
        <r>
          <rPr>
            <b/>
            <sz val="9"/>
            <color indexed="81"/>
            <rFont val="Tahoma"/>
            <family val="2"/>
          </rPr>
          <t>Tina Jayaweera:</t>
        </r>
        <r>
          <rPr>
            <sz val="9"/>
            <color indexed="81"/>
            <rFont val="Tahoma"/>
            <family val="2"/>
          </rPr>
          <t xml:space="preserve">
6th Plan assumption, inflated from 2006$</t>
        </r>
      </text>
    </comment>
    <comment ref="F121" authorId="1">
      <text>
        <r>
          <rPr>
            <b/>
            <sz val="9"/>
            <color indexed="81"/>
            <rFont val="Tahoma"/>
            <family val="2"/>
          </rPr>
          <t>Tina Jayaweera:</t>
        </r>
        <r>
          <rPr>
            <sz val="9"/>
            <color indexed="81"/>
            <rFont val="Tahoma"/>
            <family val="2"/>
          </rPr>
          <t xml:space="preserve">
6th Plan assumption, inflated from 2006$</t>
        </r>
      </text>
    </comment>
    <comment ref="F122" authorId="1">
      <text>
        <r>
          <rPr>
            <b/>
            <sz val="9"/>
            <color indexed="81"/>
            <rFont val="Tahoma"/>
            <family val="2"/>
          </rPr>
          <t>Tina Jayaweera:</t>
        </r>
        <r>
          <rPr>
            <sz val="9"/>
            <color indexed="81"/>
            <rFont val="Tahoma"/>
            <family val="2"/>
          </rPr>
          <t xml:space="preserve">
6th Plan assumption, inflated from 2006$</t>
        </r>
      </text>
    </comment>
    <comment ref="F123" authorId="1">
      <text>
        <r>
          <rPr>
            <b/>
            <sz val="9"/>
            <color indexed="81"/>
            <rFont val="Tahoma"/>
            <family val="2"/>
          </rPr>
          <t>Tina Jayaweera:</t>
        </r>
        <r>
          <rPr>
            <sz val="9"/>
            <color indexed="81"/>
            <rFont val="Tahoma"/>
            <family val="2"/>
          </rPr>
          <t xml:space="preserve">
6th Plan assumption, inflated from 2006$</t>
        </r>
      </text>
    </comment>
    <comment ref="F124" authorId="1">
      <text>
        <r>
          <rPr>
            <b/>
            <sz val="9"/>
            <color indexed="81"/>
            <rFont val="Tahoma"/>
            <family val="2"/>
          </rPr>
          <t>Tina Jayaweera:</t>
        </r>
        <r>
          <rPr>
            <sz val="9"/>
            <color indexed="81"/>
            <rFont val="Tahoma"/>
            <family val="2"/>
          </rPr>
          <t xml:space="preserve">
6th Plan assumption, inflated from 2006$</t>
        </r>
      </text>
    </comment>
    <comment ref="F125" authorId="1">
      <text>
        <r>
          <rPr>
            <b/>
            <sz val="9"/>
            <color indexed="81"/>
            <rFont val="Tahoma"/>
            <family val="2"/>
          </rPr>
          <t>Tina Jayaweera:</t>
        </r>
        <r>
          <rPr>
            <sz val="9"/>
            <color indexed="81"/>
            <rFont val="Tahoma"/>
            <family val="2"/>
          </rPr>
          <t xml:space="preserve">
6th Plan assumption, inflated from 2006$</t>
        </r>
      </text>
    </comment>
    <comment ref="F126" authorId="1">
      <text>
        <r>
          <rPr>
            <b/>
            <sz val="9"/>
            <color indexed="81"/>
            <rFont val="Tahoma"/>
            <family val="2"/>
          </rPr>
          <t>Tina Jayaweera:</t>
        </r>
        <r>
          <rPr>
            <sz val="9"/>
            <color indexed="81"/>
            <rFont val="Tahoma"/>
            <family val="2"/>
          </rPr>
          <t xml:space="preserve">
6th Plan assumption, inflated from 2006$</t>
        </r>
      </text>
    </comment>
    <comment ref="F127" authorId="1">
      <text>
        <r>
          <rPr>
            <b/>
            <sz val="9"/>
            <color indexed="81"/>
            <rFont val="Tahoma"/>
            <family val="2"/>
          </rPr>
          <t>Tina Jayaweera:</t>
        </r>
        <r>
          <rPr>
            <sz val="9"/>
            <color indexed="81"/>
            <rFont val="Tahoma"/>
            <family val="2"/>
          </rPr>
          <t xml:space="preserve">
6th Plan assumption, inflated from 2006$</t>
        </r>
      </text>
    </comment>
    <comment ref="F128" authorId="1">
      <text>
        <r>
          <rPr>
            <b/>
            <sz val="9"/>
            <color indexed="81"/>
            <rFont val="Tahoma"/>
            <family val="2"/>
          </rPr>
          <t>Tina Jayaweera:</t>
        </r>
        <r>
          <rPr>
            <sz val="9"/>
            <color indexed="81"/>
            <rFont val="Tahoma"/>
            <family val="2"/>
          </rPr>
          <t xml:space="preserve">
6th Plan assumption, inflated from 2006$</t>
        </r>
      </text>
    </comment>
    <comment ref="F129" authorId="1">
      <text>
        <r>
          <rPr>
            <b/>
            <sz val="9"/>
            <color indexed="81"/>
            <rFont val="Tahoma"/>
            <family val="2"/>
          </rPr>
          <t>Tina Jayaweera:</t>
        </r>
        <r>
          <rPr>
            <sz val="9"/>
            <color indexed="81"/>
            <rFont val="Tahoma"/>
            <family val="2"/>
          </rPr>
          <t xml:space="preserve">
6th Plan assumption, inflated from 2006$</t>
        </r>
      </text>
    </comment>
    <comment ref="F130" authorId="1">
      <text>
        <r>
          <rPr>
            <b/>
            <sz val="9"/>
            <color indexed="81"/>
            <rFont val="Tahoma"/>
            <family val="2"/>
          </rPr>
          <t>Tina Jayaweera:</t>
        </r>
        <r>
          <rPr>
            <sz val="9"/>
            <color indexed="81"/>
            <rFont val="Tahoma"/>
            <family val="2"/>
          </rPr>
          <t xml:space="preserve">
6th Plan assumption, inflated from 2006$</t>
        </r>
      </text>
    </comment>
    <comment ref="F131" authorId="1">
      <text>
        <r>
          <rPr>
            <b/>
            <sz val="9"/>
            <color indexed="81"/>
            <rFont val="Tahoma"/>
            <family val="2"/>
          </rPr>
          <t>Tina Jayaweera:</t>
        </r>
        <r>
          <rPr>
            <sz val="9"/>
            <color indexed="81"/>
            <rFont val="Tahoma"/>
            <family val="2"/>
          </rPr>
          <t xml:space="preserve">
6th Plan assumption, inflated from 2006$</t>
        </r>
      </text>
    </comment>
    <comment ref="F132" authorId="1">
      <text>
        <r>
          <rPr>
            <b/>
            <sz val="9"/>
            <color indexed="81"/>
            <rFont val="Tahoma"/>
            <family val="2"/>
          </rPr>
          <t>Tina Jayaweera:</t>
        </r>
        <r>
          <rPr>
            <sz val="9"/>
            <color indexed="81"/>
            <rFont val="Tahoma"/>
            <family val="2"/>
          </rPr>
          <t xml:space="preserve">
6th Plan assumption, inflated from 2006$</t>
        </r>
      </text>
    </comment>
    <comment ref="F133" authorId="1">
      <text>
        <r>
          <rPr>
            <b/>
            <sz val="9"/>
            <color indexed="81"/>
            <rFont val="Tahoma"/>
            <family val="2"/>
          </rPr>
          <t>Tina Jayaweera:</t>
        </r>
        <r>
          <rPr>
            <sz val="9"/>
            <color indexed="81"/>
            <rFont val="Tahoma"/>
            <family val="2"/>
          </rPr>
          <t xml:space="preserve">
6th Plan assumption, inflated from 2006$</t>
        </r>
      </text>
    </comment>
    <comment ref="F134" authorId="1">
      <text>
        <r>
          <rPr>
            <b/>
            <sz val="9"/>
            <color indexed="81"/>
            <rFont val="Tahoma"/>
            <family val="2"/>
          </rPr>
          <t>Tina Jayaweera:</t>
        </r>
        <r>
          <rPr>
            <sz val="9"/>
            <color indexed="81"/>
            <rFont val="Tahoma"/>
            <family val="2"/>
          </rPr>
          <t xml:space="preserve">
6th Plan assumption, inflated from 2006$</t>
        </r>
      </text>
    </comment>
    <comment ref="F135" authorId="1">
      <text>
        <r>
          <rPr>
            <b/>
            <sz val="9"/>
            <color indexed="81"/>
            <rFont val="Tahoma"/>
            <family val="2"/>
          </rPr>
          <t>Tina Jayaweera:</t>
        </r>
        <r>
          <rPr>
            <sz val="9"/>
            <color indexed="81"/>
            <rFont val="Tahoma"/>
            <family val="2"/>
          </rPr>
          <t xml:space="preserve">
6th Plan assumption, inflated from 2006$</t>
        </r>
      </text>
    </comment>
    <comment ref="F136" authorId="1">
      <text>
        <r>
          <rPr>
            <b/>
            <sz val="9"/>
            <color indexed="81"/>
            <rFont val="Tahoma"/>
            <family val="2"/>
          </rPr>
          <t>Tina Jayaweera:</t>
        </r>
        <r>
          <rPr>
            <sz val="9"/>
            <color indexed="81"/>
            <rFont val="Tahoma"/>
            <family val="2"/>
          </rPr>
          <t xml:space="preserve">
6th Plan assumption, inflated from 2006$</t>
        </r>
      </text>
    </comment>
    <comment ref="F137" authorId="1">
      <text>
        <r>
          <rPr>
            <b/>
            <sz val="9"/>
            <color indexed="81"/>
            <rFont val="Tahoma"/>
            <family val="2"/>
          </rPr>
          <t>Tina Jayaweera:</t>
        </r>
        <r>
          <rPr>
            <sz val="9"/>
            <color indexed="81"/>
            <rFont val="Tahoma"/>
            <family val="2"/>
          </rPr>
          <t xml:space="preserve">
6th Plan assumption, inflated from 2006$</t>
        </r>
      </text>
    </comment>
    <comment ref="F138" authorId="1">
      <text>
        <r>
          <rPr>
            <b/>
            <sz val="9"/>
            <color indexed="81"/>
            <rFont val="Tahoma"/>
            <family val="2"/>
          </rPr>
          <t>Tina Jayaweera:</t>
        </r>
        <r>
          <rPr>
            <sz val="9"/>
            <color indexed="81"/>
            <rFont val="Tahoma"/>
            <family val="2"/>
          </rPr>
          <t xml:space="preserve">
6th Plan assumption, inflated from 2006$</t>
        </r>
      </text>
    </comment>
    <comment ref="F139" authorId="1">
      <text>
        <r>
          <rPr>
            <b/>
            <sz val="9"/>
            <color indexed="81"/>
            <rFont val="Tahoma"/>
            <family val="2"/>
          </rPr>
          <t>Tina Jayaweera:</t>
        </r>
        <r>
          <rPr>
            <sz val="9"/>
            <color indexed="81"/>
            <rFont val="Tahoma"/>
            <family val="2"/>
          </rPr>
          <t xml:space="preserve">
6th Plan assumption, inflated from 2006$</t>
        </r>
      </text>
    </comment>
    <comment ref="F140" authorId="1">
      <text>
        <r>
          <rPr>
            <b/>
            <sz val="9"/>
            <color indexed="81"/>
            <rFont val="Tahoma"/>
            <family val="2"/>
          </rPr>
          <t>Tina Jayaweera:</t>
        </r>
        <r>
          <rPr>
            <sz val="9"/>
            <color indexed="81"/>
            <rFont val="Tahoma"/>
            <family val="2"/>
          </rPr>
          <t xml:space="preserve">
6th Plan assumption, inflated from 2006$</t>
        </r>
      </text>
    </comment>
    <comment ref="F141" authorId="1">
      <text>
        <r>
          <rPr>
            <b/>
            <sz val="9"/>
            <color indexed="81"/>
            <rFont val="Tahoma"/>
            <family val="2"/>
          </rPr>
          <t>Tina Jayaweera:</t>
        </r>
        <r>
          <rPr>
            <sz val="9"/>
            <color indexed="81"/>
            <rFont val="Tahoma"/>
            <family val="2"/>
          </rPr>
          <t xml:space="preserve">
6th Plan assumption, inflated from 2006$</t>
        </r>
      </text>
    </comment>
    <comment ref="F142" authorId="1">
      <text>
        <r>
          <rPr>
            <b/>
            <sz val="9"/>
            <color indexed="81"/>
            <rFont val="Tahoma"/>
            <family val="2"/>
          </rPr>
          <t>Tina Jayaweera:</t>
        </r>
        <r>
          <rPr>
            <sz val="9"/>
            <color indexed="81"/>
            <rFont val="Tahoma"/>
            <family val="2"/>
          </rPr>
          <t xml:space="preserve">
6th Plan assumption, inflated from 2006$</t>
        </r>
      </text>
    </comment>
    <comment ref="F143" authorId="1">
      <text>
        <r>
          <rPr>
            <b/>
            <sz val="9"/>
            <color indexed="81"/>
            <rFont val="Tahoma"/>
            <family val="2"/>
          </rPr>
          <t>Tina Jayaweera:</t>
        </r>
        <r>
          <rPr>
            <sz val="9"/>
            <color indexed="81"/>
            <rFont val="Tahoma"/>
            <family val="2"/>
          </rPr>
          <t xml:space="preserve">
6th Plan assumption, inflated from 2006$</t>
        </r>
      </text>
    </comment>
    <comment ref="F144" authorId="1">
      <text>
        <r>
          <rPr>
            <b/>
            <sz val="9"/>
            <color indexed="81"/>
            <rFont val="Tahoma"/>
            <family val="2"/>
          </rPr>
          <t>Tina Jayaweera:</t>
        </r>
        <r>
          <rPr>
            <sz val="9"/>
            <color indexed="81"/>
            <rFont val="Tahoma"/>
            <family val="2"/>
          </rPr>
          <t xml:space="preserve">
6th Plan assumption, inflated from 2006$</t>
        </r>
      </text>
    </comment>
    <comment ref="F145" authorId="1">
      <text>
        <r>
          <rPr>
            <b/>
            <sz val="9"/>
            <color indexed="81"/>
            <rFont val="Tahoma"/>
            <family val="2"/>
          </rPr>
          <t>Tina Jayaweera:</t>
        </r>
        <r>
          <rPr>
            <sz val="9"/>
            <color indexed="81"/>
            <rFont val="Tahoma"/>
            <family val="2"/>
          </rPr>
          <t xml:space="preserve">
6th Plan assumption, inflated from 2006$</t>
        </r>
      </text>
    </comment>
    <comment ref="F146" authorId="1">
      <text>
        <r>
          <rPr>
            <b/>
            <sz val="9"/>
            <color indexed="81"/>
            <rFont val="Tahoma"/>
            <family val="2"/>
          </rPr>
          <t>Tina Jayaweera:</t>
        </r>
        <r>
          <rPr>
            <sz val="9"/>
            <color indexed="81"/>
            <rFont val="Tahoma"/>
            <family val="2"/>
          </rPr>
          <t xml:space="preserve">
6th Plan assumption, inflated from 2006$</t>
        </r>
      </text>
    </comment>
    <comment ref="F147" authorId="1">
      <text>
        <r>
          <rPr>
            <b/>
            <sz val="9"/>
            <color indexed="81"/>
            <rFont val="Tahoma"/>
            <family val="2"/>
          </rPr>
          <t>Tina Jayaweera:</t>
        </r>
        <r>
          <rPr>
            <sz val="9"/>
            <color indexed="81"/>
            <rFont val="Tahoma"/>
            <family val="2"/>
          </rPr>
          <t xml:space="preserve">
6th Plan assumption, inflated from 2006$</t>
        </r>
      </text>
    </comment>
    <comment ref="F148" authorId="1">
      <text>
        <r>
          <rPr>
            <b/>
            <sz val="9"/>
            <color indexed="81"/>
            <rFont val="Tahoma"/>
            <family val="2"/>
          </rPr>
          <t>Tina Jayaweera:</t>
        </r>
        <r>
          <rPr>
            <sz val="9"/>
            <color indexed="81"/>
            <rFont val="Tahoma"/>
            <family val="2"/>
          </rPr>
          <t xml:space="preserve">
6th Plan assumption, inflated from 2006$</t>
        </r>
      </text>
    </comment>
    <comment ref="F149" authorId="1">
      <text>
        <r>
          <rPr>
            <b/>
            <sz val="9"/>
            <color indexed="81"/>
            <rFont val="Tahoma"/>
            <family val="2"/>
          </rPr>
          <t>Tina Jayaweera:</t>
        </r>
        <r>
          <rPr>
            <sz val="9"/>
            <color indexed="81"/>
            <rFont val="Tahoma"/>
            <family val="2"/>
          </rPr>
          <t xml:space="preserve">
6th Plan assumption, inflated from 2006$</t>
        </r>
      </text>
    </comment>
    <comment ref="F150" authorId="1">
      <text>
        <r>
          <rPr>
            <b/>
            <sz val="9"/>
            <color indexed="81"/>
            <rFont val="Tahoma"/>
            <family val="2"/>
          </rPr>
          <t>Tina Jayaweera:</t>
        </r>
        <r>
          <rPr>
            <sz val="9"/>
            <color indexed="81"/>
            <rFont val="Tahoma"/>
            <family val="2"/>
          </rPr>
          <t xml:space="preserve">
6th Plan assumption, inflated from 2006$</t>
        </r>
      </text>
    </comment>
    <comment ref="F151" authorId="1">
      <text>
        <r>
          <rPr>
            <b/>
            <sz val="9"/>
            <color indexed="81"/>
            <rFont val="Tahoma"/>
            <family val="2"/>
          </rPr>
          <t>Tina Jayaweera:</t>
        </r>
        <r>
          <rPr>
            <sz val="9"/>
            <color indexed="81"/>
            <rFont val="Tahoma"/>
            <family val="2"/>
          </rPr>
          <t xml:space="preserve">
6th Plan assumption, inflated from 2006$</t>
        </r>
      </text>
    </comment>
    <comment ref="F152" authorId="1">
      <text>
        <r>
          <rPr>
            <b/>
            <sz val="9"/>
            <color indexed="81"/>
            <rFont val="Tahoma"/>
            <family val="2"/>
          </rPr>
          <t>Tina Jayaweera:</t>
        </r>
        <r>
          <rPr>
            <sz val="9"/>
            <color indexed="81"/>
            <rFont val="Tahoma"/>
            <family val="2"/>
          </rPr>
          <t xml:space="preserve">
6th Plan assumption, inflated from 2006$</t>
        </r>
      </text>
    </comment>
    <comment ref="F153" authorId="1">
      <text>
        <r>
          <rPr>
            <b/>
            <sz val="9"/>
            <color indexed="81"/>
            <rFont val="Tahoma"/>
            <family val="2"/>
          </rPr>
          <t>Tina Jayaweera:</t>
        </r>
        <r>
          <rPr>
            <sz val="9"/>
            <color indexed="81"/>
            <rFont val="Tahoma"/>
            <family val="2"/>
          </rPr>
          <t xml:space="preserve">
6th Plan assumption, inflated from 2006$</t>
        </r>
      </text>
    </comment>
    <comment ref="F154" authorId="1">
      <text>
        <r>
          <rPr>
            <b/>
            <sz val="9"/>
            <color indexed="81"/>
            <rFont val="Tahoma"/>
            <family val="2"/>
          </rPr>
          <t>Tina Jayaweera:</t>
        </r>
        <r>
          <rPr>
            <sz val="9"/>
            <color indexed="81"/>
            <rFont val="Tahoma"/>
            <family val="2"/>
          </rPr>
          <t xml:space="preserve">
6th Plan assumption, inflated from 2006$</t>
        </r>
      </text>
    </comment>
    <comment ref="F155" authorId="1">
      <text>
        <r>
          <rPr>
            <b/>
            <sz val="9"/>
            <color indexed="81"/>
            <rFont val="Tahoma"/>
            <family val="2"/>
          </rPr>
          <t>Tina Jayaweera:</t>
        </r>
        <r>
          <rPr>
            <sz val="9"/>
            <color indexed="81"/>
            <rFont val="Tahoma"/>
            <family val="2"/>
          </rPr>
          <t xml:space="preserve">
6th Plan assumption, inflated from 2006$</t>
        </r>
      </text>
    </comment>
    <comment ref="F156" authorId="1">
      <text>
        <r>
          <rPr>
            <b/>
            <sz val="9"/>
            <color indexed="81"/>
            <rFont val="Tahoma"/>
            <family val="2"/>
          </rPr>
          <t>Tina Jayaweera:</t>
        </r>
        <r>
          <rPr>
            <sz val="9"/>
            <color indexed="81"/>
            <rFont val="Tahoma"/>
            <family val="2"/>
          </rPr>
          <t xml:space="preserve">
6th Plan assumption, inflated from 2006$</t>
        </r>
      </text>
    </comment>
    <comment ref="F157" authorId="1">
      <text>
        <r>
          <rPr>
            <b/>
            <sz val="9"/>
            <color indexed="81"/>
            <rFont val="Tahoma"/>
            <family val="2"/>
          </rPr>
          <t>Tina Jayaweera:</t>
        </r>
        <r>
          <rPr>
            <sz val="9"/>
            <color indexed="81"/>
            <rFont val="Tahoma"/>
            <family val="2"/>
          </rPr>
          <t xml:space="preserve">
6th Plan assumption, inflated from 2006$</t>
        </r>
      </text>
    </comment>
    <comment ref="F158" authorId="1">
      <text>
        <r>
          <rPr>
            <b/>
            <sz val="9"/>
            <color indexed="81"/>
            <rFont val="Tahoma"/>
            <family val="2"/>
          </rPr>
          <t>Tina Jayaweera:</t>
        </r>
        <r>
          <rPr>
            <sz val="9"/>
            <color indexed="81"/>
            <rFont val="Tahoma"/>
            <family val="2"/>
          </rPr>
          <t xml:space="preserve">
6th Plan assumption, inflated from 2006$</t>
        </r>
      </text>
    </comment>
    <comment ref="F159" authorId="1">
      <text>
        <r>
          <rPr>
            <b/>
            <sz val="9"/>
            <color indexed="81"/>
            <rFont val="Tahoma"/>
            <family val="2"/>
          </rPr>
          <t>Tina Jayaweera:</t>
        </r>
        <r>
          <rPr>
            <sz val="9"/>
            <color indexed="81"/>
            <rFont val="Tahoma"/>
            <family val="2"/>
          </rPr>
          <t xml:space="preserve">
6th Plan assumption, inflated from 2006$</t>
        </r>
      </text>
    </comment>
    <comment ref="F160" authorId="1">
      <text>
        <r>
          <rPr>
            <b/>
            <sz val="9"/>
            <color indexed="81"/>
            <rFont val="Tahoma"/>
            <family val="2"/>
          </rPr>
          <t>Tina Jayaweera:</t>
        </r>
        <r>
          <rPr>
            <sz val="9"/>
            <color indexed="81"/>
            <rFont val="Tahoma"/>
            <family val="2"/>
          </rPr>
          <t xml:space="preserve">
6th Plan assumption, inflated from 2006$</t>
        </r>
      </text>
    </comment>
    <comment ref="F161" authorId="1">
      <text>
        <r>
          <rPr>
            <b/>
            <sz val="9"/>
            <color indexed="81"/>
            <rFont val="Tahoma"/>
            <family val="2"/>
          </rPr>
          <t>Tina Jayaweera:</t>
        </r>
        <r>
          <rPr>
            <sz val="9"/>
            <color indexed="81"/>
            <rFont val="Tahoma"/>
            <family val="2"/>
          </rPr>
          <t xml:space="preserve">
6th Plan assumption, inflated from 2006$</t>
        </r>
      </text>
    </comment>
    <comment ref="F162" authorId="1">
      <text>
        <r>
          <rPr>
            <b/>
            <sz val="9"/>
            <color indexed="81"/>
            <rFont val="Tahoma"/>
            <family val="2"/>
          </rPr>
          <t>Tina Jayaweera:</t>
        </r>
        <r>
          <rPr>
            <sz val="9"/>
            <color indexed="81"/>
            <rFont val="Tahoma"/>
            <family val="2"/>
          </rPr>
          <t xml:space="preserve">
6th Plan assumption, inflated from 2006$</t>
        </r>
      </text>
    </comment>
    <comment ref="F163" authorId="1">
      <text>
        <r>
          <rPr>
            <b/>
            <sz val="9"/>
            <color indexed="81"/>
            <rFont val="Tahoma"/>
            <family val="2"/>
          </rPr>
          <t>Tina Jayaweera:</t>
        </r>
        <r>
          <rPr>
            <sz val="9"/>
            <color indexed="81"/>
            <rFont val="Tahoma"/>
            <family val="2"/>
          </rPr>
          <t xml:space="preserve">
6th Plan assumption, inflated from 2006$</t>
        </r>
      </text>
    </comment>
    <comment ref="F164" authorId="1">
      <text>
        <r>
          <rPr>
            <b/>
            <sz val="9"/>
            <color indexed="81"/>
            <rFont val="Tahoma"/>
            <family val="2"/>
          </rPr>
          <t>Tina Jayaweera:</t>
        </r>
        <r>
          <rPr>
            <sz val="9"/>
            <color indexed="81"/>
            <rFont val="Tahoma"/>
            <family val="2"/>
          </rPr>
          <t xml:space="preserve">
6th Plan assumption, inflated from 2006$</t>
        </r>
      </text>
    </comment>
    <comment ref="F165" authorId="1">
      <text>
        <r>
          <rPr>
            <b/>
            <sz val="9"/>
            <color indexed="81"/>
            <rFont val="Tahoma"/>
            <family val="2"/>
          </rPr>
          <t>Tina Jayaweera:</t>
        </r>
        <r>
          <rPr>
            <sz val="9"/>
            <color indexed="81"/>
            <rFont val="Tahoma"/>
            <family val="2"/>
          </rPr>
          <t xml:space="preserve">
6th Plan assumption, inflated from 2006$</t>
        </r>
      </text>
    </comment>
    <comment ref="F166" authorId="1">
      <text>
        <r>
          <rPr>
            <b/>
            <sz val="9"/>
            <color indexed="81"/>
            <rFont val="Tahoma"/>
            <family val="2"/>
          </rPr>
          <t>Tina Jayaweera:</t>
        </r>
        <r>
          <rPr>
            <sz val="9"/>
            <color indexed="81"/>
            <rFont val="Tahoma"/>
            <family val="2"/>
          </rPr>
          <t xml:space="preserve">
6th Plan assumption, inflated from 2006$</t>
        </r>
      </text>
    </comment>
    <comment ref="F167" authorId="1">
      <text>
        <r>
          <rPr>
            <b/>
            <sz val="9"/>
            <color indexed="81"/>
            <rFont val="Tahoma"/>
            <family val="2"/>
          </rPr>
          <t>Tina Jayaweera:</t>
        </r>
        <r>
          <rPr>
            <sz val="9"/>
            <color indexed="81"/>
            <rFont val="Tahoma"/>
            <family val="2"/>
          </rPr>
          <t xml:space="preserve">
6th Plan assumption, inflated from 2006$</t>
        </r>
      </text>
    </comment>
    <comment ref="F168" authorId="1">
      <text>
        <r>
          <rPr>
            <b/>
            <sz val="9"/>
            <color indexed="81"/>
            <rFont val="Tahoma"/>
            <family val="2"/>
          </rPr>
          <t>Tina Jayaweera:</t>
        </r>
        <r>
          <rPr>
            <sz val="9"/>
            <color indexed="81"/>
            <rFont val="Tahoma"/>
            <family val="2"/>
          </rPr>
          <t xml:space="preserve">
6th Plan assumption, inflated from 2006$</t>
        </r>
      </text>
    </comment>
    <comment ref="F169" authorId="1">
      <text>
        <r>
          <rPr>
            <b/>
            <sz val="9"/>
            <color indexed="81"/>
            <rFont val="Tahoma"/>
            <family val="2"/>
          </rPr>
          <t>Tina Jayaweera:</t>
        </r>
        <r>
          <rPr>
            <sz val="9"/>
            <color indexed="81"/>
            <rFont val="Tahoma"/>
            <family val="2"/>
          </rPr>
          <t xml:space="preserve">
6th Plan assumption, inflated from 2006$</t>
        </r>
      </text>
    </comment>
    <comment ref="F170" authorId="1">
      <text>
        <r>
          <rPr>
            <b/>
            <sz val="9"/>
            <color indexed="81"/>
            <rFont val="Tahoma"/>
            <family val="2"/>
          </rPr>
          <t>Tina Jayaweera:</t>
        </r>
        <r>
          <rPr>
            <sz val="9"/>
            <color indexed="81"/>
            <rFont val="Tahoma"/>
            <family val="2"/>
          </rPr>
          <t xml:space="preserve">
6th Plan assumption, inflated from 2006$</t>
        </r>
      </text>
    </comment>
    <comment ref="F171" authorId="1">
      <text>
        <r>
          <rPr>
            <b/>
            <sz val="9"/>
            <color indexed="81"/>
            <rFont val="Tahoma"/>
            <family val="2"/>
          </rPr>
          <t>Tina Jayaweera:</t>
        </r>
        <r>
          <rPr>
            <sz val="9"/>
            <color indexed="81"/>
            <rFont val="Tahoma"/>
            <family val="2"/>
          </rPr>
          <t xml:space="preserve">
6th Plan assumption, inflated from 2006$</t>
        </r>
      </text>
    </comment>
    <comment ref="F172" authorId="1">
      <text>
        <r>
          <rPr>
            <b/>
            <sz val="9"/>
            <color indexed="81"/>
            <rFont val="Tahoma"/>
            <family val="2"/>
          </rPr>
          <t>Tina Jayaweera:</t>
        </r>
        <r>
          <rPr>
            <sz val="9"/>
            <color indexed="81"/>
            <rFont val="Tahoma"/>
            <family val="2"/>
          </rPr>
          <t xml:space="preserve">
6th Plan assumption, inflated from 2006$</t>
        </r>
      </text>
    </comment>
    <comment ref="F173" authorId="1">
      <text>
        <r>
          <rPr>
            <b/>
            <sz val="9"/>
            <color indexed="81"/>
            <rFont val="Tahoma"/>
            <family val="2"/>
          </rPr>
          <t>Tina Jayaweera:</t>
        </r>
        <r>
          <rPr>
            <sz val="9"/>
            <color indexed="81"/>
            <rFont val="Tahoma"/>
            <family val="2"/>
          </rPr>
          <t xml:space="preserve">
6th Plan assumption, inflated from 2006$</t>
        </r>
      </text>
    </comment>
    <comment ref="F174" authorId="1">
      <text>
        <r>
          <rPr>
            <b/>
            <sz val="9"/>
            <color indexed="81"/>
            <rFont val="Tahoma"/>
            <family val="2"/>
          </rPr>
          <t>Tina Jayaweera:</t>
        </r>
        <r>
          <rPr>
            <sz val="9"/>
            <color indexed="81"/>
            <rFont val="Tahoma"/>
            <family val="2"/>
          </rPr>
          <t xml:space="preserve">
6th Plan assumption, inflated from 2006$</t>
        </r>
      </text>
    </comment>
    <comment ref="F175" authorId="1">
      <text>
        <r>
          <rPr>
            <b/>
            <sz val="9"/>
            <color indexed="81"/>
            <rFont val="Tahoma"/>
            <family val="2"/>
          </rPr>
          <t>Tina Jayaweera:</t>
        </r>
        <r>
          <rPr>
            <sz val="9"/>
            <color indexed="81"/>
            <rFont val="Tahoma"/>
            <family val="2"/>
          </rPr>
          <t xml:space="preserve">
6th Plan assumption, inflated from 2006$</t>
        </r>
      </text>
    </comment>
  </commentList>
</comments>
</file>

<file path=xl/sharedStrings.xml><?xml version="1.0" encoding="utf-8"?>
<sst xmlns="http://schemas.openxmlformats.org/spreadsheetml/2006/main" count="1165" uniqueCount="540">
  <si>
    <t>Data Set Name</t>
  </si>
  <si>
    <t>Measure Index Name</t>
  </si>
  <si>
    <t>Costs must be denominated in the same year as 'Input Cost Reference Year' =</t>
  </si>
  <si>
    <t>Input Data</t>
  </si>
  <si>
    <t>Periodic Replacement Costs and Savings and Replacement Period</t>
  </si>
  <si>
    <t>Gas Inputs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</si>
  <si>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</si>
  <si>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</si>
  <si>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</si>
  <si>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</si>
  <si>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</si>
  <si>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</si>
  <si>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</si>
  <si>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</si>
  <si>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</si>
  <si>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</si>
  <si>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</si>
  <si>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</si>
  <si>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</si>
  <si>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</si>
  <si>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</si>
  <si>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TRC Net Levelized Cost (Net of All Benefits) in mills/kWh</t>
  </si>
  <si>
    <t>Busbar Savings</t>
  </si>
  <si>
    <t>Vintage</t>
  </si>
  <si>
    <t>Methodology</t>
  </si>
  <si>
    <t>Retrofit</t>
  </si>
  <si>
    <t>Retro</t>
  </si>
  <si>
    <t>Measure Bundle</t>
  </si>
  <si>
    <t>Report Year</t>
  </si>
  <si>
    <t>Total Regional Stock</t>
  </si>
  <si>
    <t>Applicability</t>
  </si>
  <si>
    <t>MAX</t>
  </si>
  <si>
    <t>Achievability =&gt;</t>
  </si>
  <si>
    <t>SUPPLY CURVE SAVINGS BY BUNDLE</t>
  </si>
  <si>
    <t>kWh per home</t>
  </si>
  <si>
    <t>lvlcost</t>
  </si>
  <si>
    <t>measure</t>
  </si>
  <si>
    <t>RECOMBINE MEASURE BUNDLES INTO SUPPLY CURVE CUMULATIVE</t>
  </si>
  <si>
    <t>Block 1: &lt;= 0 mills/kWh</t>
  </si>
  <si>
    <t>&gt;=-9999</t>
  </si>
  <si>
    <t>&lt;=0</t>
  </si>
  <si>
    <t>Block 2: &lt;= 10 mills/kWh</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</si>
  <si>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</si>
  <si>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</si>
  <si>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</si>
  <si>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</si>
  <si>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</si>
  <si>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</si>
  <si>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</si>
  <si>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</si>
  <si>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</si>
  <si>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</si>
  <si>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</si>
  <si>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</si>
  <si>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</si>
  <si>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</si>
  <si>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</si>
  <si>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</si>
  <si>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</si>
  <si>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</si>
  <si>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</si>
  <si>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</si>
  <si>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</si>
  <si>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</si>
  <si>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</si>
  <si>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</si>
  <si>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</si>
  <si>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</si>
  <si>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</si>
  <si>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</si>
  <si>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</si>
  <si>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</si>
  <si>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</si>
  <si>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</si>
  <si>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</si>
  <si>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</si>
  <si>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</si>
  <si>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</si>
  <si>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</si>
  <si>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</si>
  <si>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</si>
  <si>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</si>
  <si>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</si>
  <si>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</si>
  <si>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</si>
  <si>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</si>
  <si>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</si>
  <si>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</si>
  <si>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</si>
  <si>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</si>
  <si>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</si>
  <si>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</si>
  <si>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</si>
  <si>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</si>
  <si>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</si>
  <si>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</si>
  <si>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</si>
  <si>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</si>
  <si>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</si>
  <si>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</si>
  <si>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</si>
  <si>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&gt;200</t>
  </si>
  <si>
    <t>&lt;=9999</t>
  </si>
  <si>
    <t>RECOMBINE MEASURE BUNDLES INTO SUPPLY CURVE INCREMENTAL</t>
  </si>
  <si>
    <t>Total per Year</t>
  </si>
  <si>
    <t>Total Cumulative</t>
  </si>
  <si>
    <t>Region</t>
  </si>
  <si>
    <t>Measure:</t>
  </si>
  <si>
    <t>Item</t>
  </si>
  <si>
    <t>Measures Described</t>
  </si>
  <si>
    <t>Energy Savings Calculation Basis</t>
  </si>
  <si>
    <t>Applicable Stock</t>
  </si>
  <si>
    <t>Baseline Saturation</t>
  </si>
  <si>
    <t>Baseline HVAC Loads</t>
  </si>
  <si>
    <t>Permutations</t>
  </si>
  <si>
    <t>Costs</t>
  </si>
  <si>
    <t>Measure Life</t>
  </si>
  <si>
    <t>Savings Shape</t>
  </si>
  <si>
    <t>Achievability Ramp Rate</t>
  </si>
  <si>
    <t>Retro or LO</t>
  </si>
  <si>
    <t>Early Retrofit Parameters</t>
  </si>
  <si>
    <t>R or L</t>
  </si>
  <si>
    <t>Savings 2
(kWh)</t>
  </si>
  <si>
    <t>Remaining
Life (yrs)</t>
  </si>
  <si>
    <t>Salvage Value ($)</t>
  </si>
  <si>
    <t>R</t>
  </si>
  <si>
    <t>aMW</t>
  </si>
  <si>
    <t>Montana</t>
  </si>
  <si>
    <t>Idaho</t>
  </si>
  <si>
    <t>Oregon</t>
  </si>
  <si>
    <t>Washington</t>
  </si>
  <si>
    <t>='[7P Forecasts D2.xlsx]Ag Forecast (Base Case)'!$BD$20</t>
  </si>
  <si>
    <t>Irrigation</t>
  </si>
  <si>
    <t>state</t>
  </si>
  <si>
    <t>Acres Treated Max</t>
  </si>
  <si>
    <t>A-Irr-Irr-Irrigation-All-All-E</t>
  </si>
  <si>
    <t>Category</t>
  </si>
  <si>
    <t>Measure</t>
  </si>
  <si>
    <t>TRC B/C Ratio</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</si>
  <si>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</si>
  <si>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</si>
  <si>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</si>
  <si>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</si>
  <si>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</si>
  <si>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</si>
  <si>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</si>
  <si>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Net Electric &amp; Gas System CO2 Avoided (Lifetime Tons)</t>
  </si>
  <si>
    <t>Jan</t>
  </si>
  <si>
    <t>Feb</t>
  </si>
  <si>
    <t>Mar</t>
  </si>
  <si>
    <t>Apr</t>
  </si>
  <si>
    <t>May</t>
  </si>
  <si>
    <t>Jun</t>
  </si>
  <si>
    <t>Jul</t>
  </si>
  <si>
    <t>Aug</t>
  </si>
  <si>
    <t>Sep</t>
  </si>
  <si>
    <t>Oct</t>
  </si>
  <si>
    <t>Nov</t>
  </si>
  <si>
    <t>Dec</t>
  </si>
  <si>
    <t>Shaped Savings Results; By Category and sorted by TRC BC ratio</t>
  </si>
  <si>
    <t>Block 22: 200-210 mills/kWh</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</si>
  <si>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</si>
  <si>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</si>
  <si>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</si>
  <si>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</si>
  <si>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</si>
  <si>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</si>
  <si>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</si>
  <si>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</si>
  <si>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</si>
  <si>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</si>
  <si>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</si>
  <si>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</si>
  <si>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</si>
  <si>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</si>
  <si>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</si>
  <si>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</si>
  <si>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</si>
  <si>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</si>
  <si>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</si>
  <si>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</si>
  <si>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</si>
  <si>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</si>
  <si>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</si>
  <si>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</si>
  <si>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</si>
  <si>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</si>
  <si>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</si>
  <si>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</si>
  <si>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 300 mills/kWh</t>
  </si>
  <si>
    <t>&gt;300</t>
  </si>
  <si>
    <t>Savings Allocation by Category and Month for Segments 1</t>
  </si>
  <si>
    <t>Savings Allocation by Category and Month for Segments 2</t>
  </si>
  <si>
    <t>Wholesale KW</t>
  </si>
  <si>
    <t>Motor Size</t>
  </si>
  <si>
    <t>Savings over Standard Rewind</t>
  </si>
  <si>
    <t>25 HP</t>
  </si>
  <si>
    <t>30 HP</t>
  </si>
  <si>
    <t>40 HP</t>
  </si>
  <si>
    <t>50 HP</t>
  </si>
  <si>
    <t>60 HP</t>
  </si>
  <si>
    <t>75 HP</t>
  </si>
  <si>
    <t>Weighted Average Efficiency GPMG Rewind</t>
  </si>
  <si>
    <t>Weighted Average Efficiency after Standard Rewind</t>
  </si>
  <si>
    <t>Weighted Average Energy Consumption GMPG Rewind</t>
  </si>
  <si>
    <t>Weighted Average Energy Consumption w/Standard Rewind</t>
  </si>
  <si>
    <t>Energy Savings for GMPG Rewind</t>
  </si>
  <si>
    <t>ODP</t>
  </si>
  <si>
    <t>TEFC</t>
  </si>
  <si>
    <t>HP Average annual</t>
  </si>
  <si>
    <t>Average Loading</t>
  </si>
  <si>
    <t>Average hours of Operation</t>
  </si>
  <si>
    <t xml:space="preserve">Non-GMPG Nameplate Efficiency Loss </t>
  </si>
  <si>
    <t>1200 RPM</t>
  </si>
  <si>
    <t>1800 RPM</t>
  </si>
  <si>
    <t>3600 RPM</t>
  </si>
  <si>
    <t>Average Savings</t>
  </si>
  <si>
    <t>Savings kWh/HP</t>
  </si>
  <si>
    <r>
      <rPr>
        <u/>
        <sz val="10"/>
        <rFont val="Arial"/>
        <family val="2"/>
      </rPr>
      <t>Note</t>
    </r>
    <r>
      <rPr>
        <sz val="10"/>
        <rFont val="Arial"/>
        <family val="2"/>
      </rPr>
      <t>: Efficiencies of motors 600HP and greater reflect a single efficiency value for each HP rating in this range. Motors 600 HP and larger are not covered by NEMA Premium® published standards</t>
    </r>
  </si>
  <si>
    <t>or by Department of Energy minimum efficiency standards. The published efficiency for motors 600 to 5,000 HP from two of the larger manufacturers of motors in this HP range (Siemens and General Electric)</t>
  </si>
  <si>
    <t>is provided here. Source: Green Motors Practices Group (GMPG), 2012. Green Motor Initiative Rewind Savings. Submitted to the RTF.</t>
  </si>
  <si>
    <t>From:</t>
  </si>
  <si>
    <t>AgGreenMotorRewind_v2_0.xlsm</t>
  </si>
  <si>
    <t>Motor Rewind Costs</t>
  </si>
  <si>
    <t>Standard Versus Green Motor Program Costs</t>
  </si>
  <si>
    <t xml:space="preserve">Source:  </t>
  </si>
  <si>
    <t>Green Motors Program Participant survey, summer 2007 as reported in the RTF submittal. (Quality Motor Rewinding an Energy Efficiency Measure, RTF Submittal, Post-Approval Revision 1.2 - May 2008, Page 7: http://www.reedelectric.tv/images/RTFSubmittalMay_08__2_.pdf)</t>
  </si>
  <si>
    <t>Council Deflator</t>
  </si>
  <si>
    <t>Standard Rewind</t>
  </si>
  <si>
    <t>Green Motors Rewind</t>
  </si>
  <si>
    <t>Incremental Cost</t>
  </si>
  <si>
    <t>Average Motor</t>
  </si>
  <si>
    <t>6-Pole</t>
  </si>
  <si>
    <t>4-Pole</t>
  </si>
  <si>
    <t>2-Pole</t>
  </si>
  <si>
    <t>Incremental Cost Factor</t>
  </si>
  <si>
    <t>Incremental Cost Year 2007 $</t>
  </si>
  <si>
    <t>Inc. Cost/HP</t>
  </si>
  <si>
    <t>Medium Voltage, 1200-3600 RPM, ODP, TEFC, VHS, and Special Motors &gt;500 HP</t>
  </si>
  <si>
    <t>HP</t>
  </si>
  <si>
    <t>National Average Rewind Price (approx 2006 pricing)</t>
  </si>
  <si>
    <t>NW Average Rewind Price (standard 20% discount on 2006 pricing)</t>
  </si>
  <si>
    <t>Average GREEN REWIND Price</t>
  </si>
  <si>
    <t>Estimated Incremental Difference</t>
  </si>
  <si>
    <t>Northwest Discount</t>
  </si>
  <si>
    <t>Green Rewind Adder</t>
  </si>
  <si>
    <t xml:space="preserve">$2 Incentive per HP per motor </t>
  </si>
  <si>
    <t>Incentive X HP</t>
  </si>
  <si>
    <t>Estimated # of rewinds per year</t>
  </si>
  <si>
    <t>Reduced estimate by 30%</t>
  </si>
  <si>
    <t>Annual kWh savings</t>
  </si>
  <si>
    <t>Non-GMPG Eff. Loss</t>
  </si>
  <si>
    <t>Annual</t>
  </si>
  <si>
    <t>kWh Savings</t>
  </si>
  <si>
    <t>&lt;-- Convert 2007 dollars to 2012 dollars</t>
  </si>
  <si>
    <t>Incremental Cost Year 2012 $</t>
  </si>
  <si>
    <t>Green Motors Program Rewind vs. Standard Practice:  Motor size 15HP, Agricultural</t>
  </si>
  <si>
    <t>Green Motors Program Rewind vs. Standard Practice:  Motor size 20HP, Agricultural</t>
  </si>
  <si>
    <t>Green Motors Program Rewind vs. Standard Practice:  Motor size 25HP, Agricultural</t>
  </si>
  <si>
    <t>Green Motors Program Rewind vs. Standard Practice:  Motor size 30HP, Agricultural</t>
  </si>
  <si>
    <t>Green Motors Program Rewind vs. Standard Practice:  Motor size 40HP, Agricultural</t>
  </si>
  <si>
    <t>Green Motors Program Rewind vs. Standard Practice:  Motor size 50HP, Agricultural</t>
  </si>
  <si>
    <t>Green Motors Program Rewind vs. Standard Practice:  Motor size 60HP, Agricultural</t>
  </si>
  <si>
    <t>Green Motors Program Rewind vs. Standard Practice:  Motor size 75HP, Agricultural</t>
  </si>
  <si>
    <t>Green Motors Program Rewind vs. Standard Practice:  Motor size 100HP, Agricultural</t>
  </si>
  <si>
    <t>Green Motors Program Rewind vs. Standard Practice:  Motor size 125HP, Agricultural</t>
  </si>
  <si>
    <t>Green Motors Program Rewind vs. Standard Practice:  Motor size 150HP, Agricultural</t>
  </si>
  <si>
    <t>Green Motors Program Rewind vs. Standard Practice:  Motor size 200HP, Agricultural</t>
  </si>
  <si>
    <t>Green Motors Program Rewind vs. Standard Practice:  Motor size 250HP, Agricultural</t>
  </si>
  <si>
    <t>Green Motors Program Rewind vs. Standard Practice:  Motor size 300HP, Agricultural</t>
  </si>
  <si>
    <t>Green Motors Program Rewind vs. Standard Practice:  Motor size 350HP, Agricultural</t>
  </si>
  <si>
    <t>Green Motors Program Rewind vs. Standard Practice:  Motor size 400HP, Agricultural</t>
  </si>
  <si>
    <t>Green Motors Program Rewind vs. Standard Practice:  Motor size 450HP, Agricultural</t>
  </si>
  <si>
    <t>Green Motors Program Rewind vs. Standard Practice:  Motor size 500HP, Agricultural</t>
  </si>
  <si>
    <t>Green Motors Program Rewind vs. Standard Practice:  Motor size 600HP, Agricultural</t>
  </si>
  <si>
    <t>Green Motors Program Rewind vs. Standard Practice:  Motor size 700HP, Agricultural</t>
  </si>
  <si>
    <t>Green Motors Program Rewind vs. Standard Practice:  Motor size 800HP, Agricultural</t>
  </si>
  <si>
    <t>Green Motors Program Rewind vs. Standard Practice:  Motor size 900HP, Agricultural</t>
  </si>
  <si>
    <t>Green Motors Program Rewind vs. Standard Practice:  Motor size 1000HP, Agricultural</t>
  </si>
  <si>
    <t>Green Motors Program Rewind vs. Standard Practice:  Motor size 1250HP, Agricultural</t>
  </si>
  <si>
    <t>Green Motors Program Rewind vs. Standard Practice:  Motor size 1500HP, Agricultural</t>
  </si>
  <si>
    <t>Green Motors Program Rewind vs. Standard Practice:  Motor size 1750HP, Agricultural</t>
  </si>
  <si>
    <t>Green Motors Program Rewind vs. Standard Practice:  Motor size 2000HP, Agricultural</t>
  </si>
  <si>
    <t>Green Motors Program Rewind vs. Standard Practice:  Motor size 2250HP, Agricultural</t>
  </si>
  <si>
    <t>Green Motors Program Rewind vs. Standard Practice:  Motor size 2500HP, Agricultural</t>
  </si>
  <si>
    <t>Green Motors Program Rewind vs. Standard Practice:  Motor size 3000HP, Agricultural</t>
  </si>
  <si>
    <t>Green Motors Program Rewind vs. Standard Practice:  Motor size 3500HP, Agricultural</t>
  </si>
  <si>
    <t>Green Motors Program Rewind vs. Standard Practice:  Motor size 4000HP, Agricultural</t>
  </si>
  <si>
    <t>Green Motors Program Rewind vs. Standard Practice:  Motor size 4500HP, Agricultural</t>
  </si>
  <si>
    <t>Green Motors Program Rewind vs. Standard Practice:  Motor size 5000HP, Agricultural</t>
  </si>
  <si>
    <r>
      <rPr>
        <b/>
        <sz val="10"/>
        <rFont val="Arial"/>
        <family val="2"/>
      </rPr>
      <t>Agricultural</t>
    </r>
    <r>
      <rPr>
        <sz val="10"/>
        <rFont val="Arial"/>
        <family val="2"/>
      </rPr>
      <t xml:space="preserve"> Motor Life based on best engineering judgment of design motor life</t>
    </r>
  </si>
  <si>
    <t>Hours</t>
  </si>
  <si>
    <t>Motor Life</t>
  </si>
  <si>
    <t>Lifetime (yrs)</t>
  </si>
  <si>
    <t>Motor Rewind</t>
  </si>
  <si>
    <t>Collapse to single average HP by state and pumping type</t>
  </si>
  <si>
    <t>Idaho Wells</t>
  </si>
  <si>
    <t>Montana Wells</t>
  </si>
  <si>
    <t>Oregon Wells</t>
  </si>
  <si>
    <t>Washington Wells</t>
  </si>
  <si>
    <t>Idaho River</t>
  </si>
  <si>
    <t>Montana River</t>
  </si>
  <si>
    <t>Oregon River</t>
  </si>
  <si>
    <t>Washington River</t>
  </si>
  <si>
    <t>Size</t>
  </si>
  <si>
    <t>Region/Pump type</t>
  </si>
  <si>
    <t>avg HP</t>
  </si>
  <si>
    <t>rounded HP</t>
  </si>
  <si>
    <t>Breakout size, trim name</t>
  </si>
  <si>
    <t>Saturation</t>
  </si>
  <si>
    <t>Wells</t>
  </si>
  <si>
    <t>Idaho Wells Green Motors Program Rewind vs. Standard Practice:  Motor size 150HP</t>
  </si>
  <si>
    <t>Montana Wells Green Motors Program Rewind vs. Standard Practice:  Motor size 50HP</t>
  </si>
  <si>
    <t>Oregon Wells Green Motors Program Rewind vs. Standard Practice:  Motor size 60HP</t>
  </si>
  <si>
    <t>Washington Wells Green Motors Program Rewind vs. Standard Practice:  Motor size 100HP</t>
  </si>
  <si>
    <t>Idaho River Green Motors Program Rewind vs. Standard Practice:  Motor size 60HP</t>
  </si>
  <si>
    <t>Montana River Green Motors Program Rewind vs. Standard Practice:  Motor size 40HP</t>
  </si>
  <si>
    <t>Oregon River Green Motors Program Rewind vs. Standard Practice:  Motor size 50HP</t>
  </si>
  <si>
    <t>Washington River Green Motors Program Rewind vs. Standard Practice:  Motor size 75HP</t>
  </si>
  <si>
    <t>River</t>
  </si>
  <si>
    <t># pumps</t>
  </si>
  <si>
    <t>REG_TOTAL_STOCK_# PUMPS</t>
  </si>
  <si>
    <t>Methods &amp; Sources</t>
  </si>
  <si>
    <t>Note</t>
  </si>
  <si>
    <t>7P Updates</t>
  </si>
  <si>
    <t>Irrigation Motors</t>
  </si>
  <si>
    <t>Motors are not explicitly broken out in 6 going on 7</t>
  </si>
  <si>
    <t>Ramp Rate</t>
  </si>
  <si>
    <t>Resource Type</t>
  </si>
  <si>
    <t>Measure Category</t>
  </si>
  <si>
    <t>Sector</t>
  </si>
  <si>
    <t>End Use</t>
  </si>
  <si>
    <t>kW per unit</t>
  </si>
  <si>
    <t>kWh per unit</t>
  </si>
  <si>
    <t>TRC Net Levelized Cost (Net of All Benefits)</t>
  </si>
  <si>
    <t>segment</t>
  </si>
  <si>
    <t>Agriculture</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</si>
  <si>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</si>
  <si>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</si>
  <si>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</si>
  <si>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</si>
  <si>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</si>
  <si>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</si>
  <si>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</si>
  <si>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</si>
  <si>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</si>
  <si>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</si>
  <si>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</si>
  <si>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</si>
  <si>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</si>
  <si>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\\nas2\Q\SeventhPlan\Conservation Analysis\Global EE Inputs\MC Files\MC_AND_LOADSHAPE_v3.0_24segment-7P-D9 - NewSegValues.xlsx</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</si>
  <si>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</si>
  <si>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</si>
  <si>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</si>
  <si>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</si>
  <si>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</si>
  <si>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</si>
  <si>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</si>
  <si>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</si>
  <si>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</si>
  <si>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</si>
  <si>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</si>
  <si>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</si>
  <si>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</si>
  <si>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</si>
  <si>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</si>
  <si>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</si>
  <si>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</si>
  <si>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</si>
  <si>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</si>
  <si>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</si>
  <si>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</si>
  <si>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</si>
  <si>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</si>
  <si>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</si>
  <si>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</si>
  <si>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</si>
  <si>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</si>
  <si>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</si>
  <si>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</si>
  <si>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</si>
  <si>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</si>
  <si>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</si>
  <si>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</si>
  <si>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</si>
  <si>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</si>
  <si>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</si>
  <si>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</si>
  <si>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</si>
  <si>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</si>
  <si>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</si>
  <si>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</si>
  <si>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</si>
  <si>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</si>
  <si>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</si>
  <si>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</si>
  <si>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</si>
  <si>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</si>
  <si>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</si>
  <si>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</si>
  <si>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</si>
  <si>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</si>
  <si>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</si>
  <si>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</si>
  <si>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</si>
  <si>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</si>
  <si>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</si>
  <si>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</si>
  <si>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</si>
  <si>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</si>
  <si>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</si>
  <si>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</si>
  <si>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</si>
  <si>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</si>
  <si>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</si>
  <si>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</si>
  <si>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</si>
  <si>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</si>
  <si>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</si>
  <si>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</si>
  <si>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</si>
  <si>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</si>
  <si>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</si>
  <si>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</si>
  <si>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</si>
  <si>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</si>
  <si>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</si>
  <si>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</si>
  <si>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</si>
  <si>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</si>
  <si>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</si>
  <si>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</si>
  <si>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</si>
  <si>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</si>
  <si>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</si>
  <si>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</si>
  <si>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</si>
  <si>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</si>
  <si>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</si>
  <si>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</si>
  <si>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</si>
  <si>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</si>
  <si>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</si>
  <si>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</si>
  <si>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</si>
  <si>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</si>
  <si>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</si>
  <si>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Total</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</si>
  <si>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</si>
  <si>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</si>
  <si>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</si>
  <si>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</si>
  <si>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</si>
  <si>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</si>
  <si>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</si>
  <si>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</si>
  <si>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</si>
  <si>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</si>
  <si>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</si>
  <si>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</si>
  <si>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</si>
  <si>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</si>
  <si>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</si>
  <si>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</si>
  <si>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</si>
  <si>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</si>
  <si>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</si>
  <si>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</si>
  <si>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</si>
  <si>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</si>
  <si>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</si>
  <si>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</si>
  <si>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</si>
  <si>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</si>
  <si>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</si>
  <si>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</si>
  <si>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</si>
  <si>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</si>
  <si>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</si>
  <si>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</si>
  <si>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</si>
  <si>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</si>
  <si>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</si>
  <si>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</si>
  <si>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</si>
  <si>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</si>
  <si>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</si>
  <si>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</si>
  <si>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</si>
  <si>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</si>
  <si>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</si>
  <si>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</si>
  <si>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</si>
  <si>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</si>
  <si>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</si>
  <si>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</si>
  <si>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</si>
  <si>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</si>
  <si>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</si>
  <si>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</si>
  <si>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</si>
  <si>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</si>
  <si>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</si>
  <si>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</si>
  <si>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</si>
  <si>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</si>
  <si>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</si>
  <si>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</si>
  <si>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Green Motors Program Rewind vs. Standard Practice:  Motor size 150HP</t>
  </si>
  <si>
    <t>(na)</t>
  </si>
  <si>
    <t>Green Motors Program Rewind vs. Standard Practice:  Motor size 50HP</t>
  </si>
  <si>
    <t>Green Motors Program Rewind vs. Standard Practice:  Motor size 60HP</t>
  </si>
  <si>
    <t>Green Motors Program Rewind vs. Standard Practice:  Motor size 100HP</t>
  </si>
  <si>
    <t>Green Motors Program Rewind vs. Standard Practice:  Motor size 40HP</t>
  </si>
  <si>
    <t>Green Motors Program Rewind vs. Standard Practice:  Motor size 75HP</t>
  </si>
  <si>
    <t>Category Results; Sorted by TRC Levelized Cost</t>
  </si>
  <si>
    <t>Supply Curve Results; Categories sorted by TRC Net Levelized Cost</t>
  </si>
  <si>
    <t>Totals for Categories with Benefits Exceeding Costs.    Levelized cost is TRC Net Levelized Cost (Net of Benefits)</t>
  </si>
  <si>
    <t>Savings Allocation by Cost Bin and Month for Segments 1</t>
  </si>
  <si>
    <t>Savings Allocation by Cost Bin and Month for Segments 2</t>
  </si>
  <si>
    <t>Totals Basis</t>
  </si>
  <si>
    <t>Busbar Electric Savings in kWh</t>
  </si>
  <si>
    <t>Measures with B/C &gt; 1.00</t>
  </si>
  <si>
    <t>Categories with B/C &gt; 1.00</t>
  </si>
  <si>
    <t>Supply Curve Results:  By TRC Net Levelized Cost - Net of Benefits</t>
  </si>
  <si>
    <t>Block 22: &gt; 200 mills/kWh</t>
  </si>
  <si>
    <t>Green Motor Rewind (or equivalent) program to keep motors working well</t>
  </si>
  <si>
    <t>New for Ag (not in 6P)</t>
  </si>
  <si>
    <t>RTF</t>
  </si>
  <si>
    <t>Pump motors</t>
  </si>
  <si>
    <t>Unknown, assume 30%</t>
  </si>
  <si>
    <t>NA</t>
  </si>
  <si>
    <t>By state, whether well or river source for water pumping</t>
  </si>
  <si>
    <t>Retro 12Med</t>
  </si>
  <si>
    <t>Current activity in GMP</t>
  </si>
  <si>
    <t>End Use:</t>
  </si>
  <si>
    <t>Irrigation Motor</t>
  </si>
  <si>
    <t>Friday, 6 March , 2015 at 12:36 PM</t>
  </si>
  <si>
    <t>Total Max Potential (aMW)</t>
  </si>
  <si>
    <t>Stock</t>
  </si>
</sst>
</file>

<file path=xl/styles.xml><?xml version="1.0" encoding="utf-8"?>
<styleSheet xmlns="http://schemas.openxmlformats.org/spreadsheetml/2006/main">
  <numFmts count="18">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0.0"/>
    <numFmt numFmtId="165" formatCode="0.000000"/>
    <numFmt numFmtId="166" formatCode="0.0000"/>
    <numFmt numFmtId="167" formatCode="m/d/\ h:mm"/>
    <numFmt numFmtId="168" formatCode="_(* #,##0.0_);_(* \(#,##0.0\);_(* &quot;-&quot;?_);_(@_)"/>
    <numFmt numFmtId="169" formatCode="0.0%"/>
    <numFmt numFmtId="170" formatCode="#,##0.0"/>
    <numFmt numFmtId="171" formatCode="mmm\-yyyy"/>
    <numFmt numFmtId="172" formatCode="_(* #,##0_);_(* \(#,##0\);_(* &quot;-&quot;??_);_(@_)"/>
    <numFmt numFmtId="173" formatCode="_(&quot;$&quot;* #,##0_);_(&quot;$&quot;* \(#,##0\);_(&quot;$&quot;* &quot;-&quot;??_);_(@_)"/>
    <numFmt numFmtId="174" formatCode="&quot;$&quot;#,##0"/>
    <numFmt numFmtId="175" formatCode="0.0;[Red]\-0.0"/>
    <numFmt numFmtId="176" formatCode="\ "/>
  </numFmts>
  <fonts count="69">
    <font>
      <sz val="10"/>
      <name val="Arial"/>
      <family val="2"/>
    </font>
    <font>
      <sz val="10"/>
      <color theme="1"/>
      <name val="Arial"/>
      <family val="2"/>
    </font>
    <font>
      <sz val="10"/>
      <color theme="1"/>
      <name val="Arial"/>
      <family val="2"/>
    </font>
    <font>
      <sz val="12"/>
      <name val="Arial"/>
      <family val="2"/>
    </font>
    <font>
      <b/>
      <i/>
      <sz val="10"/>
      <name val="Arial"/>
      <family val="2"/>
    </font>
    <font>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sz val="10"/>
      <color indexed="9"/>
      <name val="Arial"/>
      <family val="2"/>
    </font>
    <font>
      <b/>
      <sz val="8"/>
      <color indexed="81"/>
      <name val="Tahoma"/>
      <family val="2"/>
    </font>
    <font>
      <sz val="8"/>
      <color indexed="81"/>
      <name val="Tahoma"/>
      <family val="2"/>
    </font>
    <font>
      <sz val="12"/>
      <name val="Times New Roman"/>
      <family val="1"/>
    </font>
    <font>
      <b/>
      <sz val="12"/>
      <name val="Times New Roman"/>
      <family val="1"/>
    </font>
    <font>
      <b/>
      <sz val="11"/>
      <color theme="1"/>
      <name val="Calibri"/>
      <family val="2"/>
      <scheme val="minor"/>
    </font>
    <font>
      <sz val="11"/>
      <color theme="1"/>
      <name val="Calibri"/>
      <family val="2"/>
      <scheme val="minor"/>
    </font>
    <font>
      <sz val="10"/>
      <name val="Arial"/>
      <family val="2"/>
    </font>
    <font>
      <sz val="10"/>
      <name val="MS Sans Serif"/>
      <family val="2"/>
    </font>
    <font>
      <sz val="11"/>
      <color indexed="8"/>
      <name val="Calibri"/>
      <family val="2"/>
    </font>
    <font>
      <b/>
      <i/>
      <sz val="11"/>
      <name val="Arial"/>
      <family val="2"/>
    </font>
    <font>
      <sz val="11"/>
      <color indexed="8"/>
      <name val="Calibri"/>
      <family val="2"/>
    </font>
    <font>
      <b/>
      <sz val="13"/>
      <color indexed="62"/>
      <name val="Calibri"/>
      <family val="2"/>
    </font>
    <font>
      <u/>
      <sz val="10"/>
      <color indexed="12"/>
      <name val="Arial"/>
      <family val="2"/>
    </font>
    <font>
      <u/>
      <sz val="7"/>
      <color indexed="12"/>
      <name val="Arial"/>
      <family val="2"/>
    </font>
    <font>
      <b/>
      <sz val="11"/>
      <color indexed="8"/>
      <name val="Calibri"/>
      <family val="2"/>
    </font>
    <font>
      <sz val="11"/>
      <color indexed="10"/>
      <name val="Calibri"/>
      <family val="2"/>
    </font>
    <font>
      <u/>
      <sz val="10"/>
      <color theme="10"/>
      <name val="Arial"/>
      <family val="2"/>
    </font>
    <font>
      <b/>
      <sz val="14"/>
      <color theme="1"/>
      <name val="Calibri"/>
      <family val="2"/>
      <scheme val="minor"/>
    </font>
    <font>
      <b/>
      <sz val="11"/>
      <name val="Calibri"/>
      <family val="2"/>
      <scheme val="minor"/>
    </font>
    <font>
      <sz val="11"/>
      <name val="Calibri"/>
      <family val="2"/>
      <scheme val="minor"/>
    </font>
    <font>
      <sz val="11"/>
      <color indexed="63"/>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Times New Roman"/>
      <family val="1"/>
    </font>
    <font>
      <b/>
      <sz val="10"/>
      <color indexed="8"/>
      <name val="Arial"/>
      <family val="2"/>
    </font>
    <font>
      <i/>
      <sz val="11"/>
      <color indexed="23"/>
      <name val="Calibri"/>
      <family val="2"/>
    </font>
    <font>
      <sz val="11"/>
      <color indexed="17"/>
      <name val="Calibri"/>
      <family val="2"/>
    </font>
    <font>
      <b/>
      <sz val="15"/>
      <color indexed="56"/>
      <name val="Calibri"/>
      <family val="2"/>
    </font>
    <font>
      <b/>
      <sz val="15"/>
      <color indexed="62"/>
      <name val="Calibri"/>
      <family val="2"/>
    </font>
    <font>
      <b/>
      <sz val="11"/>
      <color indexed="56"/>
      <name val="Calibri"/>
      <family val="2"/>
    </font>
    <font>
      <b/>
      <sz val="11"/>
      <color indexed="62"/>
      <name val="Calibri"/>
      <family val="2"/>
    </font>
    <font>
      <u/>
      <sz val="10"/>
      <color indexed="12"/>
      <name val="Times New Roman"/>
      <family val="1"/>
    </font>
    <font>
      <u/>
      <sz val="11"/>
      <color theme="10"/>
      <name val="Calibri"/>
      <family val="2"/>
    </font>
    <font>
      <u/>
      <sz val="11"/>
      <color theme="10"/>
      <name val="Calibri"/>
      <family val="2"/>
      <scheme val="minor"/>
    </font>
    <font>
      <sz val="11"/>
      <color indexed="62"/>
      <name val="Calibri"/>
      <family val="2"/>
    </font>
    <font>
      <sz val="11"/>
      <color indexed="52"/>
      <name val="Calibri"/>
      <family val="2"/>
    </font>
    <font>
      <sz val="11"/>
      <color indexed="60"/>
      <name val="Calibri"/>
      <family val="2"/>
    </font>
    <font>
      <sz val="9"/>
      <name val="Arial"/>
      <family val="2"/>
    </font>
    <font>
      <sz val="12"/>
      <name val="Helv"/>
    </font>
    <font>
      <b/>
      <sz val="11"/>
      <color indexed="63"/>
      <name val="Calibri"/>
      <family val="2"/>
    </font>
    <font>
      <b/>
      <sz val="18"/>
      <color indexed="56"/>
      <name val="Cambria"/>
      <family val="2"/>
    </font>
    <font>
      <sz val="10"/>
      <name val="Helv"/>
    </font>
    <font>
      <sz val="10"/>
      <name val="Helv"/>
      <charset val="204"/>
    </font>
    <font>
      <b/>
      <sz val="18"/>
      <color indexed="62"/>
      <name val="Cambria"/>
      <family val="2"/>
    </font>
    <font>
      <sz val="10"/>
      <name val="굴림"/>
      <family val="3"/>
      <charset val="129"/>
    </font>
    <font>
      <sz val="9"/>
      <color indexed="81"/>
      <name val="Tahoma"/>
      <family val="2"/>
    </font>
    <font>
      <b/>
      <sz val="9"/>
      <color indexed="81"/>
      <name val="Tahoma"/>
      <family val="2"/>
    </font>
    <font>
      <sz val="10"/>
      <color indexed="10"/>
      <name val="Arial"/>
      <family val="2"/>
    </font>
    <font>
      <b/>
      <sz val="10"/>
      <color indexed="81"/>
      <name val="Tahoma"/>
      <family val="2"/>
    </font>
    <font>
      <sz val="10"/>
      <color indexed="81"/>
      <name val="Tahoma"/>
      <family val="2"/>
    </font>
    <font>
      <u/>
      <sz val="10"/>
      <name val="Arial"/>
      <family val="2"/>
    </font>
    <font>
      <b/>
      <sz val="11"/>
      <color indexed="8"/>
      <name val="Arial"/>
      <family val="2"/>
    </font>
    <font>
      <sz val="9"/>
      <color indexed="8"/>
      <name val="Arial"/>
      <family val="2"/>
    </font>
    <font>
      <sz val="9"/>
      <color theme="1"/>
      <name val="Arial"/>
      <family val="2"/>
    </font>
  </fonts>
  <fills count="79">
    <fill>
      <patternFill patternType="none"/>
    </fill>
    <fill>
      <patternFill patternType="gray125"/>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indexed="22"/>
        <bgColor indexed="64"/>
      </patternFill>
    </fill>
    <fill>
      <patternFill patternType="solid">
        <fgColor theme="4" tint="0.79998168889431442"/>
        <bgColor indexed="64"/>
      </patternFill>
    </fill>
    <fill>
      <patternFill patternType="solid">
        <fgColor indexed="57"/>
        <bgColor indexed="64"/>
      </patternFill>
    </fill>
    <fill>
      <patternFill patternType="solid">
        <fgColor indexed="47"/>
        <bgColor indexed="64"/>
      </patternFill>
    </fill>
    <fill>
      <patternFill patternType="solid">
        <fgColor indexed="44"/>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26"/>
      </patternFill>
    </fill>
    <fill>
      <patternFill patternType="solid">
        <fgColor indexed="13"/>
        <bgColor indexed="64"/>
      </patternFill>
    </fill>
    <fill>
      <patternFill patternType="solid">
        <fgColor indexed="31"/>
      </patternFill>
    </fill>
    <fill>
      <patternFill patternType="solid">
        <fgColor indexed="9"/>
      </patternFill>
    </fill>
    <fill>
      <patternFill patternType="solid">
        <fgColor indexed="8"/>
      </patternFill>
    </fill>
    <fill>
      <patternFill patternType="solid">
        <fgColor indexed="45"/>
      </patternFill>
    </fill>
    <fill>
      <patternFill patternType="solid">
        <fgColor indexed="47"/>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62"/>
      </patternFill>
    </fill>
    <fill>
      <patternFill patternType="solid">
        <fgColor indexed="45"/>
        <bgColor indexed="45"/>
      </patternFill>
    </fill>
    <fill>
      <patternFill patternType="solid">
        <fgColor indexed="29"/>
        <bgColor indexed="29"/>
      </patternFill>
    </fill>
    <fill>
      <patternFill patternType="solid">
        <fgColor indexed="10"/>
      </patternFill>
    </fill>
    <fill>
      <patternFill patternType="solid">
        <fgColor indexed="42"/>
        <bgColor indexed="42"/>
      </patternFill>
    </fill>
    <fill>
      <patternFill patternType="solid">
        <fgColor indexed="11"/>
        <bgColor indexed="11"/>
      </patternFill>
    </fill>
    <fill>
      <patternFill patternType="solid">
        <fgColor indexed="57"/>
      </patternFill>
    </fill>
    <fill>
      <patternFill patternType="solid">
        <fgColor indexed="46"/>
        <bgColor indexed="46"/>
      </patternFill>
    </fill>
    <fill>
      <patternFill patternType="solid">
        <fgColor indexed="36"/>
        <bgColor indexed="36"/>
      </patternFill>
    </fill>
    <fill>
      <patternFill patternType="solid">
        <fgColor indexed="54"/>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53"/>
      </patternFill>
    </fill>
    <fill>
      <patternFill patternType="solid">
        <fgColor indexed="55"/>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theme="3"/>
        <bgColor indexed="64"/>
      </patternFill>
    </fill>
    <fill>
      <patternFill patternType="solid">
        <fgColor theme="6" tint="0.59999389629810485"/>
        <bgColor indexed="64"/>
      </patternFill>
    </fill>
    <fill>
      <patternFill patternType="solid">
        <fgColor indexed="41"/>
        <bgColor indexed="64"/>
      </patternFill>
    </fill>
    <fill>
      <patternFill patternType="solid">
        <fgColor indexed="9"/>
        <bgColor indexed="64"/>
      </patternFill>
    </fill>
    <fill>
      <patternFill patternType="solid">
        <fgColor indexed="11"/>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60"/>
        <bgColor indexed="64"/>
      </patternFill>
    </fill>
    <fill>
      <patternFill patternType="solid">
        <fgColor indexed="31"/>
        <bgColor indexed="64"/>
      </patternFill>
    </fill>
  </fills>
  <borders count="55">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thick">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536">
    <xf numFmtId="0" fontId="0" fillId="0" borderId="0">
      <alignment readingOrder="1"/>
    </xf>
    <xf numFmtId="44" fontId="5" fillId="0" borderId="0" applyFont="0" applyFill="0" applyBorder="0" applyAlignment="0" applyProtection="0"/>
    <xf numFmtId="0" fontId="3" fillId="0" borderId="0"/>
    <xf numFmtId="0" fontId="5" fillId="0" borderId="0"/>
    <xf numFmtId="0" fontId="5" fillId="9" borderId="0" applyNumberFormat="0" applyAlignment="0">
      <alignment horizontal="right"/>
    </xf>
    <xf numFmtId="0" fontId="5" fillId="8" borderId="0" applyNumberFormat="0" applyAlignment="0"/>
    <xf numFmtId="167" fontId="15" fillId="0" borderId="0"/>
    <xf numFmtId="0" fontId="16" fillId="0" borderId="0">
      <alignment horizontal="center" wrapText="1"/>
    </xf>
    <xf numFmtId="9" fontId="5" fillId="0" borderId="0" applyFont="0" applyFill="0" applyBorder="0" applyAlignment="0" applyProtection="0"/>
    <xf numFmtId="0" fontId="18" fillId="0" borderId="0"/>
    <xf numFmtId="9" fontId="18" fillId="0" borderId="0" applyFont="0" applyFill="0" applyBorder="0" applyAlignment="0" applyProtection="0"/>
    <xf numFmtId="43" fontId="18" fillId="0" borderId="0" applyFont="0" applyFill="0" applyBorder="0" applyAlignment="0" applyProtection="0"/>
    <xf numFmtId="0" fontId="5" fillId="0" borderId="0">
      <alignment readingOrder="1"/>
    </xf>
    <xf numFmtId="0" fontId="19" fillId="0" borderId="0"/>
    <xf numFmtId="0" fontId="20"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0" fontId="5" fillId="8" borderId="0" applyNumberFormat="0" applyAlignment="0"/>
    <xf numFmtId="0" fontId="24" fillId="0" borderId="18" applyNumberFormat="0" applyFill="0" applyAlignment="0" applyProtection="0"/>
    <xf numFmtId="0" fontId="24" fillId="0" borderId="18" applyNumberFormat="0" applyFill="0" applyAlignment="0" applyProtection="0"/>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5" fillId="0" borderId="0"/>
    <xf numFmtId="0" fontId="23" fillId="0" borderId="0"/>
    <xf numFmtId="0" fontId="5" fillId="0" borderId="0">
      <alignment readingOrder="1"/>
    </xf>
    <xf numFmtId="0" fontId="5" fillId="0" borderId="0"/>
    <xf numFmtId="0" fontId="23" fillId="16" borderId="14" applyNumberFormat="0" applyFont="0" applyAlignment="0" applyProtection="0"/>
    <xf numFmtId="0" fontId="23" fillId="16" borderId="14"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alignment readingOrder="1"/>
    </xf>
    <xf numFmtId="0" fontId="3" fillId="0" borderId="0"/>
    <xf numFmtId="0" fontId="21" fillId="18" borderId="0" applyNumberFormat="0" applyBorder="0" applyAlignment="0" applyProtection="0"/>
    <xf numFmtId="0" fontId="21" fillId="19" borderId="0" applyNumberFormat="0" applyBorder="0" applyAlignment="0" applyProtection="0"/>
    <xf numFmtId="0" fontId="33" fillId="20" borderId="0" applyNumberFormat="0" applyBorder="0" applyAlignment="0" applyProtection="0"/>
    <xf numFmtId="0" fontId="21" fillId="21" borderId="0" applyNumberFormat="0" applyBorder="0" applyAlignment="0" applyProtection="0"/>
    <xf numFmtId="0" fontId="33" fillId="22" borderId="0" applyNumberFormat="0" applyBorder="0" applyAlignment="0" applyProtection="0"/>
    <xf numFmtId="0" fontId="21" fillId="23" borderId="0" applyNumberFormat="0" applyBorder="0" applyAlignment="0" applyProtection="0"/>
    <xf numFmtId="0" fontId="21" fillId="21" borderId="0" applyNumberFormat="0" applyBorder="0" applyAlignment="0" applyProtection="0"/>
    <xf numFmtId="0" fontId="33" fillId="16" borderId="0" applyNumberFormat="0" applyBorder="0" applyAlignment="0" applyProtection="0"/>
    <xf numFmtId="0" fontId="21" fillId="24" borderId="0" applyNumberFormat="0" applyBorder="0" applyAlignment="0" applyProtection="0"/>
    <xf numFmtId="0" fontId="21" fillId="19" borderId="0" applyNumberFormat="0" applyBorder="0" applyAlignment="0" applyProtection="0"/>
    <xf numFmtId="0" fontId="33" fillId="20" borderId="0" applyNumberFormat="0" applyBorder="0" applyAlignment="0" applyProtection="0"/>
    <xf numFmtId="0" fontId="21" fillId="25" borderId="0" applyNumberFormat="0" applyBorder="0" applyAlignment="0" applyProtection="0"/>
    <xf numFmtId="0" fontId="33" fillId="25" borderId="0" applyNumberFormat="0" applyBorder="0" applyAlignment="0" applyProtection="0"/>
    <xf numFmtId="0" fontId="21" fillId="22" borderId="0" applyNumberFormat="0" applyBorder="0" applyAlignment="0" applyProtection="0"/>
    <xf numFmtId="0" fontId="33" fillId="22"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33" fillId="27" borderId="0" applyNumberFormat="0" applyBorder="0" applyAlignment="0" applyProtection="0"/>
    <xf numFmtId="0" fontId="21" fillId="28" borderId="0" applyNumberFormat="0" applyBorder="0" applyAlignment="0" applyProtection="0"/>
    <xf numFmtId="0" fontId="21" fillId="21" borderId="0" applyNumberFormat="0" applyBorder="0" applyAlignment="0" applyProtection="0"/>
    <xf numFmtId="0" fontId="33" fillId="28" borderId="0" applyNumberFormat="0" applyBorder="0" applyAlignment="0" applyProtection="0"/>
    <xf numFmtId="0" fontId="21" fillId="29" borderId="0" applyNumberFormat="0" applyBorder="0" applyAlignment="0" applyProtection="0"/>
    <xf numFmtId="0" fontId="21" fillId="21" borderId="0" applyNumberFormat="0" applyBorder="0" applyAlignment="0" applyProtection="0"/>
    <xf numFmtId="0" fontId="33" fillId="30" borderId="0" applyNumberFormat="0" applyBorder="0" applyAlignment="0" applyProtection="0"/>
    <xf numFmtId="0" fontId="21" fillId="24" borderId="0" applyNumberFormat="0" applyBorder="0" applyAlignment="0" applyProtection="0"/>
    <xf numFmtId="0" fontId="21" fillId="27" borderId="0" applyNumberFormat="0" applyBorder="0" applyAlignment="0" applyProtection="0"/>
    <xf numFmtId="0" fontId="33" fillId="27" borderId="0" applyNumberFormat="0" applyBorder="0" applyAlignment="0" applyProtection="0"/>
    <xf numFmtId="0" fontId="21" fillId="26" borderId="0" applyNumberFormat="0" applyBorder="0" applyAlignment="0" applyProtection="0"/>
    <xf numFmtId="0" fontId="33" fillId="26" borderId="0" applyNumberFormat="0" applyBorder="0" applyAlignment="0" applyProtection="0"/>
    <xf numFmtId="0" fontId="21" fillId="31" borderId="0" applyNumberFormat="0" applyBorder="0" applyAlignment="0" applyProtection="0"/>
    <xf numFmtId="0" fontId="21" fillId="22" borderId="0" applyNumberFormat="0" applyBorder="0" applyAlignment="0" applyProtection="0"/>
    <xf numFmtId="0" fontId="33" fillId="22" borderId="0" applyNumberFormat="0" applyBorder="0" applyAlignment="0" applyProtection="0"/>
    <xf numFmtId="0" fontId="34" fillId="32"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28" borderId="0" applyNumberFormat="0" applyBorder="0" applyAlignment="0" applyProtection="0"/>
    <xf numFmtId="0" fontId="34" fillId="21"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34" fillId="21" borderId="0" applyNumberFormat="0" applyBorder="0" applyAlignment="0" applyProtection="0"/>
    <xf numFmtId="0" fontId="34" fillId="30" borderId="0" applyNumberFormat="0" applyBorder="0" applyAlignment="0" applyProtection="0"/>
    <xf numFmtId="0" fontId="34" fillId="34"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5"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2" fillId="38" borderId="0" applyNumberFormat="0" applyBorder="0" applyAlignment="0" applyProtection="0"/>
    <xf numFmtId="0" fontId="34" fillId="39"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12" fillId="41"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12" fillId="44" borderId="0" applyNumberFormat="0" applyBorder="0" applyAlignment="0" applyProtection="0"/>
    <xf numFmtId="0" fontId="34" fillId="45" borderId="0" applyNumberFormat="0" applyBorder="0" applyAlignment="0" applyProtection="0"/>
    <xf numFmtId="0" fontId="34" fillId="21" borderId="0" applyNumberFormat="0" applyBorder="0" applyAlignment="0" applyProtection="0"/>
    <xf numFmtId="0" fontId="34" fillId="45"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2" fillId="47" borderId="0" applyNumberFormat="0" applyBorder="0" applyAlignment="0" applyProtection="0"/>
    <xf numFmtId="0" fontId="34" fillId="34"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10" fillId="49" borderId="0" applyNumberFormat="0" applyBorder="0" applyAlignment="0" applyProtection="0"/>
    <xf numFmtId="0" fontId="10" fillId="37" borderId="0" applyNumberFormat="0" applyBorder="0" applyAlignment="0" applyProtection="0"/>
    <xf numFmtId="0" fontId="12" fillId="50"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10" fillId="5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5" fillId="21" borderId="0" applyNumberFormat="0" applyBorder="0" applyAlignment="0" applyProtection="0"/>
    <xf numFmtId="0" fontId="35" fillId="24" borderId="0" applyNumberFormat="0" applyBorder="0" applyAlignment="0" applyProtection="0"/>
    <xf numFmtId="0" fontId="35" fillId="21" borderId="0" applyNumberFormat="0" applyBorder="0" applyAlignment="0" applyProtection="0"/>
    <xf numFmtId="0" fontId="36" fillId="27" borderId="21" applyNumberFormat="0" applyAlignment="0" applyProtection="0"/>
    <xf numFmtId="0" fontId="36" fillId="19" borderId="21" applyNumberFormat="0" applyAlignment="0" applyProtection="0"/>
    <xf numFmtId="0" fontId="36" fillId="19" borderId="21" applyNumberFormat="0" applyAlignment="0" applyProtection="0"/>
    <xf numFmtId="0" fontId="37" fillId="55" borderId="22" applyNumberFormat="0" applyAlignment="0" applyProtection="0"/>
    <xf numFmtId="0" fontId="37" fillId="55" borderId="22" applyNumberFormat="0" applyAlignment="0" applyProtection="0"/>
    <xf numFmtId="41" fontId="3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5" fillId="9" borderId="0" applyNumberFormat="0" applyAlignment="0">
      <alignment horizontal="right"/>
    </xf>
    <xf numFmtId="0" fontId="5" fillId="9" borderId="0" applyNumberFormat="0" applyAlignment="0">
      <alignment horizontal="right"/>
    </xf>
    <xf numFmtId="0" fontId="5" fillId="9" borderId="0" applyNumberFormat="0" applyAlignment="0">
      <alignment horizontal="right"/>
    </xf>
    <xf numFmtId="0" fontId="5" fillId="9" borderId="0" applyNumberFormat="0" applyAlignment="0">
      <alignment horizontal="right"/>
    </xf>
    <xf numFmtId="0" fontId="5" fillId="9" borderId="0" applyNumberFormat="0" applyAlignment="0">
      <alignment horizontal="right"/>
    </xf>
    <xf numFmtId="0" fontId="39" fillId="56" borderId="0" applyNumberFormat="0" applyBorder="0" applyAlignment="0" applyProtection="0"/>
    <xf numFmtId="0" fontId="39" fillId="57" borderId="0" applyNumberFormat="0" applyBorder="0" applyAlignment="0" applyProtection="0"/>
    <xf numFmtId="0" fontId="39" fillId="58" borderId="0" applyNumberFormat="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5" fillId="0" borderId="26" applyNumberFormat="0" applyFill="0" applyAlignment="0" applyProtection="0"/>
    <xf numFmtId="0" fontId="45" fillId="0" borderId="26" applyNumberFormat="0" applyFill="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22" borderId="21" applyNumberFormat="0" applyAlignment="0" applyProtection="0"/>
    <xf numFmtId="0" fontId="49" fillId="22" borderId="21" applyNumberFormat="0" applyAlignment="0" applyProtection="0"/>
    <xf numFmtId="0" fontId="50" fillId="0" borderId="27" applyNumberFormat="0" applyFill="0" applyAlignment="0" applyProtection="0"/>
    <xf numFmtId="0" fontId="50" fillId="0" borderId="27" applyNumberFormat="0" applyFill="0" applyAlignment="0" applyProtection="0"/>
    <xf numFmtId="0" fontId="51" fillId="30" borderId="0" applyNumberFormat="0" applyBorder="0" applyAlignment="0" applyProtection="0"/>
    <xf numFmtId="0" fontId="51" fillId="30" borderId="0" applyNumberFormat="0" applyBorder="0" applyAlignment="0" applyProtection="0"/>
    <xf numFmtId="0" fontId="21" fillId="0" borderId="0"/>
    <xf numFmtId="0" fontId="5" fillId="0" borderId="0"/>
    <xf numFmtId="0" fontId="21" fillId="0" borderId="0"/>
    <xf numFmtId="0" fontId="21" fillId="0" borderId="0"/>
    <xf numFmtId="0" fontId="5" fillId="0" borderId="0">
      <alignment readingOrder="1"/>
    </xf>
    <xf numFmtId="0" fontId="5" fillId="0" borderId="0"/>
    <xf numFmtId="0" fontId="5" fillId="0" borderId="0">
      <alignment readingOrder="1"/>
    </xf>
    <xf numFmtId="0" fontId="18" fillId="0" borderId="0"/>
    <xf numFmtId="0" fontId="18" fillId="0" borderId="0"/>
    <xf numFmtId="0" fontId="18" fillId="0" borderId="0"/>
    <xf numFmtId="0" fontId="2" fillId="0" borderId="0"/>
    <xf numFmtId="0" fontId="2" fillId="0" borderId="0"/>
    <xf numFmtId="0" fontId="18" fillId="0" borderId="0"/>
    <xf numFmtId="0" fontId="18" fillId="0" borderId="0"/>
    <xf numFmtId="0" fontId="2" fillId="0" borderId="0"/>
    <xf numFmtId="0" fontId="2" fillId="0" borderId="0"/>
    <xf numFmtId="0" fontId="18" fillId="0" borderId="0"/>
    <xf numFmtId="0" fontId="18" fillId="0" borderId="0"/>
    <xf numFmtId="0" fontId="18" fillId="0" borderId="0"/>
    <xf numFmtId="0" fontId="18" fillId="0" borderId="0"/>
    <xf numFmtId="0" fontId="5" fillId="0" borderId="0"/>
    <xf numFmtId="0" fontId="18" fillId="0" borderId="0"/>
    <xf numFmtId="0" fontId="18" fillId="0" borderId="0"/>
    <xf numFmtId="0" fontId="5" fillId="0" borderId="0">
      <alignment readingOrder="1"/>
    </xf>
    <xf numFmtId="0" fontId="18" fillId="0" borderId="0"/>
    <xf numFmtId="0" fontId="5" fillId="0" borderId="0"/>
    <xf numFmtId="0" fontId="5" fillId="0" borderId="0"/>
    <xf numFmtId="0" fontId="5" fillId="0" borderId="0"/>
    <xf numFmtId="0" fontId="5" fillId="0" borderId="0"/>
    <xf numFmtId="0" fontId="5" fillId="0" borderId="0"/>
    <xf numFmtId="0" fontId="5" fillId="0" borderId="0">
      <alignment readingOrder="1"/>
    </xf>
    <xf numFmtId="0" fontId="5" fillId="0" borderId="0"/>
    <xf numFmtId="0" fontId="21" fillId="0" borderId="0"/>
    <xf numFmtId="0" fontId="18" fillId="0" borderId="0"/>
    <xf numFmtId="0" fontId="18" fillId="0" borderId="0"/>
    <xf numFmtId="0" fontId="18" fillId="0" borderId="0"/>
    <xf numFmtId="0" fontId="18" fillId="0" borderId="0"/>
    <xf numFmtId="0" fontId="5" fillId="0" borderId="0">
      <alignment readingOrder="1"/>
    </xf>
    <xf numFmtId="0" fontId="5" fillId="0" borderId="0">
      <alignment readingOrder="1"/>
    </xf>
    <xf numFmtId="0" fontId="5" fillId="0" borderId="0">
      <alignment readingOrder="1"/>
    </xf>
    <xf numFmtId="0" fontId="18" fillId="0" borderId="0"/>
    <xf numFmtId="0" fontId="18" fillId="0" borderId="0"/>
    <xf numFmtId="0" fontId="5" fillId="0" borderId="0">
      <alignment readingOrder="1"/>
    </xf>
    <xf numFmtId="0" fontId="21" fillId="0" borderId="0"/>
    <xf numFmtId="0" fontId="5" fillId="0" borderId="0">
      <alignment readingOrder="1"/>
    </xf>
    <xf numFmtId="0" fontId="18" fillId="0" borderId="0"/>
    <xf numFmtId="0" fontId="18" fillId="0" borderId="0"/>
    <xf numFmtId="0" fontId="5" fillId="0" borderId="0">
      <alignment readingOrder="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 fillId="0" borderId="0">
      <alignment readingOrder="1"/>
    </xf>
    <xf numFmtId="0" fontId="5" fillId="0" borderId="0"/>
    <xf numFmtId="0" fontId="52" fillId="0" borderId="0"/>
    <xf numFmtId="0" fontId="53" fillId="0" borderId="0"/>
    <xf numFmtId="0" fontId="53" fillId="0" borderId="0"/>
    <xf numFmtId="0" fontId="53" fillId="0" borderId="0"/>
    <xf numFmtId="0" fontId="5" fillId="0" borderId="0"/>
    <xf numFmtId="0" fontId="5" fillId="0" borderId="0"/>
    <xf numFmtId="0" fontId="5" fillId="0" borderId="0"/>
    <xf numFmtId="0" fontId="53" fillId="0" borderId="0"/>
    <xf numFmtId="0" fontId="53" fillId="0" borderId="0"/>
    <xf numFmtId="0" fontId="53" fillId="0" borderId="0"/>
    <xf numFmtId="0" fontId="5" fillId="0" borderId="0"/>
    <xf numFmtId="0" fontId="5" fillId="0" borderId="0"/>
    <xf numFmtId="0" fontId="5" fillId="0" borderId="0"/>
    <xf numFmtId="0" fontId="5" fillId="0" borderId="0">
      <alignment readingOrder="1"/>
    </xf>
    <xf numFmtId="0" fontId="5" fillId="0" borderId="0"/>
    <xf numFmtId="0" fontId="5" fillId="0" borderId="0"/>
    <xf numFmtId="0" fontId="21"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18" fillId="0" borderId="0"/>
    <xf numFmtId="0" fontId="5" fillId="0" borderId="0" applyNumberFormat="0" applyFill="0" applyBorder="0" applyAlignment="0" applyProtection="0"/>
    <xf numFmtId="0" fontId="18" fillId="0" borderId="0"/>
    <xf numFmtId="0" fontId="18" fillId="0" borderId="0"/>
    <xf numFmtId="0" fontId="38" fillId="0" borderId="0"/>
    <xf numFmtId="0" fontId="18" fillId="0" borderId="0"/>
    <xf numFmtId="0" fontId="18" fillId="0" borderId="0"/>
    <xf numFmtId="0" fontId="5" fillId="0" borderId="0">
      <alignment readingOrder="1"/>
    </xf>
    <xf numFmtId="0" fontId="18" fillId="0" borderId="0"/>
    <xf numFmtId="0" fontId="18" fillId="0" borderId="0"/>
    <xf numFmtId="0" fontId="18" fillId="0" borderId="0"/>
    <xf numFmtId="0" fontId="18" fillId="0" borderId="0"/>
    <xf numFmtId="0" fontId="18"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 fillId="0" borderId="0"/>
    <xf numFmtId="0" fontId="18" fillId="0" borderId="0"/>
    <xf numFmtId="0" fontId="18" fillId="0" borderId="0"/>
    <xf numFmtId="0" fontId="5" fillId="0" borderId="0"/>
    <xf numFmtId="0" fontId="21" fillId="0" borderId="0"/>
    <xf numFmtId="0" fontId="21" fillId="0" borderId="0"/>
    <xf numFmtId="0" fontId="18" fillId="0" borderId="0"/>
    <xf numFmtId="0" fontId="20" fillId="0" borderId="0"/>
    <xf numFmtId="0" fontId="21" fillId="0" borderId="0"/>
    <xf numFmtId="0" fontId="21" fillId="0" borderId="0"/>
    <xf numFmtId="0" fontId="21" fillId="0" borderId="0"/>
    <xf numFmtId="0" fontId="21" fillId="0" borderId="0"/>
    <xf numFmtId="0" fontId="5" fillId="0" borderId="0">
      <alignment readingOrder="1"/>
    </xf>
    <xf numFmtId="0" fontId="5" fillId="0" borderId="0">
      <alignment readingOrder="1"/>
    </xf>
    <xf numFmtId="0" fontId="5" fillId="0" borderId="0">
      <alignment readingOrder="1"/>
    </xf>
    <xf numFmtId="0" fontId="5" fillId="16" borderId="14" applyNumberFormat="0" applyFont="0" applyAlignment="0" applyProtection="0"/>
    <xf numFmtId="0" fontId="54" fillId="27" borderId="28" applyNumberFormat="0" applyAlignment="0" applyProtection="0"/>
    <xf numFmtId="0" fontId="54" fillId="19" borderId="28" applyNumberFormat="0" applyAlignment="0" applyProtection="0"/>
    <xf numFmtId="0" fontId="54" fillId="19" borderId="28"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55" fillId="0" borderId="0" applyNumberFormat="0" applyFill="0" applyBorder="0" applyAlignment="0" applyProtection="0"/>
    <xf numFmtId="0" fontId="56" fillId="0" borderId="0"/>
    <xf numFmtId="0" fontId="57" fillId="0" borderId="0"/>
    <xf numFmtId="171" fontId="5" fillId="0" borderId="0" applyFill="0" applyBorder="0" applyAlignment="0" applyProtection="0">
      <alignment wrapText="1"/>
    </xf>
    <xf numFmtId="0" fontId="55"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27" fillId="0" borderId="29" applyNumberFormat="0" applyFill="0" applyAlignment="0" applyProtection="0"/>
    <xf numFmtId="0" fontId="27" fillId="0" borderId="30" applyNumberFormat="0" applyFill="0" applyAlignment="0" applyProtection="0"/>
    <xf numFmtId="0" fontId="54" fillId="0" borderId="30"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9" fillId="0" borderId="0">
      <alignment vertical="center"/>
    </xf>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6" borderId="0" applyNumberFormat="0" applyBorder="0" applyAlignment="0" applyProtection="0"/>
    <xf numFmtId="0" fontId="18" fillId="76" borderId="0" applyNumberFormat="0" applyBorder="0" applyAlignment="0" applyProtection="0"/>
    <xf numFmtId="0" fontId="18" fillId="76" borderId="0" applyNumberFormat="0" applyBorder="0" applyAlignment="0" applyProtection="0"/>
    <xf numFmtId="0" fontId="18" fillId="76" borderId="0" applyNumberFormat="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9" borderId="0" applyNumberFormat="0" applyAlignment="0">
      <alignment horizontal="right"/>
    </xf>
    <xf numFmtId="0" fontId="5" fillId="8" borderId="0" applyNumberFormat="0" applyAlignment="0"/>
    <xf numFmtId="0" fontId="5" fillId="8" borderId="0" applyNumberFormat="0" applyAlignment="0"/>
    <xf numFmtId="0" fontId="5" fillId="8" borderId="0" applyNumberFormat="0" applyAlignment="0"/>
    <xf numFmtId="0" fontId="25" fillId="0" borderId="0" applyNumberFormat="0" applyFill="0" applyBorder="0" applyAlignment="0" applyProtection="0">
      <alignment vertical="top"/>
      <protection locked="0"/>
    </xf>
    <xf numFmtId="0" fontId="21" fillId="0" borderId="0"/>
    <xf numFmtId="0" fontId="21" fillId="0" borderId="0"/>
    <xf numFmtId="0" fontId="18" fillId="0" borderId="0"/>
    <xf numFmtId="0" fontId="18" fillId="0" borderId="0"/>
    <xf numFmtId="0" fontId="18" fillId="0" borderId="0"/>
    <xf numFmtId="0" fontId="18" fillId="0" borderId="0"/>
    <xf numFmtId="0" fontId="5" fillId="0" borderId="0">
      <alignment readingOrder="1"/>
    </xf>
    <xf numFmtId="0" fontId="18" fillId="0" borderId="0"/>
    <xf numFmtId="0" fontId="5" fillId="0" borderId="0"/>
    <xf numFmtId="0" fontId="68" fillId="0" borderId="0"/>
    <xf numFmtId="0" fontId="18" fillId="0" borderId="0"/>
    <xf numFmtId="0" fontId="21" fillId="0" borderId="0"/>
    <xf numFmtId="0" fontId="21" fillId="0" borderId="0"/>
    <xf numFmtId="0" fontId="21" fillId="0" borderId="0"/>
    <xf numFmtId="0" fontId="18" fillId="0" borderId="0"/>
    <xf numFmtId="0" fontId="18" fillId="0" borderId="0"/>
    <xf numFmtId="0" fontId="5" fillId="0" borderId="0"/>
    <xf numFmtId="0" fontId="5" fillId="0" borderId="0"/>
    <xf numFmtId="0" fontId="21" fillId="0" borderId="0"/>
    <xf numFmtId="0" fontId="18" fillId="0" borderId="0"/>
    <xf numFmtId="0" fontId="18" fillId="0" borderId="0"/>
    <xf numFmtId="0" fontId="21" fillId="0" borderId="0"/>
    <xf numFmtId="0" fontId="5" fillId="0" borderId="0">
      <alignment readingOrder="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xf numFmtId="0" fontId="5" fillId="0" borderId="0">
      <alignment readingOrder="1"/>
    </xf>
    <xf numFmtId="0" fontId="18" fillId="0" borderId="0"/>
    <xf numFmtId="0" fontId="18" fillId="0" borderId="0"/>
    <xf numFmtId="0" fontId="18" fillId="0" borderId="0"/>
    <xf numFmtId="0" fontId="20" fillId="0" borderId="0"/>
    <xf numFmtId="0" fontId="21" fillId="0" borderId="0"/>
    <xf numFmtId="0" fontId="21" fillId="0" borderId="0"/>
    <xf numFmtId="0" fontId="21" fillId="0" borderId="0"/>
    <xf numFmtId="0" fontId="21" fillId="0" borderId="0"/>
    <xf numFmtId="0" fontId="18" fillId="64" borderId="51" applyNumberFormat="0" applyFont="0" applyAlignment="0" applyProtection="0"/>
    <xf numFmtId="0" fontId="21" fillId="16" borderId="14" applyNumberFormat="0" applyFont="0" applyAlignment="0" applyProtection="0"/>
    <xf numFmtId="0" fontId="18" fillId="64" borderId="51" applyNumberFormat="0" applyFont="0" applyAlignment="0" applyProtection="0"/>
    <xf numFmtId="0" fontId="18" fillId="64" borderId="51" applyNumberFormat="0" applyFont="0" applyAlignment="0" applyProtection="0"/>
    <xf numFmtId="0" fontId="18" fillId="64" borderId="51" applyNumberFormat="0" applyFont="0" applyAlignment="0" applyProtection="0"/>
    <xf numFmtId="0" fontId="18" fillId="64" borderId="51"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cellStyleXfs>
  <cellXfs count="345">
    <xf numFmtId="0" fontId="0" fillId="0" borderId="0" xfId="0"/>
    <xf numFmtId="0" fontId="4" fillId="0" borderId="0" xfId="2" applyFont="1"/>
    <xf numFmtId="0" fontId="6" fillId="0" borderId="0" xfId="3" applyFont="1"/>
    <xf numFmtId="0" fontId="5" fillId="0" borderId="0" xfId="2" applyFont="1"/>
    <xf numFmtId="5" fontId="5" fillId="0" borderId="0" xfId="2" applyNumberFormat="1" applyFont="1"/>
    <xf numFmtId="164" fontId="5" fillId="0" borderId="0" xfId="2" applyNumberFormat="1" applyFont="1"/>
    <xf numFmtId="164" fontId="6" fillId="0" borderId="0" xfId="2" applyNumberFormat="1" applyFont="1"/>
    <xf numFmtId="0" fontId="0" fillId="0" borderId="0" xfId="0">
      <alignment readingOrder="1"/>
    </xf>
    <xf numFmtId="0" fontId="4" fillId="0" borderId="0" xfId="2" applyFont="1" applyAlignment="1">
      <alignment horizontal="left"/>
    </xf>
    <xf numFmtId="165" fontId="0" fillId="0" borderId="0" xfId="0" applyNumberFormat="1" applyAlignment="1">
      <alignment horizontal="center" readingOrder="1"/>
    </xf>
    <xf numFmtId="166" fontId="0" fillId="0" borderId="0" xfId="0" applyNumberFormat="1" applyAlignment="1">
      <alignment horizontal="center" readingOrder="1"/>
    </xf>
    <xf numFmtId="0" fontId="5" fillId="0" borderId="0" xfId="2" applyFont="1" applyAlignment="1">
      <alignment horizontal="center"/>
    </xf>
    <xf numFmtId="0" fontId="7" fillId="2" borderId="1" xfId="2" applyFont="1" applyFill="1" applyBorder="1" applyAlignment="1">
      <alignment horizontal="centerContinuous"/>
    </xf>
    <xf numFmtId="0" fontId="8" fillId="2" borderId="1" xfId="2" applyFont="1" applyFill="1" applyBorder="1" applyAlignment="1">
      <alignment horizontal="centerContinuous"/>
    </xf>
    <xf numFmtId="0" fontId="8" fillId="2" borderId="2" xfId="2" applyFont="1" applyFill="1" applyBorder="1" applyAlignment="1">
      <alignment horizontal="centerContinuous"/>
    </xf>
    <xf numFmtId="0" fontId="9" fillId="2" borderId="3" xfId="2" applyFont="1" applyFill="1" applyBorder="1" applyAlignment="1">
      <alignment horizontal="centerContinuous"/>
    </xf>
    <xf numFmtId="0" fontId="7" fillId="0" borderId="0" xfId="2" applyFont="1" applyFill="1" applyBorder="1" applyAlignment="1">
      <alignment horizontal="centerContinuous"/>
    </xf>
    <xf numFmtId="0" fontId="8" fillId="0" borderId="0" xfId="2" applyFont="1" applyFill="1" applyBorder="1" applyAlignment="1">
      <alignment horizontal="centerContinuous"/>
    </xf>
    <xf numFmtId="0" fontId="9" fillId="0" borderId="0" xfId="2" applyFont="1" applyFill="1" applyBorder="1" applyAlignment="1">
      <alignment horizontal="centerContinuous"/>
    </xf>
    <xf numFmtId="0" fontId="10" fillId="0" borderId="0" xfId="2" applyFont="1" applyFill="1" applyBorder="1" applyAlignment="1">
      <alignment horizontal="centerContinuous"/>
    </xf>
    <xf numFmtId="0" fontId="5" fillId="0" borderId="0" xfId="2" applyFont="1" applyFill="1" applyBorder="1"/>
    <xf numFmtId="0" fontId="10" fillId="5" borderId="5" xfId="2" applyFont="1" applyFill="1" applyBorder="1" applyAlignment="1">
      <alignment horizontal="center" wrapText="1"/>
    </xf>
    <xf numFmtId="0" fontId="10" fillId="5" borderId="5" xfId="0" applyFont="1" applyFill="1" applyBorder="1" applyAlignment="1">
      <alignment horizontal="center" wrapText="1"/>
    </xf>
    <xf numFmtId="0" fontId="10" fillId="0" borderId="0" xfId="2" applyFont="1" applyFill="1" applyBorder="1" applyAlignment="1">
      <alignment horizontal="center" wrapText="1"/>
    </xf>
    <xf numFmtId="0" fontId="12" fillId="7" borderId="6" xfId="0" applyFont="1" applyFill="1" applyBorder="1" applyAlignment="1">
      <alignment horizontal="left" readingOrder="1"/>
    </xf>
    <xf numFmtId="0" fontId="12" fillId="7" borderId="7" xfId="0" applyFont="1" applyFill="1" applyBorder="1" applyAlignment="1">
      <alignment horizontal="center" wrapText="1" readingOrder="1"/>
    </xf>
    <xf numFmtId="164" fontId="0" fillId="0" borderId="0" xfId="0" applyNumberFormat="1">
      <alignment readingOrder="1"/>
    </xf>
    <xf numFmtId="0" fontId="10" fillId="8" borderId="5" xfId="0" applyFont="1" applyFill="1" applyBorder="1" applyAlignment="1">
      <alignment horizontal="center" wrapText="1" readingOrder="1"/>
    </xf>
    <xf numFmtId="0" fontId="10" fillId="8" borderId="7" xfId="0" applyFont="1" applyFill="1" applyBorder="1" applyAlignment="1">
      <alignment horizontal="center" wrapText="1" readingOrder="1"/>
    </xf>
    <xf numFmtId="164" fontId="10" fillId="8" borderId="7" xfId="0" applyNumberFormat="1" applyFont="1" applyFill="1" applyBorder="1" applyAlignment="1">
      <alignment horizontal="center" wrapText="1" readingOrder="1"/>
    </xf>
    <xf numFmtId="164" fontId="9" fillId="0" borderId="0" xfId="0" applyNumberFormat="1" applyFont="1">
      <alignment readingOrder="1"/>
    </xf>
    <xf numFmtId="164" fontId="10" fillId="9" borderId="8" xfId="0" applyNumberFormat="1" applyFont="1" applyFill="1" applyBorder="1" applyAlignment="1">
      <alignment horizontal="centerContinuous" wrapText="1" readingOrder="1"/>
    </xf>
    <xf numFmtId="1" fontId="0" fillId="0" borderId="0" xfId="0" applyNumberFormat="1">
      <alignment readingOrder="1"/>
    </xf>
    <xf numFmtId="0" fontId="10" fillId="9" borderId="5" xfId="0" applyFont="1" applyFill="1" applyBorder="1" applyAlignment="1">
      <alignment horizontal="center" wrapText="1" readingOrder="1"/>
    </xf>
    <xf numFmtId="0" fontId="10" fillId="9" borderId="7" xfId="0" applyFont="1" applyFill="1" applyBorder="1" applyAlignment="1">
      <alignment horizontal="center" wrapText="1" readingOrder="1"/>
    </xf>
    <xf numFmtId="164" fontId="10" fillId="9" borderId="7" xfId="0" applyNumberFormat="1" applyFont="1" applyFill="1" applyBorder="1" applyAlignment="1">
      <alignment horizontal="center" wrapText="1" readingOrder="1"/>
    </xf>
    <xf numFmtId="164" fontId="10" fillId="9" borderId="9" xfId="0" applyNumberFormat="1" applyFont="1" applyFill="1" applyBorder="1" applyAlignment="1">
      <alignment horizontal="centerContinuous" wrapText="1" readingOrder="1"/>
    </xf>
    <xf numFmtId="164" fontId="10" fillId="9" borderId="10" xfId="0" applyNumberFormat="1" applyFont="1" applyFill="1" applyBorder="1" applyAlignment="1">
      <alignment horizontal="centerContinuous" wrapText="1" readingOrder="1"/>
    </xf>
    <xf numFmtId="0" fontId="11" fillId="0" borderId="0" xfId="0" applyFont="1">
      <alignment readingOrder="1"/>
    </xf>
    <xf numFmtId="49" fontId="0" fillId="0" borderId="0" xfId="0" applyNumberFormat="1">
      <alignment readingOrder="1"/>
    </xf>
    <xf numFmtId="9" fontId="11" fillId="0" borderId="0" xfId="0" applyNumberFormat="1" applyFont="1">
      <alignment readingOrder="1"/>
    </xf>
    <xf numFmtId="1" fontId="11" fillId="0" borderId="0" xfId="0" applyNumberFormat="1" applyFont="1">
      <alignment readingOrder="1"/>
    </xf>
    <xf numFmtId="2" fontId="0" fillId="0" borderId="0" xfId="0" applyNumberFormat="1">
      <alignment readingOrder="1"/>
    </xf>
    <xf numFmtId="164" fontId="0" fillId="0" borderId="0" xfId="0" applyNumberFormat="1" applyAlignment="1">
      <alignment horizontal="center" readingOrder="1"/>
    </xf>
    <xf numFmtId="0" fontId="0" fillId="0" borderId="0" xfId="0" applyAlignment="1">
      <alignment horizontal="center" readingOrder="1"/>
    </xf>
    <xf numFmtId="0" fontId="0" fillId="0" borderId="0" xfId="0" applyFill="1" applyAlignment="1">
      <alignment horizontal="center" readingOrder="1"/>
    </xf>
    <xf numFmtId="168" fontId="0" fillId="0" borderId="0" xfId="0" applyNumberFormat="1">
      <alignment readingOrder="1"/>
    </xf>
    <xf numFmtId="0" fontId="0" fillId="12" borderId="0" xfId="0" applyFill="1">
      <alignment readingOrder="1"/>
    </xf>
    <xf numFmtId="0" fontId="0" fillId="0" borderId="0" xfId="0" quotePrefix="1" applyFill="1">
      <alignment readingOrder="1"/>
    </xf>
    <xf numFmtId="0" fontId="17" fillId="6" borderId="5" xfId="0" applyFont="1" applyFill="1" applyBorder="1"/>
    <xf numFmtId="9" fontId="5" fillId="13" borderId="0" xfId="8" applyFill="1" applyAlignment="1">
      <alignment horizontal="center" readingOrder="1"/>
    </xf>
    <xf numFmtId="0" fontId="17" fillId="14" borderId="1" xfId="0" applyFont="1" applyFill="1" applyBorder="1"/>
    <xf numFmtId="0" fontId="17" fillId="14" borderId="4" xfId="0" applyFont="1" applyFill="1" applyBorder="1"/>
    <xf numFmtId="0" fontId="17" fillId="14" borderId="3" xfId="0" applyFont="1" applyFill="1" applyBorder="1"/>
    <xf numFmtId="0" fontId="17" fillId="14" borderId="11" xfId="0" applyFont="1" applyFill="1" applyBorder="1"/>
    <xf numFmtId="0" fontId="17" fillId="14" borderId="12" xfId="0" applyFont="1" applyFill="1" applyBorder="1"/>
    <xf numFmtId="0" fontId="17" fillId="14" borderId="13" xfId="0" applyFont="1" applyFill="1" applyBorder="1"/>
    <xf numFmtId="0" fontId="17" fillId="14" borderId="5" xfId="0" applyFont="1" applyFill="1" applyBorder="1"/>
    <xf numFmtId="0" fontId="17" fillId="13" borderId="5" xfId="0" applyFont="1" applyFill="1" applyBorder="1"/>
    <xf numFmtId="164" fontId="17" fillId="13" borderId="5" xfId="0" applyNumberFormat="1" applyFont="1" applyFill="1" applyBorder="1"/>
    <xf numFmtId="164" fontId="0" fillId="15" borderId="0" xfId="0" applyNumberFormat="1" applyFill="1" applyAlignment="1">
      <alignment horizontal="center" readingOrder="1"/>
    </xf>
    <xf numFmtId="9" fontId="17" fillId="14" borderId="5" xfId="8" applyFont="1" applyFill="1" applyBorder="1"/>
    <xf numFmtId="1" fontId="0" fillId="13" borderId="0" xfId="0" applyNumberFormat="1" applyFill="1" applyAlignment="1">
      <alignment horizontal="center" readingOrder="1"/>
    </xf>
    <xf numFmtId="0" fontId="22" fillId="0" borderId="0" xfId="15" applyFont="1"/>
    <xf numFmtId="0" fontId="5" fillId="0" borderId="0" xfId="15" applyFont="1"/>
    <xf numFmtId="5" fontId="5" fillId="0" borderId="0" xfId="15" applyNumberFormat="1" applyFont="1" applyAlignment="1">
      <alignment horizontal="right"/>
    </xf>
    <xf numFmtId="164" fontId="5" fillId="0" borderId="0" xfId="15" applyNumberFormat="1" applyFont="1"/>
    <xf numFmtId="0" fontId="5" fillId="0" borderId="0" xfId="15"/>
    <xf numFmtId="0" fontId="11" fillId="0" borderId="0" xfId="15" applyFont="1"/>
    <xf numFmtId="44" fontId="5" fillId="0" borderId="0" xfId="1"/>
    <xf numFmtId="0" fontId="9" fillId="2" borderId="7" xfId="2" applyFont="1" applyFill="1" applyBorder="1" applyAlignment="1">
      <alignment horizontal="centerContinuous"/>
    </xf>
    <xf numFmtId="0" fontId="10" fillId="5" borderId="11" xfId="2" applyFont="1" applyFill="1" applyBorder="1" applyAlignment="1">
      <alignment horizontal="center" wrapText="1"/>
    </xf>
    <xf numFmtId="0" fontId="10" fillId="5" borderId="16" xfId="2" applyFont="1" applyFill="1" applyBorder="1" applyAlignment="1">
      <alignment horizontal="center" wrapText="1"/>
    </xf>
    <xf numFmtId="0" fontId="10" fillId="5" borderId="16" xfId="0" applyFont="1" applyFill="1" applyBorder="1" applyAlignment="1">
      <alignment horizontal="center" wrapText="1"/>
    </xf>
    <xf numFmtId="170" fontId="0" fillId="0" borderId="0" xfId="0" applyNumberFormat="1"/>
    <xf numFmtId="164" fontId="0" fillId="13" borderId="0" xfId="0" applyNumberFormat="1" applyFill="1" applyAlignment="1">
      <alignment horizontal="center" readingOrder="1"/>
    </xf>
    <xf numFmtId="0" fontId="18" fillId="0" borderId="0" xfId="12" applyFont="1"/>
    <xf numFmtId="0" fontId="30" fillId="11" borderId="19" xfId="12" applyFont="1" applyFill="1" applyBorder="1"/>
    <xf numFmtId="0" fontId="30" fillId="11" borderId="20" xfId="12" applyFont="1" applyFill="1" applyBorder="1"/>
    <xf numFmtId="0" fontId="30" fillId="11" borderId="8" xfId="12" applyFont="1" applyFill="1" applyBorder="1"/>
    <xf numFmtId="0" fontId="31" fillId="14" borderId="16" xfId="35" applyFont="1" applyFill="1" applyBorder="1" applyAlignment="1">
      <alignment horizontal="left" vertical="center" wrapText="1"/>
    </xf>
    <xf numFmtId="0" fontId="31" fillId="14" borderId="5" xfId="35" applyFont="1" applyFill="1" applyBorder="1" applyAlignment="1">
      <alignment horizontal="left" vertical="center" wrapText="1"/>
    </xf>
    <xf numFmtId="0" fontId="32" fillId="0" borderId="5" xfId="35" applyNumberFormat="1" applyFont="1" applyFill="1" applyBorder="1" applyAlignment="1">
      <alignment horizontal="left" vertical="center" wrapText="1"/>
    </xf>
    <xf numFmtId="0" fontId="32" fillId="0" borderId="5" xfId="35" applyFont="1" applyFill="1" applyBorder="1" applyAlignment="1">
      <alignment horizontal="left" vertical="center" wrapText="1"/>
    </xf>
    <xf numFmtId="0" fontId="18" fillId="0" borderId="5" xfId="35" applyFont="1" applyFill="1" applyBorder="1" applyAlignment="1">
      <alignment horizontal="left" vertical="center" wrapText="1"/>
    </xf>
    <xf numFmtId="0" fontId="32" fillId="0" borderId="5" xfId="35" applyFont="1" applyBorder="1" applyAlignment="1">
      <alignment horizontal="left" vertical="center" wrapText="1" readingOrder="1"/>
    </xf>
    <xf numFmtId="0" fontId="32" fillId="0" borderId="5" xfId="35" applyFont="1" applyBorder="1" applyAlignment="1">
      <alignment vertical="center" wrapText="1" readingOrder="1"/>
    </xf>
    <xf numFmtId="0" fontId="32" fillId="0" borderId="5" xfId="35" applyFont="1" applyBorder="1" applyAlignment="1">
      <alignment wrapText="1" readingOrder="1"/>
    </xf>
    <xf numFmtId="0" fontId="32" fillId="0" borderId="5" xfId="35" applyNumberFormat="1" applyFont="1" applyBorder="1" applyAlignment="1">
      <alignment vertical="center" wrapText="1" readingOrder="1"/>
    </xf>
    <xf numFmtId="2" fontId="5" fillId="0" borderId="0" xfId="36" applyNumberFormat="1" applyFont="1"/>
    <xf numFmtId="0" fontId="8" fillId="59" borderId="7" xfId="2" applyFont="1" applyFill="1" applyBorder="1" applyAlignment="1">
      <alignment horizontal="center"/>
    </xf>
    <xf numFmtId="0" fontId="10" fillId="10" borderId="7" xfId="2" applyFont="1" applyFill="1" applyBorder="1" applyAlignment="1">
      <alignment horizontal="center" wrapText="1"/>
    </xf>
    <xf numFmtId="0" fontId="10" fillId="10" borderId="5" xfId="2" applyFont="1" applyFill="1" applyBorder="1" applyAlignment="1">
      <alignment horizontal="center" wrapText="1"/>
    </xf>
    <xf numFmtId="164" fontId="62" fillId="0" borderId="0" xfId="0" applyNumberFormat="1" applyFont="1">
      <alignment readingOrder="1"/>
    </xf>
    <xf numFmtId="0" fontId="5" fillId="0" borderId="33" xfId="36" applyFont="1" applyBorder="1"/>
    <xf numFmtId="0" fontId="5" fillId="0" borderId="31" xfId="369" applyFont="1" applyBorder="1"/>
    <xf numFmtId="0" fontId="5" fillId="0" borderId="38" xfId="36" applyFont="1" applyBorder="1"/>
    <xf numFmtId="0" fontId="5" fillId="0" borderId="5" xfId="369" applyFont="1" applyBorder="1"/>
    <xf numFmtId="0" fontId="5" fillId="0" borderId="34" xfId="36" applyFont="1" applyBorder="1"/>
    <xf numFmtId="0" fontId="5" fillId="0" borderId="32" xfId="369" applyFont="1" applyBorder="1"/>
    <xf numFmtId="173" fontId="5" fillId="0" borderId="31" xfId="1" applyNumberFormat="1" applyFont="1" applyBorder="1"/>
    <xf numFmtId="1" fontId="5" fillId="0" borderId="31" xfId="369" applyNumberFormat="1" applyFont="1" applyBorder="1"/>
    <xf numFmtId="1" fontId="5" fillId="0" borderId="5" xfId="369" applyNumberFormat="1" applyFont="1" applyBorder="1"/>
    <xf numFmtId="1" fontId="5" fillId="0" borderId="32" xfId="369" applyNumberFormat="1" applyFont="1" applyBorder="1"/>
    <xf numFmtId="44" fontId="5" fillId="0" borderId="31" xfId="1" applyFont="1" applyBorder="1"/>
    <xf numFmtId="44" fontId="5" fillId="0" borderId="5" xfId="1" applyFont="1" applyBorder="1"/>
    <xf numFmtId="44" fontId="5" fillId="0" borderId="32" xfId="1" applyFont="1" applyBorder="1"/>
    <xf numFmtId="173" fontId="5" fillId="0" borderId="5" xfId="1" applyNumberFormat="1" applyFont="1" applyBorder="1"/>
    <xf numFmtId="173" fontId="5" fillId="0" borderId="32" xfId="1" applyNumberFormat="1" applyFont="1" applyBorder="1"/>
    <xf numFmtId="1" fontId="0" fillId="0" borderId="0" xfId="0" applyNumberFormat="1"/>
    <xf numFmtId="0" fontId="5" fillId="0" borderId="16" xfId="369" applyFont="1" applyBorder="1"/>
    <xf numFmtId="1" fontId="0" fillId="0" borderId="44" xfId="0" applyNumberFormat="1" applyBorder="1"/>
    <xf numFmtId="0" fontId="5" fillId="0" borderId="31" xfId="369" applyFont="1" applyFill="1" applyBorder="1"/>
    <xf numFmtId="44" fontId="0" fillId="0" borderId="44" xfId="0" applyNumberFormat="1" applyBorder="1"/>
    <xf numFmtId="0" fontId="0" fillId="0" borderId="44" xfId="0" applyBorder="1"/>
    <xf numFmtId="0" fontId="5" fillId="0" borderId="0" xfId="370"/>
    <xf numFmtId="0" fontId="11" fillId="0" borderId="0" xfId="370" applyFont="1"/>
    <xf numFmtId="0" fontId="5" fillId="17" borderId="37" xfId="371" applyFont="1" applyFill="1" applyBorder="1" applyAlignment="1">
      <alignment horizontal="center" wrapText="1"/>
    </xf>
    <xf numFmtId="0" fontId="5" fillId="17" borderId="37" xfId="371" applyFill="1" applyBorder="1" applyAlignment="1">
      <alignment horizontal="center" wrapText="1"/>
    </xf>
    <xf numFmtId="0" fontId="5" fillId="0" borderId="0" xfId="370" applyFont="1"/>
    <xf numFmtId="0" fontId="5" fillId="61" borderId="45" xfId="371" applyFont="1" applyFill="1" applyBorder="1" applyAlignment="1">
      <alignment horizontal="center"/>
    </xf>
    <xf numFmtId="9" fontId="5" fillId="61" borderId="45" xfId="371" applyNumberFormat="1" applyFill="1" applyBorder="1" applyAlignment="1">
      <alignment horizontal="center"/>
    </xf>
    <xf numFmtId="0" fontId="5" fillId="61" borderId="46" xfId="371" applyFont="1" applyFill="1" applyBorder="1" applyAlignment="1">
      <alignment horizontal="center"/>
    </xf>
    <xf numFmtId="10" fontId="5" fillId="61" borderId="46" xfId="371" applyNumberFormat="1" applyFill="1" applyBorder="1" applyAlignment="1">
      <alignment horizontal="center"/>
    </xf>
    <xf numFmtId="0" fontId="5" fillId="61" borderId="47" xfId="371" applyFont="1" applyFill="1" applyBorder="1" applyAlignment="1">
      <alignment horizontal="center"/>
    </xf>
    <xf numFmtId="10" fontId="5" fillId="61" borderId="47" xfId="371" applyNumberFormat="1" applyFill="1" applyBorder="1" applyAlignment="1">
      <alignment horizontal="center"/>
    </xf>
    <xf numFmtId="0" fontId="5" fillId="0" borderId="0" xfId="370" applyAlignment="1">
      <alignment wrapText="1"/>
    </xf>
    <xf numFmtId="0" fontId="5" fillId="0" borderId="0" xfId="370" applyFont="1" applyAlignment="1">
      <alignment horizontal="center" wrapText="1"/>
    </xf>
    <xf numFmtId="0" fontId="5" fillId="0" borderId="5" xfId="371" applyBorder="1"/>
    <xf numFmtId="0" fontId="5" fillId="17" borderId="7" xfId="370" applyFont="1" applyFill="1" applyBorder="1" applyAlignment="1">
      <alignment wrapText="1"/>
    </xf>
    <xf numFmtId="0" fontId="5" fillId="17" borderId="5" xfId="370" applyFont="1" applyFill="1" applyBorder="1" applyAlignment="1">
      <alignment wrapText="1"/>
    </xf>
    <xf numFmtId="9" fontId="5" fillId="0" borderId="6" xfId="340" applyBorder="1"/>
    <xf numFmtId="3" fontId="5" fillId="0" borderId="5" xfId="371" applyNumberFormat="1" applyBorder="1"/>
    <xf numFmtId="169" fontId="5" fillId="0" borderId="0" xfId="340" applyNumberFormat="1" applyBorder="1"/>
    <xf numFmtId="169" fontId="5" fillId="0" borderId="35" xfId="340" applyNumberFormat="1" applyFill="1" applyBorder="1"/>
    <xf numFmtId="169" fontId="5" fillId="0" borderId="4" xfId="340" applyNumberFormat="1" applyFill="1" applyBorder="1"/>
    <xf numFmtId="169" fontId="5" fillId="0" borderId="39" xfId="340" applyNumberFormat="1" applyFill="1" applyBorder="1"/>
    <xf numFmtId="169" fontId="5" fillId="0" borderId="35" xfId="340" applyNumberFormat="1" applyBorder="1"/>
    <xf numFmtId="169" fontId="5" fillId="0" borderId="39" xfId="340" applyNumberFormat="1" applyBorder="1"/>
    <xf numFmtId="1" fontId="5" fillId="0" borderId="35" xfId="370" applyNumberFormat="1" applyBorder="1"/>
    <xf numFmtId="1" fontId="5" fillId="0" borderId="0" xfId="370" applyNumberFormat="1" applyBorder="1"/>
    <xf numFmtId="1" fontId="5" fillId="0" borderId="39" xfId="370" applyNumberFormat="1" applyBorder="1"/>
    <xf numFmtId="172" fontId="5" fillId="0" borderId="0" xfId="131" applyNumberFormat="1"/>
    <xf numFmtId="164" fontId="5" fillId="0" borderId="0" xfId="370" applyNumberFormat="1"/>
    <xf numFmtId="169" fontId="5" fillId="0" borderId="0" xfId="340" applyNumberFormat="1" applyFill="1" applyBorder="1"/>
    <xf numFmtId="9" fontId="5" fillId="0" borderId="6" xfId="371" applyNumberFormat="1" applyBorder="1"/>
    <xf numFmtId="3" fontId="5" fillId="62" borderId="5" xfId="371" applyNumberFormat="1" applyFill="1" applyBorder="1"/>
    <xf numFmtId="9" fontId="5" fillId="62" borderId="6" xfId="371" applyNumberFormat="1" applyFill="1" applyBorder="1"/>
    <xf numFmtId="169" fontId="5" fillId="0" borderId="0" xfId="370" applyNumberFormat="1"/>
    <xf numFmtId="0" fontId="11" fillId="0" borderId="0" xfId="253" applyFont="1">
      <alignment readingOrder="1"/>
    </xf>
    <xf numFmtId="0" fontId="5" fillId="0" borderId="0" xfId="253">
      <alignment readingOrder="1"/>
    </xf>
    <xf numFmtId="0" fontId="5" fillId="0" borderId="0" xfId="253" applyFont="1">
      <alignment readingOrder="1"/>
    </xf>
    <xf numFmtId="0" fontId="5" fillId="0" borderId="0" xfId="253" applyFont="1" applyFill="1">
      <alignment readingOrder="1"/>
    </xf>
    <xf numFmtId="0" fontId="5" fillId="0" borderId="0" xfId="371"/>
    <xf numFmtId="0" fontId="5" fillId="0" borderId="0" xfId="371" applyFont="1" applyAlignment="1">
      <alignment wrapText="1"/>
    </xf>
    <xf numFmtId="0" fontId="5" fillId="0" borderId="6" xfId="371" applyBorder="1"/>
    <xf numFmtId="0" fontId="5" fillId="0" borderId="15" xfId="371" applyBorder="1"/>
    <xf numFmtId="0" fontId="5" fillId="0" borderId="7" xfId="371" applyBorder="1"/>
    <xf numFmtId="0" fontId="5" fillId="0" borderId="11" xfId="371" applyBorder="1"/>
    <xf numFmtId="0" fontId="5" fillId="0" borderId="12" xfId="371" applyBorder="1"/>
    <xf numFmtId="0" fontId="5" fillId="0" borderId="13" xfId="371" applyBorder="1"/>
    <xf numFmtId="0" fontId="5" fillId="0" borderId="35" xfId="371" applyBorder="1"/>
    <xf numFmtId="0" fontId="5" fillId="0" borderId="0" xfId="371" applyBorder="1"/>
    <xf numFmtId="0" fontId="5" fillId="17" borderId="50" xfId="371" applyFont="1" applyFill="1" applyBorder="1" applyAlignment="1">
      <alignment horizontal="center" wrapText="1"/>
    </xf>
    <xf numFmtId="0" fontId="5" fillId="17" borderId="8" xfId="371" applyFont="1" applyFill="1" applyBorder="1" applyAlignment="1">
      <alignment horizontal="center" wrapText="1"/>
    </xf>
    <xf numFmtId="6" fontId="5" fillId="0" borderId="35" xfId="371" applyNumberFormat="1" applyBorder="1"/>
    <xf numFmtId="6" fontId="5" fillId="0" borderId="0" xfId="371" applyNumberFormat="1" applyBorder="1"/>
    <xf numFmtId="6" fontId="5" fillId="0" borderId="39" xfId="371" applyNumberFormat="1" applyBorder="1"/>
    <xf numFmtId="6" fontId="5" fillId="0" borderId="1" xfId="371" applyNumberFormat="1" applyBorder="1"/>
    <xf numFmtId="6" fontId="5" fillId="0" borderId="4" xfId="371" applyNumberFormat="1" applyBorder="1"/>
    <xf numFmtId="6" fontId="5" fillId="0" borderId="40" xfId="371" applyNumberFormat="1" applyBorder="1" applyAlignment="1">
      <alignment horizontal="center"/>
    </xf>
    <xf numFmtId="9" fontId="5" fillId="0" borderId="0" xfId="371" applyNumberFormat="1" applyBorder="1" applyAlignment="1">
      <alignment horizontal="center"/>
    </xf>
    <xf numFmtId="174" fontId="5" fillId="0" borderId="41" xfId="371" applyNumberFormat="1" applyBorder="1" applyAlignment="1">
      <alignment horizontal="right"/>
    </xf>
    <xf numFmtId="174" fontId="5" fillId="0" borderId="0" xfId="253" applyNumberFormat="1">
      <alignment readingOrder="1"/>
    </xf>
    <xf numFmtId="6" fontId="5" fillId="0" borderId="11" xfId="371" applyNumberFormat="1" applyBorder="1"/>
    <xf numFmtId="6" fontId="5" fillId="0" borderId="12" xfId="371" applyNumberFormat="1" applyBorder="1"/>
    <xf numFmtId="6" fontId="5" fillId="0" borderId="13" xfId="371" applyNumberFormat="1" applyBorder="1"/>
    <xf numFmtId="6" fontId="5" fillId="0" borderId="17" xfId="371" applyNumberFormat="1" applyBorder="1" applyAlignment="1">
      <alignment horizontal="center"/>
    </xf>
    <xf numFmtId="9" fontId="5" fillId="0" borderId="43" xfId="371" applyNumberFormat="1" applyBorder="1" applyAlignment="1">
      <alignment horizontal="center"/>
    </xf>
    <xf numFmtId="174" fontId="5" fillId="0" borderId="42" xfId="371" applyNumberFormat="1" applyBorder="1" applyAlignment="1">
      <alignment horizontal="right"/>
    </xf>
    <xf numFmtId="174" fontId="5" fillId="0" borderId="0" xfId="1" applyNumberFormat="1" applyFont="1">
      <alignment readingOrder="1"/>
    </xf>
    <xf numFmtId="0" fontId="5" fillId="0" borderId="1" xfId="372" applyFont="1" applyFill="1" applyBorder="1" applyAlignment="1">
      <alignment horizontal="left"/>
    </xf>
    <xf numFmtId="4" fontId="5" fillId="0" borderId="0" xfId="372" applyNumberFormat="1" applyFont="1"/>
    <xf numFmtId="0" fontId="5" fillId="0" borderId="0" xfId="372" applyFont="1"/>
    <xf numFmtId="0" fontId="5" fillId="0" borderId="11" xfId="372" applyFont="1" applyBorder="1" applyAlignment="1">
      <alignment horizontal="left"/>
    </xf>
    <xf numFmtId="0" fontId="5" fillId="0" borderId="1" xfId="372" applyFont="1" applyBorder="1" applyAlignment="1">
      <alignment horizontal="center"/>
    </xf>
    <xf numFmtId="0" fontId="5" fillId="0" borderId="11" xfId="372" applyFont="1" applyBorder="1" applyAlignment="1">
      <alignment horizontal="center"/>
    </xf>
    <xf numFmtId="0" fontId="5" fillId="0" borderId="36" xfId="372" applyFont="1" applyBorder="1"/>
    <xf numFmtId="174" fontId="5" fillId="0" borderId="2" xfId="372" applyNumberFormat="1" applyFont="1" applyBorder="1" applyAlignment="1">
      <alignment horizontal="center"/>
    </xf>
    <xf numFmtId="9" fontId="5" fillId="0" borderId="2" xfId="372" applyNumberFormat="1" applyFont="1" applyBorder="1" applyAlignment="1">
      <alignment horizontal="center"/>
    </xf>
    <xf numFmtId="10" fontId="5" fillId="0" borderId="2" xfId="372" applyNumberFormat="1" applyFont="1" applyBorder="1" applyAlignment="1">
      <alignment horizontal="center"/>
    </xf>
    <xf numFmtId="3" fontId="5" fillId="0" borderId="1" xfId="372" applyNumberFormat="1" applyFont="1" applyBorder="1" applyAlignment="1">
      <alignment horizontal="center"/>
    </xf>
    <xf numFmtId="174" fontId="5" fillId="0" borderId="4" xfId="372" applyNumberFormat="1" applyFont="1" applyBorder="1" applyAlignment="1">
      <alignment horizontal="center"/>
    </xf>
    <xf numFmtId="174" fontId="5" fillId="0" borderId="4" xfId="372" applyNumberFormat="1" applyFont="1" applyBorder="1"/>
    <xf numFmtId="1" fontId="5" fillId="0" borderId="4" xfId="372" applyNumberFormat="1" applyFont="1" applyBorder="1" applyAlignment="1">
      <alignment horizontal="center"/>
    </xf>
    <xf numFmtId="172" fontId="5" fillId="0" borderId="3" xfId="131" applyNumberFormat="1" applyFont="1" applyBorder="1"/>
    <xf numFmtId="0" fontId="5" fillId="0" borderId="16" xfId="372" applyFont="1" applyBorder="1"/>
    <xf numFmtId="174" fontId="5" fillId="0" borderId="16" xfId="372" applyNumberFormat="1" applyFont="1" applyBorder="1" applyAlignment="1">
      <alignment horizontal="center"/>
    </xf>
    <xf numFmtId="9" fontId="5" fillId="0" borderId="16" xfId="372" applyNumberFormat="1" applyFont="1" applyBorder="1" applyAlignment="1">
      <alignment horizontal="center"/>
    </xf>
    <xf numFmtId="10" fontId="5" fillId="0" borderId="16" xfId="372" applyNumberFormat="1" applyFont="1" applyBorder="1" applyAlignment="1">
      <alignment horizontal="center"/>
    </xf>
    <xf numFmtId="3" fontId="5" fillId="0" borderId="11" xfId="372" applyNumberFormat="1" applyFont="1" applyBorder="1" applyAlignment="1">
      <alignment horizontal="center"/>
    </xf>
    <xf numFmtId="174" fontId="5" fillId="0" borderId="12" xfId="372" applyNumberFormat="1" applyFont="1" applyBorder="1" applyAlignment="1">
      <alignment horizontal="center"/>
    </xf>
    <xf numFmtId="174" fontId="5" fillId="0" borderId="12" xfId="372" applyNumberFormat="1" applyFont="1" applyBorder="1"/>
    <xf numFmtId="1" fontId="5" fillId="0" borderId="12" xfId="372" applyNumberFormat="1" applyFont="1" applyBorder="1" applyAlignment="1">
      <alignment horizontal="center"/>
    </xf>
    <xf numFmtId="172" fontId="5" fillId="0" borderId="13" xfId="131" applyNumberFormat="1" applyFont="1" applyBorder="1"/>
    <xf numFmtId="174" fontId="5" fillId="0" borderId="36" xfId="372" applyNumberFormat="1" applyFont="1" applyBorder="1" applyAlignment="1">
      <alignment horizontal="center"/>
    </xf>
    <xf numFmtId="9" fontId="5" fillId="0" borderId="36" xfId="372" applyNumberFormat="1" applyFont="1" applyBorder="1" applyAlignment="1">
      <alignment horizontal="center"/>
    </xf>
    <xf numFmtId="10" fontId="5" fillId="0" borderId="36" xfId="372" applyNumberFormat="1" applyFont="1" applyBorder="1" applyAlignment="1">
      <alignment horizontal="center"/>
    </xf>
    <xf numFmtId="3" fontId="5" fillId="0" borderId="35" xfId="372" applyNumberFormat="1" applyFont="1" applyBorder="1" applyAlignment="1">
      <alignment horizontal="center"/>
    </xf>
    <xf numFmtId="174" fontId="5" fillId="0" borderId="35" xfId="372" applyNumberFormat="1" applyFont="1" applyBorder="1" applyAlignment="1">
      <alignment horizontal="center"/>
    </xf>
    <xf numFmtId="174" fontId="5" fillId="0" borderId="39" xfId="372" applyNumberFormat="1" applyFont="1" applyBorder="1"/>
    <xf numFmtId="0" fontId="5" fillId="0" borderId="35" xfId="372" applyFont="1" applyBorder="1" applyAlignment="1">
      <alignment horizontal="center"/>
    </xf>
    <xf numFmtId="1" fontId="5" fillId="0" borderId="0" xfId="372" applyNumberFormat="1" applyFont="1" applyAlignment="1">
      <alignment horizontal="center"/>
    </xf>
    <xf numFmtId="172" fontId="5" fillId="0" borderId="39" xfId="131" applyNumberFormat="1" applyFont="1" applyBorder="1"/>
    <xf numFmtId="0" fontId="5" fillId="0" borderId="2" xfId="372" applyFont="1" applyBorder="1"/>
    <xf numFmtId="174" fontId="5" fillId="0" borderId="36" xfId="372" applyNumberFormat="1" applyFont="1" applyFill="1" applyBorder="1" applyAlignment="1">
      <alignment horizontal="center"/>
    </xf>
    <xf numFmtId="9" fontId="5" fillId="0" borderId="36" xfId="372" applyNumberFormat="1" applyFont="1" applyFill="1" applyBorder="1" applyAlignment="1">
      <alignment horizontal="center"/>
    </xf>
    <xf numFmtId="10" fontId="5" fillId="0" borderId="36" xfId="372" applyNumberFormat="1" applyFont="1" applyFill="1" applyBorder="1" applyAlignment="1">
      <alignment horizontal="center"/>
    </xf>
    <xf numFmtId="3" fontId="5" fillId="0" borderId="35" xfId="372" applyNumberFormat="1" applyFont="1" applyFill="1" applyBorder="1" applyAlignment="1">
      <alignment horizontal="center"/>
    </xf>
    <xf numFmtId="174" fontId="5" fillId="0" borderId="35" xfId="372" applyNumberFormat="1" applyFont="1" applyFill="1" applyBorder="1" applyAlignment="1">
      <alignment horizontal="center"/>
    </xf>
    <xf numFmtId="174" fontId="5" fillId="0" borderId="2" xfId="372" applyNumberFormat="1" applyFont="1" applyFill="1" applyBorder="1" applyAlignment="1">
      <alignment horizontal="center"/>
    </xf>
    <xf numFmtId="9" fontId="5" fillId="0" borderId="2" xfId="372" applyNumberFormat="1" applyFont="1" applyFill="1" applyBorder="1" applyAlignment="1">
      <alignment horizontal="center"/>
    </xf>
    <xf numFmtId="10" fontId="5" fillId="0" borderId="2" xfId="372" applyNumberFormat="1" applyFont="1" applyFill="1" applyBorder="1" applyAlignment="1">
      <alignment horizontal="center"/>
    </xf>
    <xf numFmtId="3" fontId="5" fillId="0" borderId="1" xfId="372" applyNumberFormat="1" applyFont="1" applyFill="1" applyBorder="1" applyAlignment="1">
      <alignment horizontal="center"/>
    </xf>
    <xf numFmtId="174" fontId="5" fillId="0" borderId="4" xfId="372" applyNumberFormat="1" applyFont="1" applyFill="1" applyBorder="1" applyAlignment="1">
      <alignment horizontal="center"/>
    </xf>
    <xf numFmtId="174" fontId="5" fillId="0" borderId="1" xfId="372" applyNumberFormat="1" applyFont="1" applyBorder="1" applyAlignment="1">
      <alignment horizontal="center"/>
    </xf>
    <xf numFmtId="174" fontId="5" fillId="0" borderId="3" xfId="372" applyNumberFormat="1" applyFont="1" applyBorder="1"/>
    <xf numFmtId="174" fontId="5" fillId="0" borderId="11" xfId="372" applyNumberFormat="1" applyFont="1" applyBorder="1" applyAlignment="1">
      <alignment horizontal="center"/>
    </xf>
    <xf numFmtId="174" fontId="5" fillId="0" borderId="13" xfId="372" applyNumberFormat="1" applyFont="1" applyBorder="1"/>
    <xf numFmtId="0" fontId="5" fillId="0" borderId="0" xfId="372" applyFont="1" applyAlignment="1">
      <alignment horizontal="center" wrapText="1"/>
    </xf>
    <xf numFmtId="0" fontId="5" fillId="0" borderId="0" xfId="372" applyFont="1" applyAlignment="1">
      <alignment wrapText="1"/>
    </xf>
    <xf numFmtId="172" fontId="5" fillId="0" borderId="0" xfId="372" applyNumberFormat="1" applyFont="1" applyAlignment="1">
      <alignment wrapText="1"/>
    </xf>
    <xf numFmtId="0" fontId="5" fillId="0" borderId="5" xfId="253" applyBorder="1" applyAlignment="1">
      <alignment horizontal="center" vertical="center" wrapText="1" readingOrder="1"/>
    </xf>
    <xf numFmtId="0" fontId="5" fillId="0" borderId="0" xfId="371" applyFont="1" applyAlignment="1">
      <alignment horizontal="center"/>
    </xf>
    <xf numFmtId="0" fontId="5" fillId="0" borderId="0" xfId="253" applyAlignment="1">
      <alignment horizontal="center"/>
    </xf>
    <xf numFmtId="0" fontId="5" fillId="17" borderId="0" xfId="253" applyFill="1">
      <alignment readingOrder="1"/>
    </xf>
    <xf numFmtId="172" fontId="5" fillId="0" borderId="5" xfId="131" applyNumberFormat="1" applyBorder="1">
      <alignment readingOrder="1"/>
    </xf>
    <xf numFmtId="3" fontId="5" fillId="0" borderId="5" xfId="253" applyNumberFormat="1" applyBorder="1">
      <alignment readingOrder="1"/>
    </xf>
    <xf numFmtId="164" fontId="5" fillId="0" borderId="0" xfId="253" applyNumberFormat="1">
      <alignment readingOrder="1"/>
    </xf>
    <xf numFmtId="0" fontId="17" fillId="14" borderId="5" xfId="213" applyFont="1" applyFill="1" applyBorder="1"/>
    <xf numFmtId="0" fontId="17" fillId="14" borderId="1" xfId="213" applyFont="1" applyFill="1" applyBorder="1"/>
    <xf numFmtId="0" fontId="17" fillId="14" borderId="4" xfId="213" applyFont="1" applyFill="1" applyBorder="1"/>
    <xf numFmtId="0" fontId="17" fillId="14" borderId="3" xfId="213" applyFont="1" applyFill="1" applyBorder="1"/>
    <xf numFmtId="164" fontId="10" fillId="9" borderId="9" xfId="213" applyNumberFormat="1" applyFont="1" applyFill="1" applyBorder="1" applyAlignment="1">
      <alignment horizontal="centerContinuous" wrapText="1" readingOrder="1"/>
    </xf>
    <xf numFmtId="164" fontId="10" fillId="9" borderId="10" xfId="213" applyNumberFormat="1" applyFont="1" applyFill="1" applyBorder="1" applyAlignment="1">
      <alignment horizontal="centerContinuous" wrapText="1" readingOrder="1"/>
    </xf>
    <xf numFmtId="164" fontId="10" fillId="9" borderId="8" xfId="213" applyNumberFormat="1" applyFont="1" applyFill="1" applyBorder="1" applyAlignment="1">
      <alignment horizontal="centerContinuous" wrapText="1" readingOrder="1"/>
    </xf>
    <xf numFmtId="164" fontId="10" fillId="9" borderId="7" xfId="213" applyNumberFormat="1" applyFont="1" applyFill="1" applyBorder="1" applyAlignment="1">
      <alignment horizontal="center" wrapText="1" readingOrder="1"/>
    </xf>
    <xf numFmtId="0" fontId="5" fillId="0" borderId="0" xfId="213"/>
    <xf numFmtId="0" fontId="17" fillId="14" borderId="11" xfId="213" applyFont="1" applyFill="1" applyBorder="1"/>
    <xf numFmtId="0" fontId="17" fillId="14" borderId="12" xfId="213" applyFont="1" applyFill="1" applyBorder="1"/>
    <xf numFmtId="0" fontId="17" fillId="14" borderId="13" xfId="213" applyFont="1" applyFill="1" applyBorder="1"/>
    <xf numFmtId="164" fontId="10" fillId="8" borderId="7" xfId="213" applyNumberFormat="1" applyFont="1" applyFill="1" applyBorder="1" applyAlignment="1">
      <alignment horizontal="center" wrapText="1" readingOrder="1"/>
    </xf>
    <xf numFmtId="0" fontId="17" fillId="6" borderId="5" xfId="213" applyFont="1" applyFill="1" applyBorder="1"/>
    <xf numFmtId="2" fontId="5" fillId="10" borderId="0" xfId="213" applyNumberFormat="1" applyFill="1" applyAlignment="1">
      <alignment horizontal="center" readingOrder="1"/>
    </xf>
    <xf numFmtId="1" fontId="5" fillId="10" borderId="0" xfId="213" applyNumberFormat="1" applyFill="1" applyAlignment="1">
      <alignment horizontal="center" readingOrder="1"/>
    </xf>
    <xf numFmtId="0" fontId="5" fillId="0" borderId="0" xfId="213">
      <alignment readingOrder="1"/>
    </xf>
    <xf numFmtId="164" fontId="5" fillId="0" borderId="0" xfId="213" applyNumberFormat="1">
      <alignment readingOrder="1"/>
    </xf>
    <xf numFmtId="43" fontId="0" fillId="10" borderId="0" xfId="373" applyFont="1" applyFill="1" applyAlignment="1">
      <alignment horizontal="center" readingOrder="1"/>
    </xf>
    <xf numFmtId="1" fontId="5" fillId="0" borderId="0" xfId="213" applyNumberFormat="1"/>
    <xf numFmtId="0" fontId="12" fillId="77" borderId="6" xfId="0" applyFont="1" applyFill="1" applyBorder="1" applyAlignment="1">
      <alignment horizontal="left" wrapText="1" readingOrder="1"/>
    </xf>
    <xf numFmtId="0" fontId="12" fillId="77" borderId="7" xfId="0" applyFont="1" applyFill="1" applyBorder="1" applyAlignment="1">
      <alignment horizontal="center" wrapText="1" readingOrder="1"/>
    </xf>
    <xf numFmtId="0" fontId="12" fillId="7" borderId="15" xfId="0" applyFont="1" applyFill="1" applyBorder="1" applyAlignment="1">
      <alignment horizontal="center" wrapText="1" readingOrder="1"/>
    </xf>
    <xf numFmtId="0" fontId="0" fillId="0" borderId="52" xfId="0" applyBorder="1">
      <alignment readingOrder="1"/>
    </xf>
    <xf numFmtId="0" fontId="0" fillId="0" borderId="53" xfId="0" applyBorder="1">
      <alignment readingOrder="1"/>
    </xf>
    <xf numFmtId="0" fontId="0" fillId="0" borderId="54" xfId="0" applyBorder="1">
      <alignment readingOrder="1"/>
    </xf>
    <xf numFmtId="0" fontId="0" fillId="0" borderId="40" xfId="0" applyBorder="1">
      <alignment readingOrder="1"/>
    </xf>
    <xf numFmtId="0" fontId="0" fillId="0" borderId="0" xfId="0" applyBorder="1">
      <alignment readingOrder="1"/>
    </xf>
    <xf numFmtId="0" fontId="0" fillId="0" borderId="41" xfId="0" applyBorder="1">
      <alignment readingOrder="1"/>
    </xf>
    <xf numFmtId="0" fontId="0" fillId="0" borderId="17" xfId="0" applyBorder="1">
      <alignment readingOrder="1"/>
    </xf>
    <xf numFmtId="0" fontId="0" fillId="0" borderId="43" xfId="0" applyBorder="1">
      <alignment readingOrder="1"/>
    </xf>
    <xf numFmtId="0" fontId="0" fillId="0" borderId="42" xfId="0" applyBorder="1">
      <alignment readingOrder="1"/>
    </xf>
    <xf numFmtId="0" fontId="10" fillId="78" borderId="19" xfId="0" applyFont="1" applyFill="1" applyBorder="1" applyAlignment="1">
      <alignment horizontal="centerContinuous" wrapText="1" readingOrder="1"/>
    </xf>
    <xf numFmtId="0" fontId="10" fillId="78" borderId="8" xfId="0" applyFont="1" applyFill="1" applyBorder="1" applyAlignment="1">
      <alignment horizontal="centerContinuous" wrapText="1" readingOrder="1"/>
    </xf>
    <xf numFmtId="164" fontId="10" fillId="78" borderId="19" xfId="0" applyNumberFormat="1" applyFont="1" applyFill="1" applyBorder="1" applyAlignment="1">
      <alignment horizontal="centerContinuous" wrapText="1" readingOrder="1"/>
    </xf>
    <xf numFmtId="164" fontId="10" fillId="78" borderId="20" xfId="0" applyNumberFormat="1" applyFont="1" applyFill="1" applyBorder="1" applyAlignment="1">
      <alignment horizontal="centerContinuous" wrapText="1" readingOrder="1"/>
    </xf>
    <xf numFmtId="164" fontId="10" fillId="78" borderId="8" xfId="0" applyNumberFormat="1" applyFont="1" applyFill="1" applyBorder="1" applyAlignment="1">
      <alignment horizontal="centerContinuous" wrapText="1" readingOrder="1"/>
    </xf>
    <xf numFmtId="164" fontId="10" fillId="78" borderId="15" xfId="0" applyNumberFormat="1" applyFont="1" applyFill="1" applyBorder="1" applyAlignment="1">
      <alignment horizontal="center" wrapText="1" readingOrder="1"/>
    </xf>
    <xf numFmtId="175" fontId="10" fillId="8" borderId="7" xfId="0" applyNumberFormat="1" applyFont="1" applyFill="1" applyBorder="1" applyAlignment="1">
      <alignment horizontal="center" wrapText="1" readingOrder="1"/>
    </xf>
    <xf numFmtId="0" fontId="10" fillId="9" borderId="19" xfId="0" applyFont="1" applyFill="1" applyBorder="1" applyAlignment="1">
      <alignment horizontal="centerContinuous" wrapText="1" readingOrder="1"/>
    </xf>
    <xf numFmtId="0" fontId="10" fillId="9" borderId="20" xfId="0" applyFont="1" applyFill="1" applyBorder="1" applyAlignment="1">
      <alignment horizontal="centerContinuous" wrapText="1" readingOrder="1"/>
    </xf>
    <xf numFmtId="164" fontId="10" fillId="9" borderId="20" xfId="0" applyNumberFormat="1" applyFont="1" applyFill="1" applyBorder="1" applyAlignment="1">
      <alignment horizontal="centerContinuous" wrapText="1" readingOrder="1"/>
    </xf>
    <xf numFmtId="164" fontId="10" fillId="9" borderId="15" xfId="0" applyNumberFormat="1" applyFont="1" applyFill="1" applyBorder="1" applyAlignment="1">
      <alignment horizontal="center" wrapText="1" readingOrder="1"/>
    </xf>
    <xf numFmtId="164" fontId="10" fillId="9" borderId="19" xfId="0" applyNumberFormat="1" applyFont="1" applyFill="1" applyBorder="1" applyAlignment="1">
      <alignment horizontal="centerContinuous" wrapText="1" readingOrder="1"/>
    </xf>
    <xf numFmtId="164" fontId="11" fillId="0" borderId="0" xfId="0" applyNumberFormat="1" applyFont="1">
      <alignment readingOrder="1"/>
    </xf>
    <xf numFmtId="176" fontId="11" fillId="0" borderId="0" xfId="0" applyNumberFormat="1" applyFont="1">
      <alignment readingOrder="1"/>
    </xf>
    <xf numFmtId="176" fontId="0" fillId="0" borderId="0" xfId="0" applyNumberFormat="1">
      <alignment readingOrder="1"/>
    </xf>
    <xf numFmtId="176" fontId="62" fillId="0" borderId="0" xfId="0" applyNumberFormat="1" applyFont="1">
      <alignment readingOrder="1"/>
    </xf>
    <xf numFmtId="0" fontId="0" fillId="14" borderId="0" xfId="0" applyFill="1">
      <alignment readingOrder="1"/>
    </xf>
    <xf numFmtId="0" fontId="0" fillId="14" borderId="0" xfId="0" applyFill="1" applyAlignment="1">
      <alignment vertical="center" wrapText="1" readingOrder="1"/>
    </xf>
    <xf numFmtId="164" fontId="0" fillId="12" borderId="0" xfId="0" applyNumberFormat="1" applyFill="1">
      <alignment readingOrder="1"/>
    </xf>
    <xf numFmtId="0" fontId="0" fillId="11" borderId="0" xfId="0" applyFill="1" applyAlignment="1">
      <alignment horizontal="left" vertical="center" readingOrder="1"/>
    </xf>
    <xf numFmtId="0" fontId="10" fillId="3" borderId="1" xfId="2" applyFont="1" applyFill="1" applyBorder="1" applyAlignment="1">
      <alignment horizontal="center"/>
    </xf>
    <xf numFmtId="0" fontId="10" fillId="3" borderId="4" xfId="2" applyFont="1" applyFill="1" applyBorder="1" applyAlignment="1">
      <alignment horizontal="center"/>
    </xf>
    <xf numFmtId="0" fontId="10" fillId="3" borderId="3" xfId="2" applyFont="1" applyFill="1" applyBorder="1" applyAlignment="1">
      <alignment horizontal="center"/>
    </xf>
    <xf numFmtId="0" fontId="7" fillId="4" borderId="2" xfId="0" applyFont="1" applyFill="1" applyBorder="1" applyAlignment="1">
      <alignment horizontal="center"/>
    </xf>
    <xf numFmtId="0" fontId="11" fillId="0" borderId="2" xfId="0" applyFont="1" applyBorder="1" applyAlignment="1">
      <alignment horizontal="center"/>
    </xf>
    <xf numFmtId="0" fontId="11" fillId="60" borderId="5" xfId="2" applyFont="1" applyFill="1" applyBorder="1" applyAlignment="1">
      <alignment horizontal="center"/>
    </xf>
    <xf numFmtId="0" fontId="10" fillId="3" borderId="6" xfId="2" applyFont="1" applyFill="1" applyBorder="1" applyAlignment="1">
      <alignment horizontal="center"/>
    </xf>
    <xf numFmtId="0" fontId="10" fillId="3" borderId="15" xfId="2" applyFont="1" applyFill="1" applyBorder="1" applyAlignment="1">
      <alignment horizontal="center"/>
    </xf>
    <xf numFmtId="0" fontId="10" fillId="3" borderId="7" xfId="2" applyFont="1" applyFill="1" applyBorder="1" applyAlignment="1">
      <alignment horizontal="center"/>
    </xf>
    <xf numFmtId="0" fontId="7" fillId="4" borderId="5" xfId="0" applyFont="1" applyFill="1" applyBorder="1" applyAlignment="1">
      <alignment horizontal="center"/>
    </xf>
    <xf numFmtId="0" fontId="11" fillId="0" borderId="5" xfId="0" applyFont="1" applyBorder="1" applyAlignment="1">
      <alignment horizontal="center"/>
    </xf>
    <xf numFmtId="169" fontId="5" fillId="0" borderId="11" xfId="370" applyNumberFormat="1" applyBorder="1" applyAlignment="1">
      <alignment horizontal="center"/>
    </xf>
    <xf numFmtId="169" fontId="5" fillId="0" borderId="12" xfId="370" applyNumberFormat="1" applyBorder="1" applyAlignment="1">
      <alignment horizontal="center"/>
    </xf>
    <xf numFmtId="169" fontId="5" fillId="0" borderId="13" xfId="370" applyNumberFormat="1" applyBorder="1" applyAlignment="1">
      <alignment horizontal="center"/>
    </xf>
    <xf numFmtId="1" fontId="5" fillId="0" borderId="11" xfId="368" applyNumberFormat="1" applyFont="1" applyBorder="1" applyAlignment="1">
      <alignment horizontal="center"/>
    </xf>
    <xf numFmtId="1" fontId="5" fillId="0" borderId="12" xfId="368" applyNumberFormat="1" applyFont="1" applyBorder="1" applyAlignment="1">
      <alignment horizontal="center"/>
    </xf>
    <xf numFmtId="1" fontId="5" fillId="0" borderId="13" xfId="368" applyNumberFormat="1" applyFont="1" applyBorder="1" applyAlignment="1">
      <alignment horizontal="center"/>
    </xf>
    <xf numFmtId="1" fontId="5" fillId="0" borderId="11" xfId="370" applyNumberFormat="1" applyBorder="1" applyAlignment="1">
      <alignment horizontal="center"/>
    </xf>
    <xf numFmtId="1" fontId="5" fillId="0" borderId="12" xfId="370" applyNumberFormat="1" applyBorder="1" applyAlignment="1">
      <alignment horizontal="center"/>
    </xf>
    <xf numFmtId="1" fontId="5" fillId="0" borderId="13" xfId="370" applyNumberFormat="1" applyBorder="1" applyAlignment="1">
      <alignment horizontal="center"/>
    </xf>
    <xf numFmtId="169" fontId="5" fillId="0" borderId="35" xfId="370" applyNumberFormat="1" applyBorder="1" applyAlignment="1">
      <alignment horizontal="center"/>
    </xf>
    <xf numFmtId="169" fontId="5" fillId="0" borderId="0" xfId="370" applyNumberFormat="1" applyBorder="1" applyAlignment="1">
      <alignment horizontal="center"/>
    </xf>
    <xf numFmtId="169" fontId="5" fillId="0" borderId="39" xfId="370" applyNumberFormat="1" applyBorder="1" applyAlignment="1">
      <alignment horizontal="center"/>
    </xf>
    <xf numFmtId="1" fontId="5" fillId="0" borderId="35" xfId="368" applyNumberFormat="1" applyFont="1" applyBorder="1" applyAlignment="1">
      <alignment horizontal="center"/>
    </xf>
    <xf numFmtId="1" fontId="5" fillId="0" borderId="0" xfId="368" applyNumberFormat="1" applyFont="1" applyBorder="1" applyAlignment="1">
      <alignment horizontal="center"/>
    </xf>
    <xf numFmtId="1" fontId="5" fillId="0" borderId="39" xfId="368" applyNumberFormat="1" applyFont="1" applyBorder="1" applyAlignment="1">
      <alignment horizontal="center"/>
    </xf>
    <xf numFmtId="1" fontId="5" fillId="0" borderId="35" xfId="370" applyNumberFormat="1" applyBorder="1" applyAlignment="1">
      <alignment horizontal="center"/>
    </xf>
    <xf numFmtId="1" fontId="5" fillId="0" borderId="0" xfId="370" applyNumberFormat="1" applyBorder="1" applyAlignment="1">
      <alignment horizontal="center"/>
    </xf>
    <xf numFmtId="1" fontId="5" fillId="0" borderId="39" xfId="370" applyNumberFormat="1" applyBorder="1" applyAlignment="1">
      <alignment horizontal="center"/>
    </xf>
    <xf numFmtId="0" fontId="5" fillId="0" borderId="6" xfId="370" applyFont="1" applyBorder="1" applyAlignment="1">
      <alignment horizontal="center"/>
    </xf>
    <xf numFmtId="0" fontId="5" fillId="0" borderId="15" xfId="370" applyFont="1" applyBorder="1" applyAlignment="1">
      <alignment horizontal="center"/>
    </xf>
    <xf numFmtId="0" fontId="5" fillId="0" borderId="7" xfId="370" applyFont="1" applyBorder="1" applyAlignment="1">
      <alignment horizontal="center"/>
    </xf>
    <xf numFmtId="0" fontId="5" fillId="0" borderId="6" xfId="370" applyFont="1" applyBorder="1" applyAlignment="1">
      <alignment horizontal="center" wrapText="1"/>
    </xf>
    <xf numFmtId="0" fontId="5" fillId="0" borderId="15" xfId="370" applyFont="1" applyBorder="1" applyAlignment="1">
      <alignment horizontal="center" wrapText="1"/>
    </xf>
    <xf numFmtId="0" fontId="5" fillId="0" borderId="7" xfId="370" applyFont="1" applyBorder="1" applyAlignment="1">
      <alignment horizontal="center" wrapText="1"/>
    </xf>
    <xf numFmtId="0" fontId="10" fillId="0" borderId="2" xfId="372" applyFont="1" applyBorder="1" applyAlignment="1">
      <alignment horizontal="center" vertical="center" wrapText="1"/>
    </xf>
    <xf numFmtId="0" fontId="10" fillId="0" borderId="36" xfId="372" applyFont="1" applyBorder="1" applyAlignment="1">
      <alignment horizontal="center" vertical="center" wrapText="1"/>
    </xf>
    <xf numFmtId="0" fontId="10" fillId="0" borderId="16" xfId="372" applyFont="1" applyBorder="1" applyAlignment="1">
      <alignment horizontal="center" vertical="center" wrapText="1"/>
    </xf>
    <xf numFmtId="0" fontId="5" fillId="0" borderId="5" xfId="372" applyFont="1" applyBorder="1" applyAlignment="1">
      <alignment horizontal="center" wrapText="1"/>
    </xf>
    <xf numFmtId="0" fontId="67" fillId="0" borderId="5" xfId="372" applyFont="1" applyBorder="1" applyAlignment="1">
      <alignment horizontal="center" wrapText="1"/>
    </xf>
    <xf numFmtId="0" fontId="5" fillId="0" borderId="5" xfId="372" applyFont="1" applyFill="1" applyBorder="1" applyAlignment="1">
      <alignment horizontal="center"/>
    </xf>
    <xf numFmtId="0" fontId="5" fillId="0" borderId="5" xfId="372" applyFont="1" applyBorder="1" applyAlignment="1">
      <alignment horizontal="center"/>
    </xf>
    <xf numFmtId="0" fontId="10" fillId="0" borderId="1" xfId="372" applyFont="1" applyBorder="1" applyAlignment="1">
      <alignment horizontal="center" vertical="center" wrapText="1"/>
    </xf>
    <xf numFmtId="0" fontId="10" fillId="0" borderId="35" xfId="372" applyFont="1" applyBorder="1" applyAlignment="1">
      <alignment horizontal="center" vertical="center" wrapText="1"/>
    </xf>
    <xf numFmtId="0" fontId="10" fillId="0" borderId="11" xfId="372" applyFont="1" applyBorder="1" applyAlignment="1">
      <alignment horizontal="center" vertical="center" wrapText="1"/>
    </xf>
    <xf numFmtId="0" fontId="5" fillId="0" borderId="6" xfId="371" applyBorder="1" applyAlignment="1">
      <alignment horizontal="center"/>
    </xf>
    <xf numFmtId="0" fontId="5" fillId="0" borderId="15" xfId="371" applyBorder="1" applyAlignment="1">
      <alignment horizontal="center"/>
    </xf>
    <xf numFmtId="0" fontId="5" fillId="0" borderId="7" xfId="371" applyBorder="1" applyAlignment="1">
      <alignment horizontal="center"/>
    </xf>
    <xf numFmtId="0" fontId="5" fillId="0" borderId="48" xfId="371" applyFont="1" applyBorder="1" applyAlignment="1">
      <alignment horizontal="center"/>
    </xf>
    <xf numFmtId="0" fontId="5" fillId="0" borderId="44" xfId="371" applyFont="1" applyBorder="1" applyAlignment="1">
      <alignment horizontal="center"/>
    </xf>
    <xf numFmtId="0" fontId="5" fillId="0" borderId="49" xfId="371" applyFont="1" applyBorder="1" applyAlignment="1">
      <alignment horizontal="center"/>
    </xf>
    <xf numFmtId="0" fontId="66" fillId="63" borderId="0" xfId="372" applyFont="1" applyFill="1" applyBorder="1" applyAlignment="1">
      <alignment horizontal="center"/>
    </xf>
    <xf numFmtId="0" fontId="5" fillId="0" borderId="7" xfId="372" applyFont="1" applyBorder="1" applyAlignment="1">
      <alignment horizontal="center" wrapText="1"/>
    </xf>
    <xf numFmtId="0" fontId="5" fillId="0" borderId="5" xfId="372" applyFont="1" applyFill="1" applyBorder="1" applyAlignment="1">
      <alignment horizontal="center" textRotation="90" wrapText="1"/>
    </xf>
  </cellXfs>
  <cellStyles count="536">
    <cellStyle name="20% - Accent1 2" xfId="37"/>
    <cellStyle name="20% - Accent1 2 2" xfId="38"/>
    <cellStyle name="20% - Accent1 3" xfId="39"/>
    <cellStyle name="20% - Accent1 3 2" xfId="374"/>
    <cellStyle name="20% - Accent1 4" xfId="375"/>
    <cellStyle name="20% - Accent1 4 2" xfId="376"/>
    <cellStyle name="20% - Accent1 5" xfId="377"/>
    <cellStyle name="20% - Accent2 2" xfId="40"/>
    <cellStyle name="20% - Accent2 2 2" xfId="378"/>
    <cellStyle name="20% - Accent2 3" xfId="41"/>
    <cellStyle name="20% - Accent2 3 2" xfId="379"/>
    <cellStyle name="20% - Accent2 4" xfId="380"/>
    <cellStyle name="20% - Accent2 4 2" xfId="381"/>
    <cellStyle name="20% - Accent2 5" xfId="382"/>
    <cellStyle name="20% - Accent3 2" xfId="42"/>
    <cellStyle name="20% - Accent3 2 2" xfId="43"/>
    <cellStyle name="20% - Accent3 3" xfId="44"/>
    <cellStyle name="20% - Accent3 3 2" xfId="383"/>
    <cellStyle name="20% - Accent3 4" xfId="384"/>
    <cellStyle name="20% - Accent3 4 2" xfId="385"/>
    <cellStyle name="20% - Accent3 5" xfId="386"/>
    <cellStyle name="20% - Accent4 2" xfId="45"/>
    <cellStyle name="20% - Accent4 2 2" xfId="46"/>
    <cellStyle name="20% - Accent4 3" xfId="47"/>
    <cellStyle name="20% - Accent4 3 2" xfId="387"/>
    <cellStyle name="20% - Accent4 4" xfId="388"/>
    <cellStyle name="20% - Accent4 4 2" xfId="389"/>
    <cellStyle name="20% - Accent4 5" xfId="390"/>
    <cellStyle name="20% - Accent5 2" xfId="48"/>
    <cellStyle name="20% - Accent5 2 2" xfId="391"/>
    <cellStyle name="20% - Accent5 3" xfId="49"/>
    <cellStyle name="20% - Accent5 3 2" xfId="392"/>
    <cellStyle name="20% - Accent5 4" xfId="393"/>
    <cellStyle name="20% - Accent5 4 2" xfId="394"/>
    <cellStyle name="20% - Accent5 5" xfId="395"/>
    <cellStyle name="20% - Accent6 2" xfId="50"/>
    <cellStyle name="20% - Accent6 2 2" xfId="396"/>
    <cellStyle name="20% - Accent6 3" xfId="51"/>
    <cellStyle name="20% - Accent6 3 2" xfId="397"/>
    <cellStyle name="20% - Accent6 4" xfId="398"/>
    <cellStyle name="20% - Accent6 4 2" xfId="399"/>
    <cellStyle name="20% - Accent6 5" xfId="400"/>
    <cellStyle name="40% - Accent1 2" xfId="52"/>
    <cellStyle name="40% - Accent1 2 2" xfId="53"/>
    <cellStyle name="40% - Accent1 3" xfId="54"/>
    <cellStyle name="40% - Accent1 3 2" xfId="401"/>
    <cellStyle name="40% - Accent1 4" xfId="402"/>
    <cellStyle name="40% - Accent1 4 2" xfId="403"/>
    <cellStyle name="40% - Accent1 5" xfId="404"/>
    <cellStyle name="40% - Accent2 2" xfId="55"/>
    <cellStyle name="40% - Accent2 2 2" xfId="56"/>
    <cellStyle name="40% - Accent2 3" xfId="57"/>
    <cellStyle name="40% - Accent2 3 2" xfId="405"/>
    <cellStyle name="40% - Accent2 4" xfId="406"/>
    <cellStyle name="40% - Accent2 4 2" xfId="407"/>
    <cellStyle name="40% - Accent2 5" xfId="408"/>
    <cellStyle name="40% - Accent3 2" xfId="58"/>
    <cellStyle name="40% - Accent3 2 2" xfId="59"/>
    <cellStyle name="40% - Accent3 3" xfId="60"/>
    <cellStyle name="40% - Accent3 3 2" xfId="409"/>
    <cellStyle name="40% - Accent3 4" xfId="410"/>
    <cellStyle name="40% - Accent3 4 2" xfId="411"/>
    <cellStyle name="40% - Accent3 5" xfId="412"/>
    <cellStyle name="40% - Accent4 2" xfId="61"/>
    <cellStyle name="40% - Accent4 2 2" xfId="62"/>
    <cellStyle name="40% - Accent4 3" xfId="63"/>
    <cellStyle name="40% - Accent4 3 2" xfId="413"/>
    <cellStyle name="40% - Accent4 4" xfId="414"/>
    <cellStyle name="40% - Accent4 4 2" xfId="415"/>
    <cellStyle name="40% - Accent4 5" xfId="416"/>
    <cellStyle name="40% - Accent5 2" xfId="64"/>
    <cellStyle name="40% - Accent5 2 2" xfId="417"/>
    <cellStyle name="40% - Accent5 3" xfId="65"/>
    <cellStyle name="40% - Accent5 3 2" xfId="418"/>
    <cellStyle name="40% - Accent5 4" xfId="419"/>
    <cellStyle name="40% - Accent5 4 2" xfId="420"/>
    <cellStyle name="40% - Accent5 5" xfId="421"/>
    <cellStyle name="40% - Accent6 2" xfId="66"/>
    <cellStyle name="40% - Accent6 2 2" xfId="67"/>
    <cellStyle name="40% - Accent6 3" xfId="68"/>
    <cellStyle name="40% - Accent6 3 2" xfId="422"/>
    <cellStyle name="40% - Accent6 4" xfId="423"/>
    <cellStyle name="40% - Accent6 4 2" xfId="424"/>
    <cellStyle name="40% - Accent6 5" xfId="425"/>
    <cellStyle name="60% - Accent1 2" xfId="69"/>
    <cellStyle name="60% - Accent1 2 2" xfId="70"/>
    <cellStyle name="60% - Accent1 3" xfId="71"/>
    <cellStyle name="60% - Accent2 2" xfId="72"/>
    <cellStyle name="60% - Accent2 2 2" xfId="73"/>
    <cellStyle name="60% - Accent2 3" xfId="74"/>
    <cellStyle name="60% - Accent3 2" xfId="75"/>
    <cellStyle name="60% - Accent3 2 2" xfId="76"/>
    <cellStyle name="60% - Accent3 3" xfId="77"/>
    <cellStyle name="60% - Accent4 2" xfId="78"/>
    <cellStyle name="60% - Accent4 2 2" xfId="79"/>
    <cellStyle name="60% - Accent4 3" xfId="80"/>
    <cellStyle name="60% - Accent5 2" xfId="81"/>
    <cellStyle name="60% - Accent5 3" xfId="82"/>
    <cellStyle name="60% - Accent6 2" xfId="83"/>
    <cellStyle name="60% - Accent6 2 2" xfId="84"/>
    <cellStyle name="60% - Accent6 3" xfId="85"/>
    <cellStyle name="Accent1 - 20%" xfId="86"/>
    <cellStyle name="Accent1 - 40%" xfId="87"/>
    <cellStyle name="Accent1 - 60%" xfId="88"/>
    <cellStyle name="Accent1 2" xfId="89"/>
    <cellStyle name="Accent1 2 2" xfId="90"/>
    <cellStyle name="Accent1 3" xfId="91"/>
    <cellStyle name="Accent2 - 20%" xfId="92"/>
    <cellStyle name="Accent2 - 40%" xfId="93"/>
    <cellStyle name="Accent2 - 60%" xfId="94"/>
    <cellStyle name="Accent2 2" xfId="95"/>
    <cellStyle name="Accent2 3" xfId="96"/>
    <cellStyle name="Accent3 - 20%" xfId="97"/>
    <cellStyle name="Accent3 - 40%" xfId="98"/>
    <cellStyle name="Accent3 - 60%" xfId="99"/>
    <cellStyle name="Accent3 2" xfId="100"/>
    <cellStyle name="Accent3 2 2" xfId="101"/>
    <cellStyle name="Accent3 3" xfId="102"/>
    <cellStyle name="Accent4 - 20%" xfId="103"/>
    <cellStyle name="Accent4 - 40%" xfId="104"/>
    <cellStyle name="Accent4 - 60%" xfId="105"/>
    <cellStyle name="Accent4 2" xfId="106"/>
    <cellStyle name="Accent4 2 2" xfId="107"/>
    <cellStyle name="Accent4 3" xfId="108"/>
    <cellStyle name="Accent5 - 20%" xfId="109"/>
    <cellStyle name="Accent5 - 40%" xfId="110"/>
    <cellStyle name="Accent5 - 60%" xfId="111"/>
    <cellStyle name="Accent5 2" xfId="112"/>
    <cellStyle name="Accent5 3" xfId="113"/>
    <cellStyle name="Accent6 - 20%" xfId="114"/>
    <cellStyle name="Accent6 - 40%" xfId="115"/>
    <cellStyle name="Accent6 - 60%" xfId="116"/>
    <cellStyle name="Accent6 2" xfId="117"/>
    <cellStyle name="Accent6 3" xfId="118"/>
    <cellStyle name="Bad 2" xfId="119"/>
    <cellStyle name="Bad 2 2" xfId="120"/>
    <cellStyle name="Bad 3" xfId="121"/>
    <cellStyle name="Calculation 2" xfId="122"/>
    <cellStyle name="Calculation 2 2" xfId="123"/>
    <cellStyle name="Calculation 3" xfId="124"/>
    <cellStyle name="Check Cell 2" xfId="125"/>
    <cellStyle name="Check Cell 3" xfId="126"/>
    <cellStyle name="Comma" xfId="368" builtinId="3"/>
    <cellStyle name="Comma [0] 2" xfId="127"/>
    <cellStyle name="Comma 10" xfId="373"/>
    <cellStyle name="Comma 11" xfId="426"/>
    <cellStyle name="Comma 2" xfId="16"/>
    <cellStyle name="Comma 2 2" xfId="128"/>
    <cellStyle name="Comma 2 2 2" xfId="129"/>
    <cellStyle name="Comma 2 2 3" xfId="130"/>
    <cellStyle name="Comma 2 2 3 2" xfId="427"/>
    <cellStyle name="Comma 2 2 4" xfId="428"/>
    <cellStyle name="Comma 2 2 4 2" xfId="429"/>
    <cellStyle name="Comma 2 2 5" xfId="430"/>
    <cellStyle name="Comma 2 2 5 2" xfId="431"/>
    <cellStyle name="Comma 2 2 6" xfId="432"/>
    <cellStyle name="Comma 2 2 6 2" xfId="433"/>
    <cellStyle name="Comma 2 2 7" xfId="434"/>
    <cellStyle name="Comma 2 2 8" xfId="435"/>
    <cellStyle name="Comma 2 3" xfId="131"/>
    <cellStyle name="Comma 2 3 2" xfId="436"/>
    <cellStyle name="Comma 2 4" xfId="132"/>
    <cellStyle name="Comma 2 5" xfId="133"/>
    <cellStyle name="Comma 3" xfId="11"/>
    <cellStyle name="Comma 3 10" xfId="437"/>
    <cellStyle name="Comma 3 2" xfId="134"/>
    <cellStyle name="Comma 3 2 2" xfId="135"/>
    <cellStyle name="Comma 3 2 3" xfId="136"/>
    <cellStyle name="Comma 3 3" xfId="137"/>
    <cellStyle name="Comma 3 3 2" xfId="138"/>
    <cellStyle name="Comma 3 3 3" xfId="139"/>
    <cellStyle name="Comma 3 3 4" xfId="140"/>
    <cellStyle name="Comma 3 4" xfId="141"/>
    <cellStyle name="Comma 3 4 2" xfId="438"/>
    <cellStyle name="Comma 3 5" xfId="439"/>
    <cellStyle name="Comma 3 5 2" xfId="440"/>
    <cellStyle name="Comma 3 6" xfId="441"/>
    <cellStyle name="Comma 3 6 2" xfId="442"/>
    <cellStyle name="Comma 3 7" xfId="443"/>
    <cellStyle name="Comma 3 8" xfId="444"/>
    <cellStyle name="Comma 3 9" xfId="445"/>
    <cellStyle name="Comma 4" xfId="142"/>
    <cellStyle name="Comma 4 2" xfId="143"/>
    <cellStyle name="Comma 4 2 2" xfId="144"/>
    <cellStyle name="Comma 4 3" xfId="145"/>
    <cellStyle name="Comma 5" xfId="146"/>
    <cellStyle name="Comma 5 2" xfId="147"/>
    <cellStyle name="Comma 5 3" xfId="148"/>
    <cellStyle name="Comma 6" xfId="149"/>
    <cellStyle name="Comma 7" xfId="150"/>
    <cellStyle name="Comma 8" xfId="151"/>
    <cellStyle name="Comma 9" xfId="446"/>
    <cellStyle name="Currency" xfId="1" builtinId="4"/>
    <cellStyle name="Currency 2" xfId="17"/>
    <cellStyle name="Currency 2 2" xfId="152"/>
    <cellStyle name="Currency 2 2 2" xfId="153"/>
    <cellStyle name="Currency 2 2 3" xfId="154"/>
    <cellStyle name="Currency 2 3" xfId="155"/>
    <cellStyle name="Currency 2 4" xfId="156"/>
    <cellStyle name="Currency 2 5" xfId="157"/>
    <cellStyle name="Currency 3" xfId="18"/>
    <cellStyle name="Currency 3 2" xfId="158"/>
    <cellStyle name="Currency 3 2 2" xfId="159"/>
    <cellStyle name="Currency 3 2 3" xfId="160"/>
    <cellStyle name="Currency 3 3" xfId="161"/>
    <cellStyle name="Currency 3 4" xfId="162"/>
    <cellStyle name="Currency 3 5" xfId="447"/>
    <cellStyle name="Currency 4" xfId="19"/>
    <cellStyle name="Currency 4 2" xfId="448"/>
    <cellStyle name="Currency 4 3" xfId="449"/>
    <cellStyle name="Currency 5" xfId="163"/>
    <cellStyle name="Currency 5 2" xfId="164"/>
    <cellStyle name="Currency 5 2 2" xfId="165"/>
    <cellStyle name="Currency 5 3" xfId="166"/>
    <cellStyle name="Currency 6" xfId="167"/>
    <cellStyle name="Currency 6 2" xfId="168"/>
    <cellStyle name="Currency 7" xfId="169"/>
    <cellStyle name="Currency 7 2" xfId="170"/>
    <cellStyle name="Currency 8" xfId="171"/>
    <cellStyle name="Data Field" xfId="4"/>
    <cellStyle name="Data Field 2" xfId="172"/>
    <cellStyle name="Data Field 2 2" xfId="173"/>
    <cellStyle name="Data Field 2 3" xfId="174"/>
    <cellStyle name="Data Field 3" xfId="175"/>
    <cellStyle name="Data Field 4" xfId="176"/>
    <cellStyle name="Data Field 5" xfId="450"/>
    <cellStyle name="Data Name" xfId="5"/>
    <cellStyle name="Data Name 2" xfId="20"/>
    <cellStyle name="Data Name 2 2" xfId="451"/>
    <cellStyle name="Data Name 3" xfId="452"/>
    <cellStyle name="Data Name 4" xfId="453"/>
    <cellStyle name="Date/Time" xfId="6"/>
    <cellStyle name="Emphasis 1" xfId="177"/>
    <cellStyle name="Emphasis 2" xfId="178"/>
    <cellStyle name="Emphasis 3" xfId="179"/>
    <cellStyle name="Explanatory Text 2" xfId="180"/>
    <cellStyle name="Explanatory Text 3" xfId="181"/>
    <cellStyle name="Good 2" xfId="182"/>
    <cellStyle name="Good 3" xfId="183"/>
    <cellStyle name="Heading" xfId="7"/>
    <cellStyle name="Heading 1 2" xfId="184"/>
    <cellStyle name="Heading 1 2 2" xfId="185"/>
    <cellStyle name="Heading 1 3" xfId="186"/>
    <cellStyle name="Heading 2 2" xfId="21"/>
    <cellStyle name="Heading 2 3" xfId="22"/>
    <cellStyle name="Heading 3 2" xfId="187"/>
    <cellStyle name="Heading 3 2 2" xfId="188"/>
    <cellStyle name="Heading 3 3" xfId="189"/>
    <cellStyle name="Heading 4 2" xfId="190"/>
    <cellStyle name="Heading 4 2 2" xfId="191"/>
    <cellStyle name="Heading 4 3" xfId="192"/>
    <cellStyle name="Hyperlink 2" xfId="23"/>
    <cellStyle name="Hyperlink 2 2" xfId="24"/>
    <cellStyle name="Hyperlink 2 2 2" xfId="193"/>
    <cellStyle name="Hyperlink 2 3" xfId="454"/>
    <cellStyle name="Hyperlink 2_ResWXMF_FY10v2_0" xfId="194"/>
    <cellStyle name="Hyperlink 3" xfId="195"/>
    <cellStyle name="Hyperlink 3 2" xfId="196"/>
    <cellStyle name="Hyperlink 3 2 2" xfId="197"/>
    <cellStyle name="Hyperlink 4" xfId="198"/>
    <cellStyle name="Hyperlink 5" xfId="199"/>
    <cellStyle name="Hyperlink 6" xfId="200"/>
    <cellStyle name="Hyperlink 7" xfId="201"/>
    <cellStyle name="Hyperlink 8" xfId="202"/>
    <cellStyle name="Input 2" xfId="203"/>
    <cellStyle name="Input 3" xfId="204"/>
    <cellStyle name="Linked Cell 2" xfId="205"/>
    <cellStyle name="Linked Cell 3" xfId="206"/>
    <cellStyle name="Neutral 2" xfId="207"/>
    <cellStyle name="Neutral 3" xfId="208"/>
    <cellStyle name="Normal" xfId="0" builtinId="0"/>
    <cellStyle name="Normal 10" xfId="209"/>
    <cellStyle name="Normal 10 2" xfId="210"/>
    <cellStyle name="Normal 11" xfId="211"/>
    <cellStyle name="Normal 11 2" xfId="455"/>
    <cellStyle name="Normal 12" xfId="212"/>
    <cellStyle name="Normal 12 2" xfId="456"/>
    <cellStyle name="Normal 13" xfId="213"/>
    <cellStyle name="Normal 13 2" xfId="214"/>
    <cellStyle name="Normal 13 3" xfId="215"/>
    <cellStyle name="Normal 14" xfId="216"/>
    <cellStyle name="Normal 14 2" xfId="217"/>
    <cellStyle name="Normal 14 2 2" xfId="218"/>
    <cellStyle name="Normal 14 3" xfId="219"/>
    <cellStyle name="Normal 14 3 2" xfId="220"/>
    <cellStyle name="Normal 14 4" xfId="221"/>
    <cellStyle name="Normal 14 5" xfId="457"/>
    <cellStyle name="Normal 15" xfId="222"/>
    <cellStyle name="Normal 15 2" xfId="223"/>
    <cellStyle name="Normal 15 2 2" xfId="224"/>
    <cellStyle name="Normal 15 3" xfId="225"/>
    <cellStyle name="Normal 15 4" xfId="226"/>
    <cellStyle name="Normal 15 5" xfId="458"/>
    <cellStyle name="Normal 16" xfId="227"/>
    <cellStyle name="Normal 16 2" xfId="228"/>
    <cellStyle name="Normal 16 3" xfId="229"/>
    <cellStyle name="Normal 16 4" xfId="459"/>
    <cellStyle name="Normal 17" xfId="230"/>
    <cellStyle name="Normal 17 2" xfId="231"/>
    <cellStyle name="Normal 18" xfId="232"/>
    <cellStyle name="Normal 19" xfId="233"/>
    <cellStyle name="Normal 2" xfId="9"/>
    <cellStyle name="Normal 2 10" xfId="460"/>
    <cellStyle name="Normal 2 11" xfId="461"/>
    <cellStyle name="Normal 2 12" xfId="462"/>
    <cellStyle name="Normal 2 2" xfId="12"/>
    <cellStyle name="Normal 2 2 2" xfId="234"/>
    <cellStyle name="Normal 2 2 2 2" xfId="235"/>
    <cellStyle name="Normal 2 2 2 3" xfId="236"/>
    <cellStyle name="Normal 2 2 3" xfId="237"/>
    <cellStyle name="Normal 2 2 3 2" xfId="238"/>
    <cellStyle name="Normal 2 2 3 3" xfId="239"/>
    <cellStyle name="Normal 2 2 4" xfId="240"/>
    <cellStyle name="Normal 2 2 4 2" xfId="463"/>
    <cellStyle name="Normal 2 2 5" xfId="464"/>
    <cellStyle name="Normal 2 2 6" xfId="465"/>
    <cellStyle name="Normal 2 3" xfId="25"/>
    <cellStyle name="Normal 2 3 2" xfId="241"/>
    <cellStyle name="Normal 2 3 2 2" xfId="242"/>
    <cellStyle name="Normal 2 3 2 2 2" xfId="243"/>
    <cellStyle name="Normal 2 3 2 3" xfId="466"/>
    <cellStyle name="Normal 2 3 3" xfId="244"/>
    <cellStyle name="Normal 2 3 3 2" xfId="245"/>
    <cellStyle name="Normal 2 3 4" xfId="467"/>
    <cellStyle name="Normal 2 4" xfId="246"/>
    <cellStyle name="Normal 2 4 2" xfId="247"/>
    <cellStyle name="Normal 2 4 2 2" xfId="248"/>
    <cellStyle name="Normal 2 4 2 3" xfId="249"/>
    <cellStyle name="Normal 2 4 2 4" xfId="250"/>
    <cellStyle name="Normal 2 4 3" xfId="251"/>
    <cellStyle name="Normal 2 5" xfId="252"/>
    <cellStyle name="Normal 2 5 2" xfId="468"/>
    <cellStyle name="Normal 2 6" xfId="253"/>
    <cellStyle name="Normal 2 6 2" xfId="254"/>
    <cellStyle name="Normal 2 6 2 2" xfId="255"/>
    <cellStyle name="Normal 2 6 2 3" xfId="256"/>
    <cellStyle name="Normal 2 6 3" xfId="257"/>
    <cellStyle name="Normal 2 6 3 2" xfId="258"/>
    <cellStyle name="Normal 2 6 4" xfId="259"/>
    <cellStyle name="Normal 2 6 4 2" xfId="260"/>
    <cellStyle name="Normal 2 6 5" xfId="261"/>
    <cellStyle name="Normal 2 6 6" xfId="262"/>
    <cellStyle name="Normal 2 7" xfId="263"/>
    <cellStyle name="Normal 2 7 2" xfId="264"/>
    <cellStyle name="Normal 2 7 2 2" xfId="265"/>
    <cellStyle name="Normal 2 7 3" xfId="266"/>
    <cellStyle name="Normal 2 8" xfId="267"/>
    <cellStyle name="Normal 2 8 2" xfId="469"/>
    <cellStyle name="Normal 2 9" xfId="268"/>
    <cellStyle name="Normal 2 9 2" xfId="470"/>
    <cellStyle name="Normal 2_EStarLighting_ExistingFY10v1_5_CWv1" xfId="26"/>
    <cellStyle name="Normal 20" xfId="269"/>
    <cellStyle name="Normal 21" xfId="270"/>
    <cellStyle name="Normal 22" xfId="271"/>
    <cellStyle name="Normal 23" xfId="272"/>
    <cellStyle name="Normal 24" xfId="273"/>
    <cellStyle name="Normal 25" xfId="274"/>
    <cellStyle name="Normal 26" xfId="275"/>
    <cellStyle name="Normal 27" xfId="276"/>
    <cellStyle name="Normal 28" xfId="277"/>
    <cellStyle name="Normal 29" xfId="278"/>
    <cellStyle name="Normal 3" xfId="13"/>
    <cellStyle name="Normal 3 2" xfId="27"/>
    <cellStyle name="Normal 3 2 2" xfId="279"/>
    <cellStyle name="Normal 3 2 3" xfId="280"/>
    <cellStyle name="Normal 3 3" xfId="281"/>
    <cellStyle name="Normal 3 3 2" xfId="282"/>
    <cellStyle name="Normal 3 3 2 2" xfId="283"/>
    <cellStyle name="Normal 3 4" xfId="284"/>
    <cellStyle name="Normal 3 4 2" xfId="471"/>
    <cellStyle name="Normal 3 5" xfId="472"/>
    <cellStyle name="Normal 3 66" xfId="285"/>
    <cellStyle name="Normal 30" xfId="286"/>
    <cellStyle name="Normal 31" xfId="287"/>
    <cellStyle name="Normal 32" xfId="288"/>
    <cellStyle name="Normal 33" xfId="289"/>
    <cellStyle name="Normal 34" xfId="290"/>
    <cellStyle name="Normal 35" xfId="291"/>
    <cellStyle name="Normal 36" xfId="292"/>
    <cellStyle name="Normal 37" xfId="293"/>
    <cellStyle name="Normal 38" xfId="294"/>
    <cellStyle name="Normal 39" xfId="295"/>
    <cellStyle name="Normal 4" xfId="14"/>
    <cellStyle name="Normal 4 2" xfId="28"/>
    <cellStyle name="Normal 4 2 2" xfId="473"/>
    <cellStyle name="Normal 4 3" xfId="296"/>
    <cellStyle name="Normal 4 3 2" xfId="297"/>
    <cellStyle name="Normal 4 3 2 2" xfId="298"/>
    <cellStyle name="Normal 4 3 2 3" xfId="299"/>
    <cellStyle name="Normal 4 3 3" xfId="300"/>
    <cellStyle name="Normal 4 3 4" xfId="474"/>
    <cellStyle name="Normal 4 4" xfId="301"/>
    <cellStyle name="Normal 4 4 2" xfId="302"/>
    <cellStyle name="Normal 4 4 3" xfId="303"/>
    <cellStyle name="Normal 4 5" xfId="304"/>
    <cellStyle name="Normal 4 5 2" xfId="305"/>
    <cellStyle name="Normal 4 5 3" xfId="306"/>
    <cellStyle name="Normal 4 6" xfId="307"/>
    <cellStyle name="Normal 4 7" xfId="308"/>
    <cellStyle name="Normal 4 8" xfId="475"/>
    <cellStyle name="Normal 40" xfId="309"/>
    <cellStyle name="Normal 41" xfId="310"/>
    <cellStyle name="Normal 42" xfId="311"/>
    <cellStyle name="Normal 43" xfId="312"/>
    <cellStyle name="Normal 44" xfId="313"/>
    <cellStyle name="Normal 45" xfId="314"/>
    <cellStyle name="Normal 46" xfId="315"/>
    <cellStyle name="Normal 47" xfId="316"/>
    <cellStyle name="Normal 48" xfId="317"/>
    <cellStyle name="Normal 48 2" xfId="318"/>
    <cellStyle name="Normal 49" xfId="319"/>
    <cellStyle name="Normal 5" xfId="320"/>
    <cellStyle name="Normal 5 2" xfId="321"/>
    <cellStyle name="Normal 5 2 2" xfId="476"/>
    <cellStyle name="Normal 5 3" xfId="477"/>
    <cellStyle name="Normal 5 3 2" xfId="478"/>
    <cellStyle name="Normal 5 4" xfId="479"/>
    <cellStyle name="Normal 5 4 2" xfId="480"/>
    <cellStyle name="Normal 5 5" xfId="481"/>
    <cellStyle name="Normal 5 5 2" xfId="482"/>
    <cellStyle name="Normal 5 6" xfId="483"/>
    <cellStyle name="Normal 5 6 2" xfId="484"/>
    <cellStyle name="Normal 5 7" xfId="485"/>
    <cellStyle name="Normal 50" xfId="322"/>
    <cellStyle name="Normal 51" xfId="486"/>
    <cellStyle name="Normal 6" xfId="323"/>
    <cellStyle name="Normal 6 2" xfId="487"/>
    <cellStyle name="Normal 6 3" xfId="488"/>
    <cellStyle name="Normal 6 4" xfId="489"/>
    <cellStyle name="Normal 6 5" xfId="490"/>
    <cellStyle name="Normal 7" xfId="324"/>
    <cellStyle name="Normal 7 2" xfId="325"/>
    <cellStyle name="Normal 7 2 2" xfId="491"/>
    <cellStyle name="Normal 7 3" xfId="492"/>
    <cellStyle name="Normal 8" xfId="326"/>
    <cellStyle name="Normal 8 2" xfId="327"/>
    <cellStyle name="Normal 8 2 2" xfId="493"/>
    <cellStyle name="Normal 8 3" xfId="494"/>
    <cellStyle name="Normal 9" xfId="328"/>
    <cellStyle name="Normal 9 2" xfId="329"/>
    <cellStyle name="Normal 9 3" xfId="330"/>
    <cellStyle name="Normal_Costs and Savings" xfId="370"/>
    <cellStyle name="Normal_GeoHP" xfId="369"/>
    <cellStyle name="Normal_GMI_LargeMotorsSavings_RTF" xfId="372"/>
    <cellStyle name="Normal_MTDUCT" xfId="2"/>
    <cellStyle name="Normal_MTRESAPPLPOT" xfId="36"/>
    <cellStyle name="Normal_PC-LPDPackage-6P-D14" xfId="35"/>
    <cellStyle name="Normal_PremiumMotorsRev-Rev05" xfId="371"/>
    <cellStyle name="Normal_ProCostFinAssumptions_Sector" xfId="3"/>
    <cellStyle name="Normal_ResDHW_2_0gpmShowerheads_FY07v1_0" xfId="15"/>
    <cellStyle name="Note 2" xfId="29"/>
    <cellStyle name="Note 2 2" xfId="331"/>
    <cellStyle name="Note 2 2 2" xfId="495"/>
    <cellStyle name="Note 2 3" xfId="496"/>
    <cellStyle name="Note 2 3 2" xfId="497"/>
    <cellStyle name="Note 2 4" xfId="498"/>
    <cellStyle name="Note 2 4 2" xfId="499"/>
    <cellStyle name="Note 2 5" xfId="500"/>
    <cellStyle name="Note 3" xfId="30"/>
    <cellStyle name="Output 2" xfId="332"/>
    <cellStyle name="Output 2 2" xfId="333"/>
    <cellStyle name="Output 3" xfId="334"/>
    <cellStyle name="Percent" xfId="8" builtinId="5"/>
    <cellStyle name="Percent 2" xfId="31"/>
    <cellStyle name="Percent 2 10" xfId="501"/>
    <cellStyle name="Percent 2 2" xfId="32"/>
    <cellStyle name="Percent 2 2 2" xfId="335"/>
    <cellStyle name="Percent 2 2 2 2" xfId="336"/>
    <cellStyle name="Percent 2 2 2 2 2" xfId="502"/>
    <cellStyle name="Percent 2 2 2 3" xfId="337"/>
    <cellStyle name="Percent 2 2 3" xfId="338"/>
    <cellStyle name="Percent 2 2 4" xfId="339"/>
    <cellStyle name="Percent 2 3" xfId="340"/>
    <cellStyle name="Percent 2 3 2" xfId="341"/>
    <cellStyle name="Percent 2 3 2 2" xfId="503"/>
    <cellStyle name="Percent 2 3 2 2 2" xfId="504"/>
    <cellStyle name="Percent 2 3 2 3" xfId="505"/>
    <cellStyle name="Percent 2 3 2 3 2" xfId="506"/>
    <cellStyle name="Percent 2 3 2 4" xfId="507"/>
    <cellStyle name="Percent 2 3 2 4 2" xfId="508"/>
    <cellStyle name="Percent 2 3 2 5" xfId="509"/>
    <cellStyle name="Percent 2 3 2 6" xfId="510"/>
    <cellStyle name="Percent 2 3 3" xfId="342"/>
    <cellStyle name="Percent 2 4" xfId="511"/>
    <cellStyle name="Percent 2 4 2" xfId="512"/>
    <cellStyle name="Percent 2 4 3" xfId="513"/>
    <cellStyle name="Percent 2 5" xfId="514"/>
    <cellStyle name="Percent 2 5 2" xfId="515"/>
    <cellStyle name="Percent 2 6" xfId="516"/>
    <cellStyle name="Percent 2 6 2" xfId="517"/>
    <cellStyle name="Percent 2 7" xfId="518"/>
    <cellStyle name="Percent 2 7 2" xfId="519"/>
    <cellStyle name="Percent 2 8" xfId="520"/>
    <cellStyle name="Percent 2 9" xfId="521"/>
    <cellStyle name="Percent 3" xfId="10"/>
    <cellStyle name="Percent 3 2" xfId="343"/>
    <cellStyle name="Percent 3 2 2" xfId="344"/>
    <cellStyle name="Percent 3 2 2 2" xfId="522"/>
    <cellStyle name="Percent 3 2 3" xfId="345"/>
    <cellStyle name="Percent 3 2 3 2" xfId="523"/>
    <cellStyle name="Percent 3 2 4" xfId="524"/>
    <cellStyle name="Percent 3 2 4 2" xfId="525"/>
    <cellStyle name="Percent 3 2 5" xfId="526"/>
    <cellStyle name="Percent 3 2 5 2" xfId="527"/>
    <cellStyle name="Percent 3 2 6" xfId="528"/>
    <cellStyle name="Percent 3 2 7" xfId="529"/>
    <cellStyle name="Percent 3 2 8" xfId="530"/>
    <cellStyle name="Percent 3 3" xfId="346"/>
    <cellStyle name="Percent 3 4" xfId="347"/>
    <cellStyle name="Percent 3 5" xfId="531"/>
    <cellStyle name="Percent 4" xfId="348"/>
    <cellStyle name="Percent 4 2" xfId="349"/>
    <cellStyle name="Percent 4 2 2" xfId="532"/>
    <cellStyle name="Percent 4 3" xfId="533"/>
    <cellStyle name="Percent 5" xfId="350"/>
    <cellStyle name="Percent 5 2" xfId="534"/>
    <cellStyle name="Percent 6" xfId="351"/>
    <cellStyle name="Percent 6 2" xfId="352"/>
    <cellStyle name="Percent 7" xfId="353"/>
    <cellStyle name="Percent 8" xfId="354"/>
    <cellStyle name="Percent 9" xfId="535"/>
    <cellStyle name="Sheet Title" xfId="355"/>
    <cellStyle name="Style 1" xfId="356"/>
    <cellStyle name="Style 1 2" xfId="357"/>
    <cellStyle name="Style 28" xfId="358"/>
    <cellStyle name="Title 2" xfId="359"/>
    <cellStyle name="Title 2 2" xfId="360"/>
    <cellStyle name="Title 3" xfId="361"/>
    <cellStyle name="Total 2" xfId="362"/>
    <cellStyle name="Total 2 2" xfId="363"/>
    <cellStyle name="Total 3" xfId="364"/>
    <cellStyle name="Warning Text 2" xfId="365"/>
    <cellStyle name="Warning Text 3" xfId="366"/>
    <cellStyle name="표준 2_WP-1 보고자료 (2009.06.03)" xfId="367"/>
    <cellStyle name="표준_ENERGY CONSUMP" xfId="33"/>
    <cellStyle name="常规_海外市场服务网站资料操作BOM" xfId="3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3</xdr:col>
      <xdr:colOff>342899</xdr:colOff>
      <xdr:row>1</xdr:row>
      <xdr:rowOff>171450</xdr:rowOff>
    </xdr:from>
    <xdr:ext cx="3152776" cy="1371599"/>
    <xdr:sp macro="" textlink="">
      <xdr:nvSpPr>
        <xdr:cNvPr id="2" name="TextBox 1"/>
        <xdr:cNvSpPr txBox="1"/>
      </xdr:nvSpPr>
      <xdr:spPr>
        <a:xfrm>
          <a:off x="2857499" y="342900"/>
          <a:ext cx="3152776" cy="137159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Savings are based on two data sources: 1) Motor Master Manual (pg 31: 40 hp and less = 1.0%, greater than 40 hp = 0.5%); and 2) "The Effect of Repair/Rewinding on Motor Efficiency", EASA/AEMT (pp. 1-5: 6 motors in the 100-150 hp range rewound without controls lost 0.6% efficiency) From RTF Meeting presentation, July 7, 2009.</a:t>
          </a:r>
        </a:p>
      </xdr:txBody>
    </xdr:sp>
    <xdr:clientData/>
  </xdr:oneCellAnchor>
  <xdr:twoCellAnchor>
    <xdr:from>
      <xdr:col>1</xdr:col>
      <xdr:colOff>514350</xdr:colOff>
      <xdr:row>2</xdr:row>
      <xdr:rowOff>104775</xdr:rowOff>
    </xdr:from>
    <xdr:to>
      <xdr:col>3</xdr:col>
      <xdr:colOff>428625</xdr:colOff>
      <xdr:row>2</xdr:row>
      <xdr:rowOff>123825</xdr:rowOff>
    </xdr:to>
    <xdr:cxnSp macro="">
      <xdr:nvCxnSpPr>
        <xdr:cNvPr id="3" name="Straight Arrow Connector 2"/>
        <xdr:cNvCxnSpPr/>
      </xdr:nvCxnSpPr>
      <xdr:spPr bwMode="auto">
        <a:xfrm flipH="1">
          <a:off x="1638300" y="933450"/>
          <a:ext cx="1304925" cy="1905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571500</xdr:colOff>
      <xdr:row>6</xdr:row>
      <xdr:rowOff>28575</xdr:rowOff>
    </xdr:from>
    <xdr:to>
      <xdr:col>24</xdr:col>
      <xdr:colOff>295275</xdr:colOff>
      <xdr:row>40</xdr:row>
      <xdr:rowOff>123825</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10096500" y="1000125"/>
          <a:ext cx="5038725" cy="59912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47625</xdr:colOff>
      <xdr:row>0</xdr:row>
      <xdr:rowOff>57150</xdr:rowOff>
    </xdr:from>
    <xdr:to>
      <xdr:col>15</xdr:col>
      <xdr:colOff>285750</xdr:colOff>
      <xdr:row>17</xdr:row>
      <xdr:rowOff>57150</xdr:rowOff>
    </xdr:to>
    <xdr:grpSp>
      <xdr:nvGrpSpPr>
        <xdr:cNvPr id="2" name="Group 1"/>
        <xdr:cNvGrpSpPr>
          <a:grpSpLocks/>
        </xdr:cNvGrpSpPr>
      </xdr:nvGrpSpPr>
      <xdr:grpSpPr bwMode="auto">
        <a:xfrm>
          <a:off x="4495800" y="57150"/>
          <a:ext cx="4962525" cy="2752725"/>
          <a:chOff x="434" y="488"/>
          <a:chExt cx="537" cy="326"/>
        </a:xfrm>
      </xdr:grpSpPr>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34" y="488"/>
            <a:ext cx="537" cy="326"/>
          </a:xfrm>
          <a:prstGeom prst="rect">
            <a:avLst/>
          </a:prstGeom>
          <a:solidFill>
            <a:srgbClr val="FFFFFF"/>
          </a:solidFill>
          <a:ln>
            <a:noFill/>
          </a:ln>
          <a:extLs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4" name="Text Box 3"/>
          <xdr:cNvSpPr txBox="1">
            <a:spLocks noChangeArrowheads="1"/>
          </xdr:cNvSpPr>
        </xdr:nvSpPr>
        <xdr:spPr bwMode="auto">
          <a:xfrm>
            <a:off x="445" y="500"/>
            <a:ext cx="200" cy="18"/>
          </a:xfrm>
          <a:prstGeom prst="rect">
            <a:avLst/>
          </a:prstGeom>
          <a:solidFill>
            <a:srgbClr val="FFFFFF"/>
          </a:solidFill>
          <a:ln w="9525">
            <a:solidFill>
              <a:srgbClr val="000000"/>
            </a:solidFill>
            <a:miter lim="800000"/>
            <a:headEnd/>
            <a:tailEnd/>
          </a:ln>
        </xdr:spPr>
        <xdr:txBody>
          <a:bodyPr wrap="none" lIns="18288" tIns="22860" rIns="0" bIns="0" anchor="t" upright="1">
            <a:spAutoFit/>
          </a:bodyPr>
          <a:lstStyle/>
          <a:p>
            <a:pPr algn="l" rtl="0">
              <a:defRPr sz="1000"/>
            </a:pPr>
            <a:r>
              <a:rPr lang="en-US" sz="1000" b="0" i="0" u="none" strike="noStrike" baseline="0">
                <a:solidFill>
                  <a:srgbClr val="000000"/>
                </a:solidFill>
                <a:latin typeface="Arial"/>
                <a:cs typeface="Arial"/>
              </a:rPr>
              <a:t>From RTF Presentation 07-17-07</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g_Mast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TF/Measure%20Workbooks/Ag/AgGreenMotorRewind_v2_0.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Low)"/>
      <sheetName val="Ind Forecast (Base Case)"/>
      <sheetName val="Ind Forecast (High)"/>
      <sheetName val="Ag Forecast (Low)"/>
      <sheetName val="Ag Forecast (Base Case)"/>
      <sheetName val="Ag Forecast (High)"/>
      <sheetName val="Pop Forecast (High)"/>
      <sheetName val="Pop Forecast (Base Case)"/>
      <sheetName val="Pop Forecast (Low)"/>
      <sheetName val="DEI (Base Case)"/>
      <sheetName val="Dairy Forecast (Base Case)"/>
      <sheetName val="Dairy Forecast (Low)"/>
      <sheetName val="Dairy Forecast (High)"/>
      <sheetName val="EV Forecast (Base Case)"/>
      <sheetName val="EV Forecast (Low)"/>
      <sheetName val="EV Forecast (High)"/>
      <sheetName val="Pop Forecast (High Case)"/>
      <sheetName val="Pop Forecast (Low Case)"/>
      <sheetName val="7P Forecasts D2"/>
    </sheetNames>
    <definedNames>
      <definedName name="rng_ForecastColumnLookup" refersTo="='Forecast Switchboard'!$H$20:$AE$20"/>
      <definedName name="rng_ForecastRowLookup" refersTo="='Forecast Switchboard'!$G$21:$G$501"/>
      <definedName name="switch_ForecastScenario" refersTo="='Forecast Switchboard'!$H$3"/>
      <definedName name="tbl_Forecast" refersTo="='Forecast Switchboard'!$H$21:$AE$501"/>
    </definedNames>
    <sheetDataSet>
      <sheetData sheetId="0"/>
      <sheetData sheetId="1">
        <row r="3">
          <cell r="H3" t="str">
            <v>Base</v>
          </cell>
        </row>
        <row r="20">
          <cell r="H20" t="str">
            <v>Sector</v>
          </cell>
          <cell r="I20" t="str">
            <v>Building/Industry Type</v>
          </cell>
          <cell r="J20" t="str">
            <v>Vintage / Subcategory</v>
          </cell>
          <cell r="K20" t="str">
            <v>Forecast Units</v>
          </cell>
          <cell r="L20">
            <v>2016</v>
          </cell>
          <cell r="M20">
            <v>2017</v>
          </cell>
          <cell r="N20">
            <v>2018</v>
          </cell>
          <cell r="O20">
            <v>2019</v>
          </cell>
          <cell r="P20">
            <v>2020</v>
          </cell>
          <cell r="Q20">
            <v>2021</v>
          </cell>
          <cell r="R20">
            <v>2022</v>
          </cell>
          <cell r="S20">
            <v>2023</v>
          </cell>
          <cell r="T20">
            <v>2024</v>
          </cell>
          <cell r="U20">
            <v>2025</v>
          </cell>
          <cell r="V20">
            <v>2026</v>
          </cell>
          <cell r="W20">
            <v>2027</v>
          </cell>
          <cell r="X20">
            <v>2028</v>
          </cell>
          <cell r="Y20">
            <v>2029</v>
          </cell>
          <cell r="Z20">
            <v>2030</v>
          </cell>
          <cell r="AA20">
            <v>2031</v>
          </cell>
          <cell r="AB20">
            <v>2032</v>
          </cell>
          <cell r="AC20">
            <v>2033</v>
          </cell>
          <cell r="AD20">
            <v>2034</v>
          </cell>
          <cell r="AE20">
            <v>2035</v>
          </cell>
        </row>
        <row r="21">
          <cell r="G21" t="str">
            <v>RegionSingle FamilyNew</v>
          </cell>
          <cell r="H21" t="str">
            <v>Res</v>
          </cell>
          <cell r="I21" t="str">
            <v>Single Family</v>
          </cell>
          <cell r="J21" t="str">
            <v>New</v>
          </cell>
          <cell r="K21" t="str">
            <v>Buildings</v>
          </cell>
          <cell r="L21">
            <v>62685.758999999998</v>
          </cell>
          <cell r="M21">
            <v>59961.781000000003</v>
          </cell>
          <cell r="N21">
            <v>56834.012000000002</v>
          </cell>
          <cell r="O21">
            <v>54985.192999999999</v>
          </cell>
          <cell r="P21">
            <v>53507.474000000002</v>
          </cell>
          <cell r="Q21">
            <v>50982.05</v>
          </cell>
          <cell r="R21">
            <v>49561.669000000002</v>
          </cell>
          <cell r="S21">
            <v>49324.517999999996</v>
          </cell>
          <cell r="T21">
            <v>48815.77</v>
          </cell>
          <cell r="U21">
            <v>49683.252</v>
          </cell>
          <cell r="V21">
            <v>50030.137000000002</v>
          </cell>
          <cell r="W21">
            <v>49387.762999999999</v>
          </cell>
          <cell r="X21">
            <v>48079.345999999998</v>
          </cell>
          <cell r="Y21">
            <v>48129.050999999999</v>
          </cell>
          <cell r="Z21">
            <v>48690.569000000003</v>
          </cell>
          <cell r="AA21">
            <v>48482.864000000001</v>
          </cell>
          <cell r="AB21">
            <v>46879.000999999997</v>
          </cell>
          <cell r="AC21">
            <v>46798.777999999998</v>
          </cell>
          <cell r="AD21">
            <v>46917.627</v>
          </cell>
          <cell r="AE21">
            <v>47236.144999999997</v>
          </cell>
        </row>
        <row r="22">
          <cell r="G22" t="str">
            <v>RegionMultifamily - Low RiseNew</v>
          </cell>
          <cell r="H22" t="str">
            <v>Res</v>
          </cell>
          <cell r="I22" t="str">
            <v>Multifamily - Low Rise</v>
          </cell>
          <cell r="J22" t="str">
            <v>New</v>
          </cell>
          <cell r="K22" t="str">
            <v>Buildings</v>
          </cell>
          <cell r="L22">
            <v>23280.347100904564</v>
          </cell>
          <cell r="M22">
            <v>23017.418106038647</v>
          </cell>
          <cell r="N22">
            <v>22811.60852767331</v>
          </cell>
          <cell r="O22">
            <v>22085.916378202593</v>
          </cell>
          <cell r="P22">
            <v>20817.853908138593</v>
          </cell>
          <cell r="Q22">
            <v>20070.279329962508</v>
          </cell>
          <cell r="R22">
            <v>19887.831284331631</v>
          </cell>
          <cell r="S22">
            <v>20257.583209811291</v>
          </cell>
          <cell r="T22">
            <v>20750.368029493613</v>
          </cell>
          <cell r="U22">
            <v>21314.334279744231</v>
          </cell>
          <cell r="V22">
            <v>21403.286239774712</v>
          </cell>
          <cell r="W22">
            <v>21409.137516518917</v>
          </cell>
          <cell r="X22">
            <v>21443.358292282628</v>
          </cell>
          <cell r="Y22">
            <v>21209.865626522758</v>
          </cell>
          <cell r="Z22">
            <v>20954.17798283829</v>
          </cell>
          <cell r="AA22">
            <v>20525.44023202754</v>
          </cell>
          <cell r="AB22">
            <v>20175.505597554071</v>
          </cell>
          <cell r="AC22">
            <v>19919.723927484571</v>
          </cell>
          <cell r="AD22">
            <v>19536.194066416414</v>
          </cell>
          <cell r="AE22">
            <v>19462.287131015248</v>
          </cell>
        </row>
        <row r="23">
          <cell r="G23" t="str">
            <v>RegionMultifamily - High RiseNew</v>
          </cell>
          <cell r="H23" t="str">
            <v>Res</v>
          </cell>
          <cell r="I23" t="str">
            <v>Multifamily - High Rise</v>
          </cell>
          <cell r="J23" t="str">
            <v>New</v>
          </cell>
          <cell r="K23" t="str">
            <v>Buildings</v>
          </cell>
          <cell r="L23">
            <v>5226.2387411561367</v>
          </cell>
          <cell r="M23">
            <v>5239.95312759432</v>
          </cell>
          <cell r="N23">
            <v>5271.2612760989568</v>
          </cell>
          <cell r="O23">
            <v>4985.883552972361</v>
          </cell>
          <cell r="P23">
            <v>4608.5912035798974</v>
          </cell>
          <cell r="Q23">
            <v>4509.6375960361838</v>
          </cell>
          <cell r="R23">
            <v>4481.760351096189</v>
          </cell>
          <cell r="S23">
            <v>4621.8312800578688</v>
          </cell>
          <cell r="T23">
            <v>4700.9782942419988</v>
          </cell>
          <cell r="U23">
            <v>4828.2391631488581</v>
          </cell>
          <cell r="V23">
            <v>4790.0249139778334</v>
          </cell>
          <cell r="W23">
            <v>4782.0649962402858</v>
          </cell>
          <cell r="X23">
            <v>4748.3908346265653</v>
          </cell>
          <cell r="Y23">
            <v>4733.4823682495089</v>
          </cell>
          <cell r="Z23">
            <v>4698.697177079107</v>
          </cell>
          <cell r="AA23">
            <v>4599.2987885998937</v>
          </cell>
          <cell r="AB23">
            <v>4526.3104216428001</v>
          </cell>
          <cell r="AC23">
            <v>4422.0600452822764</v>
          </cell>
          <cell r="AD23">
            <v>4405.182362066379</v>
          </cell>
          <cell r="AE23">
            <v>4385.1136986120664</v>
          </cell>
        </row>
        <row r="24">
          <cell r="G24" t="str">
            <v>RegionManufacturedNew</v>
          </cell>
          <cell r="H24" t="str">
            <v>Res</v>
          </cell>
          <cell r="I24" t="str">
            <v>Manufactured</v>
          </cell>
          <cell r="J24" t="str">
            <v>New</v>
          </cell>
          <cell r="K24" t="str">
            <v>Buildings</v>
          </cell>
          <cell r="L24">
            <v>1869.5754050925925</v>
          </cell>
          <cell r="M24">
            <v>1881.796305941358</v>
          </cell>
          <cell r="N24">
            <v>1949.1340235982509</v>
          </cell>
          <cell r="O24">
            <v>2021.1963608646258</v>
          </cell>
          <cell r="P24">
            <v>1959.5061710087307</v>
          </cell>
          <cell r="Q24">
            <v>1928.5764356212967</v>
          </cell>
          <cell r="R24">
            <v>1934.9641170211423</v>
          </cell>
          <cell r="S24">
            <v>1945.862235675901</v>
          </cell>
          <cell r="T24">
            <v>1956.539890631658</v>
          </cell>
          <cell r="U24">
            <v>1957.7742018038925</v>
          </cell>
          <cell r="V24">
            <v>1947.2038419604366</v>
          </cell>
          <cell r="W24">
            <v>1945.153453785721</v>
          </cell>
          <cell r="X24">
            <v>1947.9162901464586</v>
          </cell>
          <cell r="Y24">
            <v>1950.0749856673444</v>
          </cell>
          <cell r="Z24">
            <v>1950.7771106659191</v>
          </cell>
          <cell r="AA24">
            <v>1949.8166473382953</v>
          </cell>
          <cell r="AB24">
            <v>1948.4903882606959</v>
          </cell>
          <cell r="AC24">
            <v>1948.7048126440727</v>
          </cell>
          <cell r="AD24">
            <v>1949.296705787131</v>
          </cell>
          <cell r="AE24">
            <v>1949.5267750605763</v>
          </cell>
        </row>
        <row r="25">
          <cell r="G25" t="str">
            <v>RegionSingle FamilyExisting</v>
          </cell>
          <cell r="H25" t="str">
            <v>Res</v>
          </cell>
          <cell r="I25" t="str">
            <v>Single Family</v>
          </cell>
          <cell r="J25" t="str">
            <v>Existing</v>
          </cell>
          <cell r="K25" t="str">
            <v>Buildings</v>
          </cell>
          <cell r="L25">
            <v>4203528.2719999999</v>
          </cell>
          <cell r="M25">
            <v>4193982.9785983553</v>
          </cell>
          <cell r="N25">
            <v>4184459.3604704877</v>
          </cell>
          <cell r="O25">
            <v>4174957.36839659</v>
          </cell>
          <cell r="P25">
            <v>4165476.9532686244</v>
          </cell>
          <cell r="Q25">
            <v>4156018.0660900641</v>
          </cell>
          <cell r="R25">
            <v>4146580.6579756448</v>
          </cell>
          <cell r="S25">
            <v>4137164.6801511091</v>
          </cell>
          <cell r="T25">
            <v>4127770.0839529554</v>
          </cell>
          <cell r="U25">
            <v>4118396.8208281873</v>
          </cell>
          <cell r="V25">
            <v>4109044.8423340586</v>
          </cell>
          <cell r="W25">
            <v>4099714.1001378288</v>
          </cell>
          <cell r="X25">
            <v>4090404.5460165106</v>
          </cell>
          <cell r="Y25">
            <v>4081116.1318566194</v>
          </cell>
          <cell r="Z25">
            <v>4071848.8096539262</v>
          </cell>
          <cell r="AA25">
            <v>4062602.5315132081</v>
          </cell>
          <cell r="AB25">
            <v>4053377.2496480034</v>
          </cell>
          <cell r="AC25">
            <v>4044172.9163803621</v>
          </cell>
          <cell r="AD25">
            <v>4034989.4841406001</v>
          </cell>
          <cell r="AE25">
            <v>4025826.9054670548</v>
          </cell>
        </row>
        <row r="26">
          <cell r="G26" t="str">
            <v>RegionMultifamily - Low RiseExisting</v>
          </cell>
          <cell r="H26" t="str">
            <v>Res</v>
          </cell>
          <cell r="I26" t="str">
            <v>Multifamily - Low Rise</v>
          </cell>
          <cell r="J26" t="str">
            <v>Existing</v>
          </cell>
          <cell r="K26" t="str">
            <v>Buildings</v>
          </cell>
          <cell r="L26">
            <v>926243.25609262148</v>
          </cell>
          <cell r="M26">
            <v>924139.92640956037</v>
          </cell>
          <cell r="N26">
            <v>922041.3730050053</v>
          </cell>
          <cell r="O26">
            <v>919947.58503289847</v>
          </cell>
          <cell r="P26">
            <v>917858.55167181045</v>
          </cell>
          <cell r="Q26">
            <v>915774.26212488639</v>
          </cell>
          <cell r="R26">
            <v>913694.70561978838</v>
          </cell>
          <cell r="S26">
            <v>911619.87140864041</v>
          </cell>
          <cell r="T26">
            <v>909549.74876797362</v>
          </cell>
          <cell r="U26">
            <v>907484.32699866977</v>
          </cell>
          <cell r="V26">
            <v>905423.59542590659</v>
          </cell>
          <cell r="W26">
            <v>903367.54339910217</v>
          </cell>
          <cell r="X26">
            <v>901316.16029185988</v>
          </cell>
          <cell r="Y26">
            <v>899269.43550191447</v>
          </cell>
          <cell r="Z26">
            <v>897227.35845107585</v>
          </cell>
          <cell r="AA26">
            <v>895189.9185851753</v>
          </cell>
          <cell r="AB26">
            <v>893157.10537401051</v>
          </cell>
          <cell r="AC26">
            <v>891128.90831129183</v>
          </cell>
          <cell r="AD26">
            <v>889105.31691458682</v>
          </cell>
          <cell r="AE26">
            <v>887086.32072526717</v>
          </cell>
        </row>
        <row r="27">
          <cell r="G27" t="str">
            <v>RegionMultifamily - High RiseExisting</v>
          </cell>
          <cell r="H27" t="str">
            <v>Res</v>
          </cell>
          <cell r="I27" t="str">
            <v>Multifamily - High Rise</v>
          </cell>
          <cell r="J27" t="str">
            <v>Existing</v>
          </cell>
          <cell r="K27" t="str">
            <v>Buildings</v>
          </cell>
          <cell r="L27">
            <v>211180.07985625503</v>
          </cell>
          <cell r="M27">
            <v>210700.52836963299</v>
          </cell>
          <cell r="N27">
            <v>210222.06585706791</v>
          </cell>
          <cell r="O27">
            <v>209744.68984569819</v>
          </cell>
          <cell r="P27">
            <v>209268.39786827751</v>
          </cell>
          <cell r="Q27">
            <v>208793.18746316229</v>
          </cell>
          <cell r="R27">
            <v>208319.05617429892</v>
          </cell>
          <cell r="S27">
            <v>207846.00155121088</v>
          </cell>
          <cell r="T27">
            <v>207374.0211489865</v>
          </cell>
          <cell r="U27">
            <v>206903.11252826577</v>
          </cell>
          <cell r="V27">
            <v>206433.27325522827</v>
          </cell>
          <cell r="W27">
            <v>205964.50090158021</v>
          </cell>
          <cell r="X27">
            <v>205496.79304454199</v>
          </cell>
          <cell r="Y27">
            <v>205030.14726683579</v>
          </cell>
          <cell r="Z27">
            <v>204564.56115667295</v>
          </cell>
          <cell r="AA27">
            <v>204100.03230774152</v>
          </cell>
          <cell r="AB27">
            <v>203636.55831919383</v>
          </cell>
          <cell r="AC27">
            <v>203174.13679563423</v>
          </cell>
          <cell r="AD27">
            <v>202712.76534710638</v>
          </cell>
          <cell r="AE27">
            <v>202252.44158908122</v>
          </cell>
        </row>
        <row r="28">
          <cell r="G28" t="str">
            <v>RegionManufacturedExisting</v>
          </cell>
          <cell r="H28" t="str">
            <v>Res</v>
          </cell>
          <cell r="I28" t="str">
            <v>Manufactured</v>
          </cell>
          <cell r="J28" t="str">
            <v>Existing</v>
          </cell>
          <cell r="K28" t="str">
            <v>Buildings</v>
          </cell>
          <cell r="L28">
            <v>572006.3278356482</v>
          </cell>
          <cell r="M28">
            <v>565893.30394507048</v>
          </cell>
          <cell r="N28">
            <v>559845.60985814757</v>
          </cell>
          <cell r="O28">
            <v>553862.54739615123</v>
          </cell>
          <cell r="P28">
            <v>547943.42584177968</v>
          </cell>
          <cell r="Q28">
            <v>542087.56185941794</v>
          </cell>
          <cell r="R28">
            <v>536294.27941624937</v>
          </cell>
          <cell r="S28">
            <v>530562.90970421082</v>
          </cell>
          <cell r="T28">
            <v>524892.79106278194</v>
          </cell>
          <cell r="U28">
            <v>519283.26890259917</v>
          </cell>
          <cell r="V28">
            <v>513733.69562988722</v>
          </cell>
          <cell r="W28">
            <v>508243.4305716962</v>
          </cell>
          <cell r="X28">
            <v>502811.8399019395</v>
          </cell>
          <cell r="Y28">
            <v>497438.2965682213</v>
          </cell>
          <cell r="Z28">
            <v>492122.18021944637</v>
          </cell>
          <cell r="AA28">
            <v>486862.87713420321</v>
          </cell>
          <cell r="AB28">
            <v>481659.78014991269</v>
          </cell>
          <cell r="AC28">
            <v>476512.28859273402</v>
          </cell>
          <cell r="AD28">
            <v>471419.80820821953</v>
          </cell>
          <cell r="AE28">
            <v>466381.75109271082</v>
          </cell>
        </row>
        <row r="29">
          <cell r="G29" t="str">
            <v>RegionLarge OffNew</v>
          </cell>
          <cell r="H29" t="str">
            <v>Com</v>
          </cell>
          <cell r="I29" t="str">
            <v>Large Off</v>
          </cell>
          <cell r="J29" t="str">
            <v>New</v>
          </cell>
          <cell r="K29" t="str">
            <v>Millions SqFt</v>
          </cell>
          <cell r="L29">
            <v>7.8066550111953834</v>
          </cell>
          <cell r="M29">
            <v>5.9496992573140863</v>
          </cell>
          <cell r="N29">
            <v>5.890903545908837</v>
          </cell>
          <cell r="O29">
            <v>6.8915688291332424</v>
          </cell>
          <cell r="P29">
            <v>6.6410191533148355</v>
          </cell>
          <cell r="Q29">
            <v>5.4382226791221893</v>
          </cell>
          <cell r="R29">
            <v>6.9236851515846078</v>
          </cell>
          <cell r="S29">
            <v>6.040566884985755</v>
          </cell>
          <cell r="T29">
            <v>5.8620040343764588</v>
          </cell>
          <cell r="U29">
            <v>6.6048352977963205</v>
          </cell>
          <cell r="V29">
            <v>6.6081856774849808</v>
          </cell>
          <cell r="W29">
            <v>7.2276230030590352</v>
          </cell>
          <cell r="X29">
            <v>7.9321378463678132</v>
          </cell>
          <cell r="Y29">
            <v>7.2590370336019197</v>
          </cell>
          <cell r="Z29">
            <v>7.9122271387396417</v>
          </cell>
          <cell r="AA29">
            <v>7.7623340380974311</v>
          </cell>
          <cell r="AB29">
            <v>7.6402299023279152</v>
          </cell>
          <cell r="AC29">
            <v>7.1724831299946894</v>
          </cell>
          <cell r="AD29">
            <v>7.0810470955732994</v>
          </cell>
          <cell r="AE29">
            <v>7.4281005850341701</v>
          </cell>
        </row>
        <row r="30">
          <cell r="G30" t="str">
            <v>RegionMedium OffNew</v>
          </cell>
          <cell r="H30" t="str">
            <v>Com</v>
          </cell>
          <cell r="I30" t="str">
            <v>Medium Off</v>
          </cell>
          <cell r="J30" t="str">
            <v>New</v>
          </cell>
          <cell r="K30" t="str">
            <v>Millions SqFt</v>
          </cell>
          <cell r="L30">
            <v>6.3306892326899415</v>
          </cell>
          <cell r="M30">
            <v>4.6245517962703104</v>
          </cell>
          <cell r="N30">
            <v>4.6954401235311058</v>
          </cell>
          <cell r="O30">
            <v>5.5561738496820645</v>
          </cell>
          <cell r="P30">
            <v>5.2903315868283292</v>
          </cell>
          <cell r="Q30">
            <v>4.0954748538564614</v>
          </cell>
          <cell r="R30">
            <v>5.6166455086822502</v>
          </cell>
          <cell r="S30">
            <v>4.8928421056079552</v>
          </cell>
          <cell r="T30">
            <v>4.6489885594062974</v>
          </cell>
          <cell r="U30">
            <v>5.3600762751998365</v>
          </cell>
          <cell r="V30">
            <v>5.3451061612370649</v>
          </cell>
          <cell r="W30">
            <v>5.7169042762389006</v>
          </cell>
          <cell r="X30">
            <v>6.1644080859749115</v>
          </cell>
          <cell r="Y30">
            <v>5.8003829082546376</v>
          </cell>
          <cell r="Z30">
            <v>6.4331999103991837</v>
          </cell>
          <cell r="AA30">
            <v>6.1077443299386847</v>
          </cell>
          <cell r="AB30">
            <v>6.3133258324543373</v>
          </cell>
          <cell r="AC30">
            <v>5.5403053352108875</v>
          </cell>
          <cell r="AD30">
            <v>5.5266028757425794</v>
          </cell>
          <cell r="AE30">
            <v>5.9833355534459063</v>
          </cell>
        </row>
        <row r="31">
          <cell r="G31" t="str">
            <v>RegionSmall OffNew</v>
          </cell>
          <cell r="H31" t="str">
            <v>Com</v>
          </cell>
          <cell r="I31" t="str">
            <v>Small Off</v>
          </cell>
          <cell r="J31" t="str">
            <v>New</v>
          </cell>
          <cell r="K31" t="str">
            <v>Millions SqFt</v>
          </cell>
          <cell r="L31">
            <v>1.6621196768024407</v>
          </cell>
          <cell r="M31">
            <v>1.2170657423442173</v>
          </cell>
          <cell r="N31">
            <v>1.2444333527444498</v>
          </cell>
          <cell r="O31">
            <v>1.4586094503549032</v>
          </cell>
          <cell r="P31">
            <v>1.4004070058555529</v>
          </cell>
          <cell r="Q31">
            <v>1.0787722980410579</v>
          </cell>
          <cell r="R31">
            <v>1.4747976167420549</v>
          </cell>
          <cell r="S31">
            <v>1.2896357804774434</v>
          </cell>
          <cell r="T31">
            <v>1.2239291307589197</v>
          </cell>
          <cell r="U31">
            <v>1.4012443744673324</v>
          </cell>
          <cell r="V31">
            <v>1.3991315932028052</v>
          </cell>
          <cell r="W31">
            <v>1.4996248899933684</v>
          </cell>
          <cell r="X31">
            <v>1.6197763904689295</v>
          </cell>
          <cell r="Y31">
            <v>1.5187400891362097</v>
          </cell>
          <cell r="Z31">
            <v>1.6890757136254622</v>
          </cell>
          <cell r="AA31">
            <v>1.5972356158259797</v>
          </cell>
          <cell r="AB31">
            <v>1.640465747141107</v>
          </cell>
          <cell r="AC31">
            <v>1.4565955217811706</v>
          </cell>
          <cell r="AD31">
            <v>1.4531741906643101</v>
          </cell>
          <cell r="AE31">
            <v>1.5648660344158036</v>
          </cell>
        </row>
        <row r="32">
          <cell r="G32" t="str">
            <v>RegionXLarge RetNew</v>
          </cell>
          <cell r="H32" t="str">
            <v>Com</v>
          </cell>
          <cell r="I32" t="str">
            <v>XLarge Ret</v>
          </cell>
          <cell r="J32" t="str">
            <v>New</v>
          </cell>
          <cell r="K32" t="str">
            <v>Millions SqFt</v>
          </cell>
          <cell r="L32">
            <v>1.799418169017593</v>
          </cell>
          <cell r="M32">
            <v>1.485755176968429</v>
          </cell>
          <cell r="N32">
            <v>0.89794362681754358</v>
          </cell>
          <cell r="O32">
            <v>0.91201694404352718</v>
          </cell>
          <cell r="P32">
            <v>0.85125423267540556</v>
          </cell>
          <cell r="Q32">
            <v>0.73204497427617965</v>
          </cell>
          <cell r="R32">
            <v>0.73428349109996394</v>
          </cell>
          <cell r="S32">
            <v>0.71341173425108251</v>
          </cell>
          <cell r="T32">
            <v>0.89455902577447755</v>
          </cell>
          <cell r="U32">
            <v>1.032083805968905</v>
          </cell>
          <cell r="V32">
            <v>1.0963398187475875</v>
          </cell>
          <cell r="W32">
            <v>1.617287860192538</v>
          </cell>
          <cell r="X32">
            <v>1.8239074921539626</v>
          </cell>
          <cell r="Y32">
            <v>1.6267354909009817</v>
          </cell>
          <cell r="Z32">
            <v>1.5970323938843554</v>
          </cell>
          <cell r="AA32">
            <v>1.5393396581386409</v>
          </cell>
          <cell r="AB32">
            <v>1.2960530677092543</v>
          </cell>
          <cell r="AC32">
            <v>1.3176455108269955</v>
          </cell>
          <cell r="AD32">
            <v>1.2469979474733393</v>
          </cell>
          <cell r="AE32">
            <v>1.3540449607593745</v>
          </cell>
        </row>
        <row r="33">
          <cell r="G33" t="str">
            <v>RegionLarge RetNew</v>
          </cell>
          <cell r="H33" t="str">
            <v>Com</v>
          </cell>
          <cell r="I33" t="str">
            <v>Large Ret</v>
          </cell>
          <cell r="J33" t="str">
            <v>New</v>
          </cell>
          <cell r="K33" t="str">
            <v>Millions SqFt</v>
          </cell>
          <cell r="L33">
            <v>0.71960427219664069</v>
          </cell>
          <cell r="M33">
            <v>0.59647847099566831</v>
          </cell>
          <cell r="N33">
            <v>0.36611838042447359</v>
          </cell>
          <cell r="O33">
            <v>0.3731768350638246</v>
          </cell>
          <cell r="P33">
            <v>0.34504559304633386</v>
          </cell>
          <cell r="Q33">
            <v>0.2928623587115301</v>
          </cell>
          <cell r="R33">
            <v>0.29376294298921468</v>
          </cell>
          <cell r="S33">
            <v>0.28416308329236456</v>
          </cell>
          <cell r="T33">
            <v>0.36455471421578001</v>
          </cell>
          <cell r="U33">
            <v>0.42646627810709853</v>
          </cell>
          <cell r="V33">
            <v>0.44956380488737768</v>
          </cell>
          <cell r="W33">
            <v>0.65213839834683018</v>
          </cell>
          <cell r="X33">
            <v>0.73353807331773047</v>
          </cell>
          <cell r="Y33">
            <v>0.65560780242911365</v>
          </cell>
          <cell r="Z33">
            <v>0.64604928436358278</v>
          </cell>
          <cell r="AA33">
            <v>0.62178261445398098</v>
          </cell>
          <cell r="AB33">
            <v>0.52554853465709617</v>
          </cell>
          <cell r="AC33">
            <v>0.53266253778165396</v>
          </cell>
          <cell r="AD33">
            <v>0.50454130308386236</v>
          </cell>
          <cell r="AE33">
            <v>0.54553111610891503</v>
          </cell>
        </row>
        <row r="34">
          <cell r="G34" t="str">
            <v>RegionMedium RetNew</v>
          </cell>
          <cell r="H34" t="str">
            <v>Com</v>
          </cell>
          <cell r="I34" t="str">
            <v>Medium Ret</v>
          </cell>
          <cell r="J34" t="str">
            <v>New</v>
          </cell>
          <cell r="K34" t="str">
            <v>Millions SqFt</v>
          </cell>
          <cell r="L34">
            <v>2.7275899469990224</v>
          </cell>
          <cell r="M34">
            <v>2.2451802625726844</v>
          </cell>
          <cell r="N34">
            <v>1.3846551620328988</v>
          </cell>
          <cell r="O34">
            <v>1.414332931216091</v>
          </cell>
          <cell r="P34">
            <v>1.3048976182463843</v>
          </cell>
          <cell r="Q34">
            <v>1.1035456427042536</v>
          </cell>
          <cell r="R34">
            <v>1.0932193385059683</v>
          </cell>
          <cell r="S34">
            <v>1.0602010304011045</v>
          </cell>
          <cell r="T34">
            <v>1.3687417218066935</v>
          </cell>
          <cell r="U34">
            <v>1.6102119957699914</v>
          </cell>
          <cell r="V34">
            <v>1.7014476793012303</v>
          </cell>
          <cell r="W34">
            <v>2.4475448442766612</v>
          </cell>
          <cell r="X34">
            <v>2.7642584104961641</v>
          </cell>
          <cell r="Y34">
            <v>2.4645092385842489</v>
          </cell>
          <cell r="Z34">
            <v>2.435211674558635</v>
          </cell>
          <cell r="AA34">
            <v>2.3436666024455817</v>
          </cell>
          <cell r="AB34">
            <v>1.9970991421399598</v>
          </cell>
          <cell r="AC34">
            <v>2.0220850932468024</v>
          </cell>
          <cell r="AD34">
            <v>1.9074632582746243</v>
          </cell>
          <cell r="AE34">
            <v>2.0633846520749657</v>
          </cell>
        </row>
        <row r="35">
          <cell r="G35" t="str">
            <v>RegionSmall RetNew</v>
          </cell>
          <cell r="H35" t="str">
            <v>Com</v>
          </cell>
          <cell r="I35" t="str">
            <v>Small Ret</v>
          </cell>
          <cell r="J35" t="str">
            <v>New</v>
          </cell>
          <cell r="K35" t="str">
            <v>Millions SqFt</v>
          </cell>
          <cell r="L35">
            <v>0.86249938561661099</v>
          </cell>
          <cell r="M35">
            <v>0.71243811393533818</v>
          </cell>
          <cell r="N35">
            <v>0.43988135050703958</v>
          </cell>
          <cell r="O35">
            <v>0.44879648252082133</v>
          </cell>
          <cell r="P35">
            <v>0.41374173801952452</v>
          </cell>
          <cell r="Q35">
            <v>0.34301620014224921</v>
          </cell>
          <cell r="R35">
            <v>0.33946657261656726</v>
          </cell>
          <cell r="S35">
            <v>0.32965754978673117</v>
          </cell>
          <cell r="T35">
            <v>0.43689232903555525</v>
          </cell>
          <cell r="U35">
            <v>0.51886957722704219</v>
          </cell>
          <cell r="V35">
            <v>0.54817313334918127</v>
          </cell>
          <cell r="W35">
            <v>0.77969532117377649</v>
          </cell>
          <cell r="X35">
            <v>0.87858644381951334</v>
          </cell>
          <cell r="Y35">
            <v>0.78420074698109388</v>
          </cell>
          <cell r="Z35">
            <v>0.77728841592354081</v>
          </cell>
          <cell r="AA35">
            <v>0.74886674252534069</v>
          </cell>
          <cell r="AB35">
            <v>0.63964179951326661</v>
          </cell>
          <cell r="AC35">
            <v>0.64714740319049269</v>
          </cell>
          <cell r="AD35">
            <v>0.61166389038687663</v>
          </cell>
          <cell r="AE35">
            <v>0.66242443593788758</v>
          </cell>
        </row>
        <row r="36">
          <cell r="G36" t="str">
            <v>RegionSchool K-12New</v>
          </cell>
          <cell r="H36" t="str">
            <v>Com</v>
          </cell>
          <cell r="I36" t="str">
            <v>School K-12</v>
          </cell>
          <cell r="J36" t="str">
            <v>New</v>
          </cell>
          <cell r="K36" t="str">
            <v>Millions SqFt</v>
          </cell>
          <cell r="L36">
            <v>0.49337113702797691</v>
          </cell>
          <cell r="M36">
            <v>1.1029723159217257</v>
          </cell>
          <cell r="N36">
            <v>0.94992456965043459</v>
          </cell>
          <cell r="O36">
            <v>0.71720701164062661</v>
          </cell>
          <cell r="P36">
            <v>0.7442281187428561</v>
          </cell>
          <cell r="Q36">
            <v>0.85140099810585501</v>
          </cell>
          <cell r="R36">
            <v>0.99139466996200198</v>
          </cell>
          <cell r="S36">
            <v>1.5014629353162949</v>
          </cell>
          <cell r="T36">
            <v>1.8697826256608596</v>
          </cell>
          <cell r="U36">
            <v>1.6452707482432332</v>
          </cell>
          <cell r="V36">
            <v>1.6753181172445872</v>
          </cell>
          <cell r="W36">
            <v>1.7943041099264481</v>
          </cell>
          <cell r="X36">
            <v>1.8624299937819393</v>
          </cell>
          <cell r="Y36">
            <v>1.7489264522150836</v>
          </cell>
          <cell r="Z36">
            <v>1.7975598556031414</v>
          </cell>
          <cell r="AA36">
            <v>1.6195220459723754</v>
          </cell>
          <cell r="AB36">
            <v>1.8221433074925411</v>
          </cell>
          <cell r="AC36">
            <v>1.6336676691608698</v>
          </cell>
          <cell r="AD36">
            <v>1.7826242149357872</v>
          </cell>
          <cell r="AE36">
            <v>1.6891002859244486</v>
          </cell>
        </row>
        <row r="37">
          <cell r="G37" t="str">
            <v>RegionUniversityNew</v>
          </cell>
          <cell r="H37" t="str">
            <v>Com</v>
          </cell>
          <cell r="I37" t="str">
            <v>University</v>
          </cell>
          <cell r="J37" t="str">
            <v>New</v>
          </cell>
          <cell r="K37" t="str">
            <v>Millions SqFt</v>
          </cell>
          <cell r="L37">
            <v>0.2800209986196866</v>
          </cell>
          <cell r="M37">
            <v>0.29719871383536939</v>
          </cell>
          <cell r="N37">
            <v>0.58203115602335975</v>
          </cell>
          <cell r="O37">
            <v>0.83189457735737737</v>
          </cell>
          <cell r="P37">
            <v>0.66610454718876777</v>
          </cell>
          <cell r="Q37">
            <v>0.73648247778559484</v>
          </cell>
          <cell r="R37">
            <v>0.64334185638367225</v>
          </cell>
          <cell r="S37">
            <v>0.97289424291238524</v>
          </cell>
          <cell r="T37">
            <v>1.1820978013224126</v>
          </cell>
          <cell r="U37">
            <v>1.1785313924254113</v>
          </cell>
          <cell r="V37">
            <v>1.2952038876416079</v>
          </cell>
          <cell r="W37">
            <v>1.3229243736280945</v>
          </cell>
          <cell r="X37">
            <v>1.422909455419719</v>
          </cell>
          <cell r="Y37">
            <v>1.4430187909981058</v>
          </cell>
          <cell r="Z37">
            <v>1.2923971403480323</v>
          </cell>
          <cell r="AA37">
            <v>1.1785050733908478</v>
          </cell>
          <cell r="AB37">
            <v>1.3433889489273994</v>
          </cell>
          <cell r="AC37">
            <v>1.2265545990556588</v>
          </cell>
          <cell r="AD37">
            <v>1.2571458643971927</v>
          </cell>
          <cell r="AE37">
            <v>1.2979913333963795</v>
          </cell>
        </row>
        <row r="38">
          <cell r="G38" t="str">
            <v>RegionWarehouseNew</v>
          </cell>
          <cell r="H38" t="str">
            <v>Com</v>
          </cell>
          <cell r="I38" t="str">
            <v>Warehouse</v>
          </cell>
          <cell r="J38" t="str">
            <v>New</v>
          </cell>
          <cell r="K38" t="str">
            <v>Millions SqFt</v>
          </cell>
          <cell r="L38">
            <v>7.6586609772993617</v>
          </cell>
          <cell r="M38">
            <v>7.5774552212762423</v>
          </cell>
          <cell r="N38">
            <v>5.6453939930651131</v>
          </cell>
          <cell r="O38">
            <v>4.800793231843981</v>
          </cell>
          <cell r="P38">
            <v>3.5881391412601156</v>
          </cell>
          <cell r="Q38">
            <v>3.1529819033971824</v>
          </cell>
          <cell r="R38">
            <v>4.0691744688008198</v>
          </cell>
          <cell r="S38">
            <v>4.5400289951106014</v>
          </cell>
          <cell r="T38">
            <v>4.8555474587969272</v>
          </cell>
          <cell r="U38">
            <v>4.6966359797376018</v>
          </cell>
          <cell r="V38">
            <v>4.8557170740974245</v>
          </cell>
          <cell r="W38">
            <v>4.451750056135543</v>
          </cell>
          <cell r="X38">
            <v>3.8657972013430704</v>
          </cell>
          <cell r="Y38">
            <v>3.9817445148405937</v>
          </cell>
          <cell r="Z38">
            <v>3.9951806948216846</v>
          </cell>
          <cell r="AA38">
            <v>4.4738164673360306</v>
          </cell>
          <cell r="AB38">
            <v>4.2737219736102183</v>
          </cell>
          <cell r="AC38">
            <v>4.0870251812551333</v>
          </cell>
          <cell r="AD38">
            <v>4.137725578117939</v>
          </cell>
          <cell r="AE38">
            <v>3.6922064696454697</v>
          </cell>
        </row>
        <row r="39">
          <cell r="G39" t="str">
            <v>RegionSupermarketNew</v>
          </cell>
          <cell r="H39" t="str">
            <v>Com</v>
          </cell>
          <cell r="I39" t="str">
            <v>Supermarket</v>
          </cell>
          <cell r="J39" t="str">
            <v>New</v>
          </cell>
          <cell r="K39" t="str">
            <v>Millions SqFt</v>
          </cell>
          <cell r="L39">
            <v>0.38924897939746522</v>
          </cell>
          <cell r="M39">
            <v>0.34341311895347121</v>
          </cell>
          <cell r="N39">
            <v>0.29927348040561341</v>
          </cell>
          <cell r="O39">
            <v>0.29688874456634085</v>
          </cell>
          <cell r="P39">
            <v>0.29379933994281465</v>
          </cell>
          <cell r="Q39">
            <v>0.29041766271303127</v>
          </cell>
          <cell r="R39">
            <v>0.28614144770449462</v>
          </cell>
          <cell r="S39">
            <v>0.28163861967746157</v>
          </cell>
          <cell r="T39">
            <v>0.27688800876616482</v>
          </cell>
          <cell r="U39">
            <v>0.27357754310134663</v>
          </cell>
          <cell r="V39">
            <v>0.27063184585003941</v>
          </cell>
          <cell r="W39">
            <v>0.26801411864303953</v>
          </cell>
          <cell r="X39">
            <v>0.26660240614409092</v>
          </cell>
          <cell r="Y39">
            <v>0.25138198684402913</v>
          </cell>
          <cell r="Z39">
            <v>0.26455339135243683</v>
          </cell>
          <cell r="AA39">
            <v>0.26299167309250365</v>
          </cell>
          <cell r="AB39">
            <v>0.26140909607327911</v>
          </cell>
          <cell r="AC39">
            <v>0.25947687815142023</v>
          </cell>
          <cell r="AD39">
            <v>0.25750619496776178</v>
          </cell>
          <cell r="AE39">
            <v>0.25562560804995926</v>
          </cell>
        </row>
        <row r="40">
          <cell r="G40" t="str">
            <v>RegionMiniMartNew</v>
          </cell>
          <cell r="H40" t="str">
            <v>Com</v>
          </cell>
          <cell r="I40" t="str">
            <v>MiniMart</v>
          </cell>
          <cell r="J40" t="str">
            <v>New</v>
          </cell>
          <cell r="K40" t="str">
            <v>Millions SqFt</v>
          </cell>
          <cell r="L40">
            <v>0.19765540078516197</v>
          </cell>
          <cell r="M40">
            <v>0.18600542935034625</v>
          </cell>
          <cell r="N40">
            <v>9.5760802585072302E-2</v>
          </cell>
          <cell r="O40">
            <v>0.10062051473914659</v>
          </cell>
          <cell r="P40">
            <v>8.5646792534183808E-2</v>
          </cell>
          <cell r="Q40">
            <v>6.5415041923045286E-2</v>
          </cell>
          <cell r="R40">
            <v>5.7242996146950373E-2</v>
          </cell>
          <cell r="S40">
            <v>5.5087150941189433E-2</v>
          </cell>
          <cell r="T40">
            <v>7.3916214299540497E-2</v>
          </cell>
          <cell r="U40">
            <v>9.2056169088318471E-2</v>
          </cell>
          <cell r="V40">
            <v>0.10393709432109566</v>
          </cell>
          <cell r="W40">
            <v>0.15172170448022598</v>
          </cell>
          <cell r="X40">
            <v>0.15706997726929292</v>
          </cell>
          <cell r="Y40">
            <v>0.14510580631504899</v>
          </cell>
          <cell r="Z40">
            <v>0.15272706829792246</v>
          </cell>
          <cell r="AA40">
            <v>0.14104647748606622</v>
          </cell>
          <cell r="AB40">
            <v>0.11700741064540764</v>
          </cell>
          <cell r="AC40">
            <v>0.1200067315077773</v>
          </cell>
          <cell r="AD40">
            <v>0.11457442878633581</v>
          </cell>
          <cell r="AE40">
            <v>0.1211768182439132</v>
          </cell>
        </row>
        <row r="41">
          <cell r="G41" t="str">
            <v>RegionRestaurantNew</v>
          </cell>
          <cell r="H41" t="str">
            <v>Com</v>
          </cell>
          <cell r="I41" t="str">
            <v>Restaurant</v>
          </cell>
          <cell r="J41" t="str">
            <v>New</v>
          </cell>
          <cell r="K41" t="str">
            <v>Millions SqFt</v>
          </cell>
          <cell r="L41">
            <v>0.46894871790011039</v>
          </cell>
          <cell r="M41">
            <v>0.47387410836125871</v>
          </cell>
          <cell r="N41">
            <v>0.45144590813821411</v>
          </cell>
          <cell r="O41">
            <v>0.4505136151455652</v>
          </cell>
          <cell r="P41">
            <v>0.44778046039172248</v>
          </cell>
          <cell r="Q41">
            <v>0.44523396067124349</v>
          </cell>
          <cell r="R41">
            <v>0.44273536313864043</v>
          </cell>
          <cell r="S41">
            <v>0.4399078135546039</v>
          </cell>
          <cell r="T41">
            <v>0.43708606600163591</v>
          </cell>
          <cell r="U41">
            <v>0.43513915585550955</v>
          </cell>
          <cell r="V41">
            <v>0.43580404899906589</v>
          </cell>
          <cell r="W41">
            <v>0.59161866303702282</v>
          </cell>
          <cell r="X41">
            <v>0.66467702134516005</v>
          </cell>
          <cell r="Y41">
            <v>0.65353995366480533</v>
          </cell>
          <cell r="Z41">
            <v>0.676060915960916</v>
          </cell>
          <cell r="AA41">
            <v>0.70559825286541389</v>
          </cell>
          <cell r="AB41">
            <v>0.63206878506691044</v>
          </cell>
          <cell r="AC41">
            <v>0.63726309269471215</v>
          </cell>
          <cell r="AD41">
            <v>0.5828366650853003</v>
          </cell>
          <cell r="AE41">
            <v>0.63928201324113043</v>
          </cell>
        </row>
        <row r="42">
          <cell r="G42" t="str">
            <v>RegionLodgingNew</v>
          </cell>
          <cell r="H42" t="str">
            <v>Com</v>
          </cell>
          <cell r="I42" t="str">
            <v>Lodging</v>
          </cell>
          <cell r="J42" t="str">
            <v>New</v>
          </cell>
          <cell r="K42" t="str">
            <v>Millions SqFt</v>
          </cell>
          <cell r="L42">
            <v>1.0326774321313152</v>
          </cell>
          <cell r="M42">
            <v>1.0158776160943388</v>
          </cell>
          <cell r="N42">
            <v>0.74304915446037911</v>
          </cell>
          <cell r="O42">
            <v>0.76054102414226543</v>
          </cell>
          <cell r="P42">
            <v>0.65616402459427536</v>
          </cell>
          <cell r="Q42">
            <v>0.62755023267601961</v>
          </cell>
          <cell r="R42">
            <v>0.61023293273354484</v>
          </cell>
          <cell r="S42">
            <v>0.60571699788717037</v>
          </cell>
          <cell r="T42">
            <v>0.65097903457434547</v>
          </cell>
          <cell r="U42">
            <v>0.69319811486407867</v>
          </cell>
          <cell r="V42">
            <v>0.78843795894088464</v>
          </cell>
          <cell r="W42">
            <v>1.3645659476947984</v>
          </cell>
          <cell r="X42">
            <v>1.6032227373726178</v>
          </cell>
          <cell r="Y42">
            <v>1.6412696995684901</v>
          </cell>
          <cell r="Z42">
            <v>1.670283030615213</v>
          </cell>
          <cell r="AA42">
            <v>1.755661848186447</v>
          </cell>
          <cell r="AB42">
            <v>1.4871375295645746</v>
          </cell>
          <cell r="AC42">
            <v>1.4400033906080374</v>
          </cell>
          <cell r="AD42">
            <v>1.3499648074414823</v>
          </cell>
          <cell r="AE42">
            <v>1.4487057151095009</v>
          </cell>
        </row>
        <row r="43">
          <cell r="G43" t="str">
            <v>RegionHospitalNew</v>
          </cell>
          <cell r="H43" t="str">
            <v>Com</v>
          </cell>
          <cell r="I43" t="str">
            <v>Hospital</v>
          </cell>
          <cell r="J43" t="str">
            <v>New</v>
          </cell>
          <cell r="K43" t="str">
            <v>Millions SqFt</v>
          </cell>
          <cell r="L43">
            <v>4.1336070304911159</v>
          </cell>
          <cell r="M43">
            <v>3.5601449453189118</v>
          </cell>
          <cell r="N43">
            <v>3.2007770264658664</v>
          </cell>
          <cell r="O43">
            <v>2.6531465767673241</v>
          </cell>
          <cell r="P43">
            <v>1.8730082465149496</v>
          </cell>
          <cell r="Q43">
            <v>1.6467285324389391</v>
          </cell>
          <cell r="R43">
            <v>1.5196240263467067</v>
          </cell>
          <cell r="S43">
            <v>1.3328145698119136</v>
          </cell>
          <cell r="T43">
            <v>1.3372342578617185</v>
          </cell>
          <cell r="U43">
            <v>1.4086686461757902</v>
          </cell>
          <cell r="V43">
            <v>1.6725933548501446</v>
          </cell>
          <cell r="W43">
            <v>2.0158466086985318</v>
          </cell>
          <cell r="X43">
            <v>2.3033709594417431</v>
          </cell>
          <cell r="Y43">
            <v>2.063930246052466</v>
          </cell>
          <cell r="Z43">
            <v>1.9880083370090949</v>
          </cell>
          <cell r="AA43">
            <v>1.9342270452860566</v>
          </cell>
          <cell r="AB43">
            <v>1.774507966199161</v>
          </cell>
          <cell r="AC43">
            <v>1.6723841845019074</v>
          </cell>
          <cell r="AD43">
            <v>1.5414284807799123</v>
          </cell>
          <cell r="AE43">
            <v>1.5563040522680198</v>
          </cell>
        </row>
        <row r="44">
          <cell r="G44" t="str">
            <v>RegionResidential CareNew</v>
          </cell>
          <cell r="H44" t="str">
            <v>Com</v>
          </cell>
          <cell r="I44" t="str">
            <v>Residential Care</v>
          </cell>
          <cell r="J44" t="str">
            <v>New</v>
          </cell>
          <cell r="K44" t="str">
            <v>Millions SqFt</v>
          </cell>
          <cell r="L44">
            <v>4.5029406937179912</v>
          </cell>
          <cell r="M44">
            <v>4.0786070344439063</v>
          </cell>
          <cell r="N44">
            <v>3.5919834720533679</v>
          </cell>
          <cell r="O44">
            <v>3.0400934926407626</v>
          </cell>
          <cell r="P44">
            <v>2.3018670718031324</v>
          </cell>
          <cell r="Q44">
            <v>2.1321468422073435</v>
          </cell>
          <cell r="R44">
            <v>1.9771504564110642</v>
          </cell>
          <cell r="S44">
            <v>1.8096072137015302</v>
          </cell>
          <cell r="T44">
            <v>1.9023478055732992</v>
          </cell>
          <cell r="U44">
            <v>2.0129777404511922</v>
          </cell>
          <cell r="V44">
            <v>2.304026079874093</v>
          </cell>
          <cell r="W44">
            <v>2.7992417645016405</v>
          </cell>
          <cell r="X44">
            <v>3.0682339807477179</v>
          </cell>
          <cell r="Y44">
            <v>2.7441690138981158</v>
          </cell>
          <cell r="Z44">
            <v>2.8046561391012603</v>
          </cell>
          <cell r="AA44">
            <v>2.7282838662201567</v>
          </cell>
          <cell r="AB44">
            <v>2.4959637785038216</v>
          </cell>
          <cell r="AC44">
            <v>2.4392052334479857</v>
          </cell>
          <cell r="AD44">
            <v>2.3386950979959957</v>
          </cell>
          <cell r="AE44">
            <v>2.3103955399373803</v>
          </cell>
        </row>
        <row r="45">
          <cell r="G45" t="str">
            <v>RegionAssemblyNew</v>
          </cell>
          <cell r="H45" t="str">
            <v>Com</v>
          </cell>
          <cell r="I45" t="str">
            <v>Assembly</v>
          </cell>
          <cell r="J45" t="str">
            <v>New</v>
          </cell>
          <cell r="K45" t="str">
            <v>Millions SqFt</v>
          </cell>
          <cell r="L45">
            <v>3.1854829351393543</v>
          </cell>
          <cell r="M45">
            <v>3.1699057451518957</v>
          </cell>
          <cell r="N45">
            <v>2.2628528186826316</v>
          </cell>
          <cell r="O45">
            <v>2.6023617076700645</v>
          </cell>
          <cell r="P45">
            <v>2.2919684786454506</v>
          </cell>
          <cell r="Q45">
            <v>2.1556450092355899</v>
          </cell>
          <cell r="R45">
            <v>1.4820394508668711</v>
          </cell>
          <cell r="S45">
            <v>1.5603361472368396</v>
          </cell>
          <cell r="T45">
            <v>2.3546097038898557</v>
          </cell>
          <cell r="U45">
            <v>3.2740386396924066</v>
          </cell>
          <cell r="V45">
            <v>3.6241751874536021</v>
          </cell>
          <cell r="W45">
            <v>4.4420137300219826</v>
          </cell>
          <cell r="X45">
            <v>5.8224273473135861</v>
          </cell>
          <cell r="Y45">
            <v>6.4604400946422142</v>
          </cell>
          <cell r="Z45">
            <v>6.9014803298142597</v>
          </cell>
          <cell r="AA45">
            <v>6.748515751490312</v>
          </cell>
          <cell r="AB45">
            <v>6.4364694734288266</v>
          </cell>
          <cell r="AC45">
            <v>6.3053235195290611</v>
          </cell>
          <cell r="AD45">
            <v>6.2236620394663484</v>
          </cell>
          <cell r="AE45">
            <v>6.0386522880717726</v>
          </cell>
        </row>
        <row r="46">
          <cell r="G46" t="str">
            <v>RegionOtherNew</v>
          </cell>
          <cell r="H46" t="str">
            <v>Com</v>
          </cell>
          <cell r="I46" t="str">
            <v>Other</v>
          </cell>
          <cell r="J46" t="str">
            <v>New</v>
          </cell>
          <cell r="K46" t="str">
            <v>Millions SqFt</v>
          </cell>
          <cell r="L46">
            <v>12.863107129152304</v>
          </cell>
          <cell r="M46">
            <v>10.7220378193485</v>
          </cell>
          <cell r="N46">
            <v>10.142128438066296</v>
          </cell>
          <cell r="O46">
            <v>9.4611923499879236</v>
          </cell>
          <cell r="P46">
            <v>7.3638556881373223</v>
          </cell>
          <cell r="Q46">
            <v>8.1591439254269407</v>
          </cell>
          <cell r="R46">
            <v>7.9603673258815011</v>
          </cell>
          <cell r="S46">
            <v>8.6026166911432824</v>
          </cell>
          <cell r="T46">
            <v>9.3207800366095146</v>
          </cell>
          <cell r="U46">
            <v>9.0572786632714859</v>
          </cell>
          <cell r="V46">
            <v>10.184423730877143</v>
          </cell>
          <cell r="W46">
            <v>10.787657533789663</v>
          </cell>
          <cell r="X46">
            <v>11.005378574708409</v>
          </cell>
          <cell r="Y46">
            <v>10.267063981307951</v>
          </cell>
          <cell r="Z46">
            <v>11.027475862918971</v>
          </cell>
          <cell r="AA46">
            <v>9.9609233822623686</v>
          </cell>
          <cell r="AB46">
            <v>10.340047869658916</v>
          </cell>
          <cell r="AC46">
            <v>9.8383849729989699</v>
          </cell>
          <cell r="AD46">
            <v>9.3282989614436094</v>
          </cell>
          <cell r="AE46">
            <v>9.0355729282982153</v>
          </cell>
        </row>
        <row r="47">
          <cell r="G47" t="str">
            <v>RegionLarge OffStock 2016</v>
          </cell>
          <cell r="H47" t="str">
            <v>Com</v>
          </cell>
          <cell r="I47" t="str">
            <v>Large Off</v>
          </cell>
          <cell r="J47" t="str">
            <v>Stock 2016</v>
          </cell>
          <cell r="K47" t="str">
            <v>Millions SqFt</v>
          </cell>
          <cell r="L47">
            <v>380.08828477966154</v>
          </cell>
          <cell r="M47">
            <v>378.94801992532251</v>
          </cell>
          <cell r="N47">
            <v>377.81117586554655</v>
          </cell>
          <cell r="O47">
            <v>376.67774233794995</v>
          </cell>
          <cell r="P47">
            <v>375.54770911093607</v>
          </cell>
          <cell r="Q47">
            <v>374.42106598360328</v>
          </cell>
          <cell r="R47">
            <v>373.29780278565244</v>
          </cell>
          <cell r="S47">
            <v>372.17790937729552</v>
          </cell>
          <cell r="T47">
            <v>371.06137564916361</v>
          </cell>
          <cell r="U47">
            <v>369.94819152221612</v>
          </cell>
          <cell r="V47">
            <v>368.83834694764948</v>
          </cell>
          <cell r="W47">
            <v>367.73183190680658</v>
          </cell>
          <cell r="X47">
            <v>366.62863641108612</v>
          </cell>
          <cell r="Y47">
            <v>365.52875050185287</v>
          </cell>
          <cell r="Z47">
            <v>364.43216425034728</v>
          </cell>
          <cell r="AA47">
            <v>363.33886775759629</v>
          </cell>
          <cell r="AB47">
            <v>362.24885115432346</v>
          </cell>
          <cell r="AC47">
            <v>361.16210460086046</v>
          </cell>
          <cell r="AD47">
            <v>360.07861828705791</v>
          </cell>
          <cell r="AE47">
            <v>358.99838243219671</v>
          </cell>
        </row>
        <row r="48">
          <cell r="G48" t="str">
            <v>RegionMedium OffStock 2016</v>
          </cell>
          <cell r="H48" t="str">
            <v>Com</v>
          </cell>
          <cell r="I48" t="str">
            <v>Medium Off</v>
          </cell>
          <cell r="J48" t="str">
            <v>Stock 2016</v>
          </cell>
          <cell r="K48" t="str">
            <v>Millions SqFt</v>
          </cell>
          <cell r="L48">
            <v>190.73687138333023</v>
          </cell>
          <cell r="M48">
            <v>190.16466076918024</v>
          </cell>
          <cell r="N48">
            <v>189.59416678687271</v>
          </cell>
          <cell r="O48">
            <v>189.02538428651209</v>
          </cell>
          <cell r="P48">
            <v>188.45830813365254</v>
          </cell>
          <cell r="Q48">
            <v>187.89293320925157</v>
          </cell>
          <cell r="R48">
            <v>187.32925440962381</v>
          </cell>
          <cell r="S48">
            <v>186.76726664639497</v>
          </cell>
          <cell r="T48">
            <v>186.20696484645578</v>
          </cell>
          <cell r="U48">
            <v>185.64834395191642</v>
          </cell>
          <cell r="V48">
            <v>185.09139892006067</v>
          </cell>
          <cell r="W48">
            <v>184.5361247233005</v>
          </cell>
          <cell r="X48">
            <v>183.98251634913058</v>
          </cell>
          <cell r="Y48">
            <v>183.43056880008319</v>
          </cell>
          <cell r="Z48">
            <v>182.88027709368296</v>
          </cell>
          <cell r="AA48">
            <v>182.33163626240187</v>
          </cell>
          <cell r="AB48">
            <v>181.78464135361469</v>
          </cell>
          <cell r="AC48">
            <v>181.23928742955383</v>
          </cell>
          <cell r="AD48">
            <v>180.69556956726515</v>
          </cell>
          <cell r="AE48">
            <v>180.15348285856339</v>
          </cell>
        </row>
        <row r="49">
          <cell r="G49" t="str">
            <v>RegionSmall OffStock 2016</v>
          </cell>
          <cell r="H49" t="str">
            <v>Com</v>
          </cell>
          <cell r="I49" t="str">
            <v>Small Off</v>
          </cell>
          <cell r="J49" t="str">
            <v>Stock 2016</v>
          </cell>
          <cell r="K49" t="str">
            <v>Millions SqFt</v>
          </cell>
          <cell r="L49">
            <v>184.0913556049378</v>
          </cell>
          <cell r="M49">
            <v>183.53908153812301</v>
          </cell>
          <cell r="N49">
            <v>182.98846429350866</v>
          </cell>
          <cell r="O49">
            <v>182.43949890062811</v>
          </cell>
          <cell r="P49">
            <v>181.89218040392623</v>
          </cell>
          <cell r="Q49">
            <v>181.34650386271446</v>
          </cell>
          <cell r="R49">
            <v>180.80246435112633</v>
          </cell>
          <cell r="S49">
            <v>180.26005695807294</v>
          </cell>
          <cell r="T49">
            <v>179.71927678719871</v>
          </cell>
          <cell r="U49">
            <v>179.18011895683713</v>
          </cell>
          <cell r="V49">
            <v>178.64257859996661</v>
          </cell>
          <cell r="W49">
            <v>178.10665086416668</v>
          </cell>
          <cell r="X49">
            <v>177.57233091157423</v>
          </cell>
          <cell r="Y49">
            <v>177.03961391883951</v>
          </cell>
          <cell r="Z49">
            <v>176.50849507708296</v>
          </cell>
          <cell r="AA49">
            <v>175.97896959185172</v>
          </cell>
          <cell r="AB49">
            <v>175.45103268307616</v>
          </cell>
          <cell r="AC49">
            <v>174.92467958502692</v>
          </cell>
          <cell r="AD49">
            <v>174.39990554627184</v>
          </cell>
          <cell r="AE49">
            <v>173.87670582963304</v>
          </cell>
        </row>
        <row r="50">
          <cell r="G50" t="str">
            <v>RegionXLarge RetStock 2016</v>
          </cell>
          <cell r="H50" t="str">
            <v>Com</v>
          </cell>
          <cell r="I50" t="str">
            <v>XLarge Ret</v>
          </cell>
          <cell r="J50" t="str">
            <v>Stock 2016</v>
          </cell>
          <cell r="K50" t="str">
            <v>Millions SqFt</v>
          </cell>
          <cell r="L50">
            <v>138.35734062238015</v>
          </cell>
          <cell r="M50">
            <v>137.7208968555172</v>
          </cell>
          <cell r="N50">
            <v>137.08738072998179</v>
          </cell>
          <cell r="O50">
            <v>136.45677877862389</v>
          </cell>
          <cell r="P50">
            <v>135.8290775962422</v>
          </cell>
          <cell r="Q50">
            <v>135.20426383929947</v>
          </cell>
          <cell r="R50">
            <v>134.5823242256387</v>
          </cell>
          <cell r="S50">
            <v>133.96324553420075</v>
          </cell>
          <cell r="T50">
            <v>133.34701460474344</v>
          </cell>
          <cell r="U50">
            <v>132.73361833756161</v>
          </cell>
          <cell r="V50">
            <v>132.12304369320884</v>
          </cell>
          <cell r="W50">
            <v>131.51527769222005</v>
          </cell>
          <cell r="X50">
            <v>130.91030741483584</v>
          </cell>
          <cell r="Y50">
            <v>130.3081200007276</v>
          </cell>
          <cell r="Z50">
            <v>129.70870264872423</v>
          </cell>
          <cell r="AA50">
            <v>129.11204261654012</v>
          </cell>
          <cell r="AB50">
            <v>128.51812722050403</v>
          </cell>
          <cell r="AC50">
            <v>127.92694383528971</v>
          </cell>
          <cell r="AD50">
            <v>127.33847989364737</v>
          </cell>
          <cell r="AE50">
            <v>126.75272288613657</v>
          </cell>
        </row>
        <row r="51">
          <cell r="G51" t="str">
            <v>RegionLarge RetStock 2016</v>
          </cell>
          <cell r="H51" t="str">
            <v>Com</v>
          </cell>
          <cell r="I51" t="str">
            <v>Large Ret</v>
          </cell>
          <cell r="J51" t="str">
            <v>Stock 2016</v>
          </cell>
          <cell r="K51" t="str">
            <v>Millions SqFt</v>
          </cell>
          <cell r="L51">
            <v>208.9574509880029</v>
          </cell>
          <cell r="M51">
            <v>207.99624671345808</v>
          </cell>
          <cell r="N51">
            <v>207.03946397857615</v>
          </cell>
          <cell r="O51">
            <v>206.0870824442747</v>
          </cell>
          <cell r="P51">
            <v>205.13908186503102</v>
          </cell>
          <cell r="Q51">
            <v>204.1954420884519</v>
          </cell>
          <cell r="R51">
            <v>203.25614305484498</v>
          </cell>
          <cell r="S51">
            <v>202.32116479679266</v>
          </cell>
          <cell r="T51">
            <v>201.3904874387274</v>
          </cell>
          <cell r="U51">
            <v>200.46409119650929</v>
          </cell>
          <cell r="V51">
            <v>199.54195637700533</v>
          </cell>
          <cell r="W51">
            <v>198.62406337767112</v>
          </cell>
          <cell r="X51">
            <v>197.71039268613379</v>
          </cell>
          <cell r="Y51">
            <v>196.8009248797776</v>
          </cell>
          <cell r="Z51">
            <v>195.8956406253306</v>
          </cell>
          <cell r="AA51">
            <v>194.99452067845405</v>
          </cell>
          <cell r="AB51">
            <v>194.09754588333314</v>
          </cell>
          <cell r="AC51">
            <v>193.20469717226982</v>
          </cell>
          <cell r="AD51">
            <v>192.31595556527733</v>
          </cell>
          <cell r="AE51">
            <v>191.43130216967708</v>
          </cell>
        </row>
        <row r="52">
          <cell r="G52" t="str">
            <v>RegionMedium RetStock 2016</v>
          </cell>
          <cell r="H52" t="str">
            <v>Com</v>
          </cell>
          <cell r="I52" t="str">
            <v>Medium Ret</v>
          </cell>
          <cell r="J52" t="str">
            <v>Stock 2016</v>
          </cell>
          <cell r="K52" t="str">
            <v>Millions SqFt</v>
          </cell>
          <cell r="L52">
            <v>97.115689913224898</v>
          </cell>
          <cell r="M52">
            <v>96.668957739624062</v>
          </cell>
          <cell r="N52">
            <v>96.224280534021787</v>
          </cell>
          <cell r="O52">
            <v>95.781648843565293</v>
          </cell>
          <cell r="P52">
            <v>95.34105325888487</v>
          </cell>
          <cell r="Q52">
            <v>94.902484413894001</v>
          </cell>
          <cell r="R52">
            <v>94.465932985590086</v>
          </cell>
          <cell r="S52">
            <v>94.031389693856369</v>
          </cell>
          <cell r="T52">
            <v>93.598845301264618</v>
          </cell>
          <cell r="U52">
            <v>93.168290612878806</v>
          </cell>
          <cell r="V52">
            <v>92.739716476059556</v>
          </cell>
          <cell r="W52">
            <v>92.313113780269674</v>
          </cell>
          <cell r="X52">
            <v>91.888473456880433</v>
          </cell>
          <cell r="Y52">
            <v>91.465786478978771</v>
          </cell>
          <cell r="Z52">
            <v>91.045043861175472</v>
          </cell>
          <cell r="AA52">
            <v>90.626236659414062</v>
          </cell>
          <cell r="AB52">
            <v>90.209355970780734</v>
          </cell>
          <cell r="AC52">
            <v>89.794392933315152</v>
          </cell>
          <cell r="AD52">
            <v>89.381338725821905</v>
          </cell>
          <cell r="AE52">
            <v>88.97018456768312</v>
          </cell>
        </row>
        <row r="53">
          <cell r="G53" t="str">
            <v>RegionSmall RetStock 2016</v>
          </cell>
          <cell r="H53" t="str">
            <v>Com</v>
          </cell>
          <cell r="I53" t="str">
            <v>Small Ret</v>
          </cell>
          <cell r="J53" t="str">
            <v>Stock 2016</v>
          </cell>
          <cell r="K53" t="str">
            <v>Millions SqFt</v>
          </cell>
          <cell r="L53">
            <v>109.47966092768364</v>
          </cell>
          <cell r="M53">
            <v>108.97605448741629</v>
          </cell>
          <cell r="N53">
            <v>108.47476463677417</v>
          </cell>
          <cell r="O53">
            <v>107.975780719445</v>
          </cell>
          <cell r="P53">
            <v>107.47909212813555</v>
          </cell>
          <cell r="Q53">
            <v>106.98468830434612</v>
          </cell>
          <cell r="R53">
            <v>106.49255873814613</v>
          </cell>
          <cell r="S53">
            <v>106.00269296795065</v>
          </cell>
          <cell r="T53">
            <v>105.51508058029808</v>
          </cell>
          <cell r="U53">
            <v>105.0297112096287</v>
          </cell>
          <cell r="V53">
            <v>104.54657453806439</v>
          </cell>
          <cell r="W53">
            <v>104.0656602951893</v>
          </cell>
          <cell r="X53">
            <v>103.58695825783141</v>
          </cell>
          <cell r="Y53">
            <v>103.11045824984539</v>
          </cell>
          <cell r="Z53">
            <v>102.6361501418961</v>
          </cell>
          <cell r="AA53">
            <v>102.16402385124337</v>
          </cell>
          <cell r="AB53">
            <v>101.69406934152764</v>
          </cell>
          <cell r="AC53">
            <v>101.2262766225566</v>
          </cell>
          <cell r="AD53">
            <v>100.76063575009285</v>
          </cell>
          <cell r="AE53">
            <v>100.29713682564241</v>
          </cell>
        </row>
        <row r="54">
          <cell r="G54" t="str">
            <v>RegionSchool K-12Stock 2016</v>
          </cell>
          <cell r="H54" t="str">
            <v>Com</v>
          </cell>
          <cell r="I54" t="str">
            <v>School K-12</v>
          </cell>
          <cell r="J54" t="str">
            <v>Stock 2016</v>
          </cell>
          <cell r="K54" t="str">
            <v>Millions SqFt</v>
          </cell>
          <cell r="L54">
            <v>241.11763975818661</v>
          </cell>
          <cell r="M54">
            <v>240.12905743517803</v>
          </cell>
          <cell r="N54">
            <v>239.14452829969383</v>
          </cell>
          <cell r="O54">
            <v>238.16403573366509</v>
          </cell>
          <cell r="P54">
            <v>237.18756318715711</v>
          </cell>
          <cell r="Q54">
            <v>236.21509417808971</v>
          </cell>
          <cell r="R54">
            <v>235.24661229195956</v>
          </cell>
          <cell r="S54">
            <v>234.28210118156252</v>
          </cell>
          <cell r="T54">
            <v>233.32154456671807</v>
          </cell>
          <cell r="U54">
            <v>232.36492623399457</v>
          </cell>
          <cell r="V54">
            <v>231.41223003643518</v>
          </cell>
          <cell r="W54">
            <v>230.46343989328579</v>
          </cell>
          <cell r="X54">
            <v>229.51853978972335</v>
          </cell>
          <cell r="Y54">
            <v>228.57751377658545</v>
          </cell>
          <cell r="Z54">
            <v>227.64034597010144</v>
          </cell>
          <cell r="AA54">
            <v>226.70702055162403</v>
          </cell>
          <cell r="AB54">
            <v>225.77752176736234</v>
          </cell>
          <cell r="AC54">
            <v>224.85183392811618</v>
          </cell>
          <cell r="AD54">
            <v>223.92994140901092</v>
          </cell>
          <cell r="AE54">
            <v>223.01182864923393</v>
          </cell>
        </row>
        <row r="55">
          <cell r="G55" t="str">
            <v>RegionUniversityStock 2016</v>
          </cell>
          <cell r="H55" t="str">
            <v>Com</v>
          </cell>
          <cell r="I55" t="str">
            <v>University</v>
          </cell>
          <cell r="J55" t="str">
            <v>Stock 2016</v>
          </cell>
          <cell r="K55" t="str">
            <v>Millions SqFt</v>
          </cell>
          <cell r="L55">
            <v>122.15340627232256</v>
          </cell>
          <cell r="M55">
            <v>121.65257730660603</v>
          </cell>
          <cell r="N55">
            <v>121.15380173964894</v>
          </cell>
          <cell r="O55">
            <v>120.65707115251638</v>
          </cell>
          <cell r="P55">
            <v>120.16237716079107</v>
          </cell>
          <cell r="Q55">
            <v>119.66971141443182</v>
          </cell>
          <cell r="R55">
            <v>119.17906559763266</v>
          </cell>
          <cell r="S55">
            <v>118.69043142868237</v>
          </cell>
          <cell r="T55">
            <v>118.20380065982476</v>
          </cell>
          <cell r="U55">
            <v>117.71916507711948</v>
          </cell>
          <cell r="V55">
            <v>117.23651650030328</v>
          </cell>
          <cell r="W55">
            <v>116.75584678265207</v>
          </cell>
          <cell r="X55">
            <v>116.27714781084319</v>
          </cell>
          <cell r="Y55">
            <v>115.80041150481873</v>
          </cell>
          <cell r="Z55">
            <v>115.32562981764897</v>
          </cell>
          <cell r="AA55">
            <v>114.8527947353966</v>
          </cell>
          <cell r="AB55">
            <v>114.38189827698147</v>
          </cell>
          <cell r="AC55">
            <v>113.91293249404585</v>
          </cell>
          <cell r="AD55">
            <v>113.44588947082025</v>
          </cell>
          <cell r="AE55">
            <v>112.98076132398991</v>
          </cell>
        </row>
        <row r="56">
          <cell r="G56" t="str">
            <v>RegionWarehouseStock 2016</v>
          </cell>
          <cell r="H56" t="str">
            <v>Com</v>
          </cell>
          <cell r="I56" t="str">
            <v>Warehouse</v>
          </cell>
          <cell r="J56" t="str">
            <v>Stock 2016</v>
          </cell>
          <cell r="K56" t="str">
            <v>Millions SqFt</v>
          </cell>
          <cell r="L56">
            <v>448.69829599576161</v>
          </cell>
          <cell r="M56">
            <v>447.03811230057732</v>
          </cell>
          <cell r="N56">
            <v>445.3840712850652</v>
          </cell>
          <cell r="O56">
            <v>443.73615022131042</v>
          </cell>
          <cell r="P56">
            <v>442.09432646549152</v>
          </cell>
          <cell r="Q56">
            <v>440.45857745756916</v>
          </cell>
          <cell r="R56">
            <v>438.82888072097626</v>
          </cell>
          <cell r="S56">
            <v>437.2052138623086</v>
          </cell>
          <cell r="T56">
            <v>435.58755457101802</v>
          </cell>
          <cell r="U56">
            <v>433.97588061910528</v>
          </cell>
          <cell r="V56">
            <v>432.37016986081449</v>
          </cell>
          <cell r="W56">
            <v>430.77040023232951</v>
          </cell>
          <cell r="X56">
            <v>429.17654975146979</v>
          </cell>
          <cell r="Y56">
            <v>427.58859651738936</v>
          </cell>
          <cell r="Z56">
            <v>426.00651871027503</v>
          </cell>
          <cell r="AA56">
            <v>424.43029459104702</v>
          </cell>
          <cell r="AB56">
            <v>422.85990250106011</v>
          </cell>
          <cell r="AC56">
            <v>421.2953208618062</v>
          </cell>
          <cell r="AD56">
            <v>419.73652817461749</v>
          </cell>
          <cell r="AE56">
            <v>418.18350302037135</v>
          </cell>
        </row>
        <row r="57">
          <cell r="G57" t="str">
            <v>RegionSupermarketStock 2016</v>
          </cell>
          <cell r="H57" t="str">
            <v>Com</v>
          </cell>
          <cell r="I57" t="str">
            <v>Supermarket</v>
          </cell>
          <cell r="J57" t="str">
            <v>Stock 2016</v>
          </cell>
          <cell r="K57" t="str">
            <v>Millions SqFt</v>
          </cell>
          <cell r="L57">
            <v>53.720939527021244</v>
          </cell>
          <cell r="M57">
            <v>53.237451071278059</v>
          </cell>
          <cell r="N57">
            <v>52.758314011636557</v>
          </cell>
          <cell r="O57">
            <v>52.283489185531828</v>
          </cell>
          <cell r="P57">
            <v>51.812937782862043</v>
          </cell>
          <cell r="Q57">
            <v>51.346621342816277</v>
          </cell>
          <cell r="R57">
            <v>50.884501750730934</v>
          </cell>
          <cell r="S57">
            <v>50.426541234974358</v>
          </cell>
          <cell r="T57">
            <v>49.97270236385959</v>
          </cell>
          <cell r="U57">
            <v>49.522948042584851</v>
          </cell>
          <cell r="V57">
            <v>49.077241510201581</v>
          </cell>
          <cell r="W57">
            <v>48.635546336609778</v>
          </cell>
          <cell r="X57">
            <v>48.197826419580288</v>
          </cell>
          <cell r="Y57">
            <v>47.76404598180406</v>
          </cell>
          <cell r="Z57">
            <v>47.33416956796782</v>
          </cell>
          <cell r="AA57">
            <v>46.908162041856116</v>
          </cell>
          <cell r="AB57">
            <v>46.485988583479411</v>
          </cell>
          <cell r="AC57">
            <v>46.067614686228097</v>
          </cell>
          <cell r="AD57">
            <v>45.653006154052044</v>
          </cell>
          <cell r="AE57">
            <v>45.242129098665572</v>
          </cell>
        </row>
        <row r="58">
          <cell r="G58" t="str">
            <v>RegionMiniMartStock 2016</v>
          </cell>
          <cell r="H58" t="str">
            <v>Com</v>
          </cell>
          <cell r="I58" t="str">
            <v>MiniMart</v>
          </cell>
          <cell r="J58" t="str">
            <v>Stock 2016</v>
          </cell>
          <cell r="K58" t="str">
            <v>Millions SqFt</v>
          </cell>
          <cell r="L58">
            <v>22.491017060912501</v>
          </cell>
          <cell r="M58">
            <v>22.384859460384995</v>
          </cell>
          <cell r="N58">
            <v>22.279202923731983</v>
          </cell>
          <cell r="O58">
            <v>22.174045085931969</v>
          </cell>
          <cell r="P58">
            <v>22.069383593126368</v>
          </cell>
          <cell r="Q58">
            <v>21.965216102566814</v>
          </cell>
          <cell r="R58">
            <v>21.8615402825627</v>
          </cell>
          <cell r="S58">
            <v>21.758353812429004</v>
          </cell>
          <cell r="T58">
            <v>21.655654382434342</v>
          </cell>
          <cell r="U58">
            <v>21.553439693749251</v>
          </cell>
          <cell r="V58">
            <v>21.451707458394754</v>
          </cell>
          <cell r="W58">
            <v>21.350455399191134</v>
          </cell>
          <cell r="X58">
            <v>21.249681249706953</v>
          </cell>
          <cell r="Y58">
            <v>21.149382754208336</v>
          </cell>
          <cell r="Z58">
            <v>21.049557667608472</v>
          </cell>
          <cell r="AA58">
            <v>20.950203755417366</v>
          </cell>
          <cell r="AB58">
            <v>20.851318793691796</v>
          </cell>
          <cell r="AC58">
            <v>20.75290056898557</v>
          </cell>
          <cell r="AD58">
            <v>20.654946878299963</v>
          </cell>
          <cell r="AE58">
            <v>20.557455529034385</v>
          </cell>
        </row>
        <row r="59">
          <cell r="G59" t="str">
            <v>RegionRestaurantStock 2016</v>
          </cell>
          <cell r="H59" t="str">
            <v>Com</v>
          </cell>
          <cell r="I59" t="str">
            <v>Restaurant</v>
          </cell>
          <cell r="J59" t="str">
            <v>Stock 2016</v>
          </cell>
          <cell r="K59" t="str">
            <v>Millions SqFt</v>
          </cell>
          <cell r="L59">
            <v>51.550857208753726</v>
          </cell>
          <cell r="M59">
            <v>51.307537162728408</v>
          </cell>
          <cell r="N59">
            <v>51.065365587320336</v>
          </cell>
          <cell r="O59">
            <v>50.824337061748189</v>
          </cell>
          <cell r="P59">
            <v>50.584446190816735</v>
          </cell>
          <cell r="Q59">
            <v>50.345687604796083</v>
          </cell>
          <cell r="R59">
            <v>50.108055959301453</v>
          </cell>
          <cell r="S59">
            <v>49.871545935173543</v>
          </cell>
          <cell r="T59">
            <v>49.636152238359529</v>
          </cell>
          <cell r="U59">
            <v>49.40186959979448</v>
          </cell>
          <cell r="V59">
            <v>49.168692775283453</v>
          </cell>
          <cell r="W59">
            <v>48.936616545384119</v>
          </cell>
          <cell r="X59">
            <v>48.705635715289908</v>
          </cell>
          <cell r="Y59">
            <v>48.475745114713739</v>
          </cell>
          <cell r="Z59">
            <v>48.246939597772297</v>
          </cell>
          <cell r="AA59">
            <v>48.019214042870807</v>
          </cell>
          <cell r="AB59">
            <v>47.792563352588466</v>
          </cell>
          <cell r="AC59">
            <v>47.56698245356425</v>
          </cell>
          <cell r="AD59">
            <v>47.342466296383435</v>
          </cell>
          <cell r="AE59">
            <v>47.119009855464505</v>
          </cell>
        </row>
        <row r="60">
          <cell r="G60" t="str">
            <v>RegionLodgingStock 2016</v>
          </cell>
          <cell r="H60" t="str">
            <v>Com</v>
          </cell>
          <cell r="I60" t="str">
            <v>Lodging</v>
          </cell>
          <cell r="J60" t="str">
            <v>Stock 2016</v>
          </cell>
          <cell r="K60" t="str">
            <v>Millions SqFt</v>
          </cell>
          <cell r="L60">
            <v>170.15189589049527</v>
          </cell>
          <cell r="M60">
            <v>169.74353134035809</v>
          </cell>
          <cell r="N60">
            <v>169.33614686514122</v>
          </cell>
          <cell r="O60">
            <v>168.92974011266489</v>
          </cell>
          <cell r="P60">
            <v>168.52430873639449</v>
          </cell>
          <cell r="Q60">
            <v>168.11985039542716</v>
          </cell>
          <cell r="R60">
            <v>167.71636275447813</v>
          </cell>
          <cell r="S60">
            <v>167.31384348386743</v>
          </cell>
          <cell r="T60">
            <v>166.91229025950614</v>
          </cell>
          <cell r="U60">
            <v>166.51170076288332</v>
          </cell>
          <cell r="V60">
            <v>166.11207268105238</v>
          </cell>
          <cell r="W60">
            <v>165.7134037066179</v>
          </cell>
          <cell r="X60">
            <v>165.31569153772202</v>
          </cell>
          <cell r="Y60">
            <v>164.91893387803151</v>
          </cell>
          <cell r="Z60">
            <v>164.52312843672422</v>
          </cell>
          <cell r="AA60">
            <v>164.12827292847609</v>
          </cell>
          <cell r="AB60">
            <v>163.73436507344778</v>
          </cell>
          <cell r="AC60">
            <v>163.3414025972715</v>
          </cell>
          <cell r="AD60">
            <v>162.94938323103807</v>
          </cell>
          <cell r="AE60">
            <v>162.55830471128357</v>
          </cell>
        </row>
        <row r="61">
          <cell r="G61" t="str">
            <v>RegionHospitalStock 2016</v>
          </cell>
          <cell r="H61" t="str">
            <v>Com</v>
          </cell>
          <cell r="I61" t="str">
            <v>Hospital</v>
          </cell>
          <cell r="J61" t="str">
            <v>Stock 2016</v>
          </cell>
          <cell r="K61" t="str">
            <v>Millions SqFt</v>
          </cell>
          <cell r="L61">
            <v>105.02947953487826</v>
          </cell>
          <cell r="M61">
            <v>104.80891762785501</v>
          </cell>
          <cell r="N61">
            <v>104.58881890083651</v>
          </cell>
          <cell r="O61">
            <v>104.36918238114475</v>
          </cell>
          <cell r="P61">
            <v>104.15000709814436</v>
          </cell>
          <cell r="Q61">
            <v>103.93129208323826</v>
          </cell>
          <cell r="R61">
            <v>103.71303636986346</v>
          </cell>
          <cell r="S61">
            <v>103.49523899348674</v>
          </cell>
          <cell r="T61">
            <v>103.27789899160042</v>
          </cell>
          <cell r="U61">
            <v>103.06101540371807</v>
          </cell>
          <cell r="V61">
            <v>102.84458727137024</v>
          </cell>
          <cell r="W61">
            <v>102.62861363810038</v>
          </cell>
          <cell r="X61">
            <v>102.41309354946036</v>
          </cell>
          <cell r="Y61">
            <v>102.19802605300649</v>
          </cell>
          <cell r="Z61">
            <v>101.98341019829519</v>
          </cell>
          <cell r="AA61">
            <v>101.76924503687877</v>
          </cell>
          <cell r="AB61">
            <v>101.55552962230132</v>
          </cell>
          <cell r="AC61">
            <v>101.3422630100945</v>
          </cell>
          <cell r="AD61">
            <v>101.1294442577733</v>
          </cell>
          <cell r="AE61">
            <v>100.91707242483197</v>
          </cell>
        </row>
        <row r="62">
          <cell r="G62" t="str">
            <v>RegionResidential CareStock 2016</v>
          </cell>
          <cell r="H62" t="str">
            <v>Com</v>
          </cell>
          <cell r="I62" t="str">
            <v>Residential Care</v>
          </cell>
          <cell r="J62" t="str">
            <v>Stock 2016</v>
          </cell>
          <cell r="K62" t="str">
            <v>Millions SqFt</v>
          </cell>
          <cell r="L62">
            <v>128.74820917277606</v>
          </cell>
          <cell r="M62">
            <v>128.43921347076139</v>
          </cell>
          <cell r="N62">
            <v>128.1309593584316</v>
          </cell>
          <cell r="O62">
            <v>127.82344505597135</v>
          </cell>
          <cell r="P62">
            <v>127.51666878783702</v>
          </cell>
          <cell r="Q62">
            <v>127.21062878274621</v>
          </cell>
          <cell r="R62">
            <v>126.90532327366765</v>
          </cell>
          <cell r="S62">
            <v>126.60075049781085</v>
          </cell>
          <cell r="T62">
            <v>126.29690869661611</v>
          </cell>
          <cell r="U62">
            <v>125.99379611574425</v>
          </cell>
          <cell r="V62">
            <v>125.69141100506647</v>
          </cell>
          <cell r="W62">
            <v>125.3897516186543</v>
          </cell>
          <cell r="X62">
            <v>125.08881621476955</v>
          </cell>
          <cell r="Y62">
            <v>124.78860305585408</v>
          </cell>
          <cell r="Z62">
            <v>124.48911040852005</v>
          </cell>
          <cell r="AA62">
            <v>124.1903365435396</v>
          </cell>
          <cell r="AB62">
            <v>123.8922797358351</v>
          </cell>
          <cell r="AC62">
            <v>123.59493826446912</v>
          </cell>
          <cell r="AD62">
            <v>123.29831041263438</v>
          </cell>
          <cell r="AE62">
            <v>123.00239446764408</v>
          </cell>
        </row>
        <row r="63">
          <cell r="G63" t="str">
            <v>RegionAssemblyStock 2016</v>
          </cell>
          <cell r="H63" t="str">
            <v>Com</v>
          </cell>
          <cell r="I63" t="str">
            <v>Assembly</v>
          </cell>
          <cell r="J63" t="str">
            <v>Stock 2016</v>
          </cell>
          <cell r="K63" t="str">
            <v>Millions SqFt</v>
          </cell>
          <cell r="L63">
            <v>375.90224900649127</v>
          </cell>
          <cell r="M63">
            <v>374.21570091594884</v>
          </cell>
          <cell r="N63">
            <v>372.53671980450594</v>
          </cell>
          <cell r="O63">
            <v>370.86527172164978</v>
          </cell>
          <cell r="P63">
            <v>369.20132286919198</v>
          </cell>
          <cell r="Q63">
            <v>367.54483960058553</v>
          </cell>
          <cell r="R63">
            <v>365.89578842024423</v>
          </cell>
          <cell r="S63">
            <v>364.25413598286536</v>
          </cell>
          <cell r="T63">
            <v>362.6198490927556</v>
          </cell>
          <cell r="U63">
            <v>360.99289470315949</v>
          </cell>
          <cell r="V63">
            <v>359.37323991559134</v>
          </cell>
          <cell r="W63">
            <v>357.76085197917007</v>
          </cell>
          <cell r="X63">
            <v>356.15569828995689</v>
          </cell>
          <cell r="Y63">
            <v>354.55774639029596</v>
          </cell>
          <cell r="Z63">
            <v>352.96696396815821</v>
          </cell>
          <cell r="AA63">
            <v>351.38331885648773</v>
          </cell>
          <cell r="AB63">
            <v>349.80677903255156</v>
          </cell>
          <cell r="AC63">
            <v>348.23731261729228</v>
          </cell>
          <cell r="AD63">
            <v>346.67488787468267</v>
          </cell>
          <cell r="AE63">
            <v>345.11947321108494</v>
          </cell>
        </row>
        <row r="64">
          <cell r="G64" t="str">
            <v>RegionOtherStock 2016</v>
          </cell>
          <cell r="H64" t="str">
            <v>Com</v>
          </cell>
          <cell r="I64" t="str">
            <v>Other</v>
          </cell>
          <cell r="J64" t="str">
            <v>Stock 2016</v>
          </cell>
          <cell r="K64" t="str">
            <v>Millions SqFt</v>
          </cell>
          <cell r="L64">
            <v>342.64988330108076</v>
          </cell>
          <cell r="M64">
            <v>339.56603435137106</v>
          </cell>
          <cell r="N64">
            <v>336.50994004220871</v>
          </cell>
          <cell r="O64">
            <v>333.48135058182885</v>
          </cell>
          <cell r="P64">
            <v>330.48001842659238</v>
          </cell>
          <cell r="Q64">
            <v>327.50569826075304</v>
          </cell>
          <cell r="R64">
            <v>324.55814697640625</v>
          </cell>
          <cell r="S64">
            <v>321.63712365361863</v>
          </cell>
          <cell r="T64">
            <v>318.7423895407361</v>
          </cell>
          <cell r="U64">
            <v>315.87370803486942</v>
          </cell>
          <cell r="V64">
            <v>313.03084466255564</v>
          </cell>
          <cell r="W64">
            <v>310.21356706059254</v>
          </cell>
          <cell r="X64">
            <v>307.42164495704725</v>
          </cell>
          <cell r="Y64">
            <v>304.65485015243382</v>
          </cell>
          <cell r="Z64">
            <v>301.9129565010619</v>
          </cell>
          <cell r="AA64">
            <v>299.19573989255235</v>
          </cell>
          <cell r="AB64">
            <v>296.50297823351934</v>
          </cell>
          <cell r="AC64">
            <v>293.83445142941764</v>
          </cell>
          <cell r="AD64">
            <v>291.18994136655289</v>
          </cell>
          <cell r="AE64">
            <v>288.5692318942539</v>
          </cell>
        </row>
        <row r="65">
          <cell r="G65" t="str">
            <v>RegionIdahoStock</v>
          </cell>
          <cell r="H65" t="str">
            <v>Ag</v>
          </cell>
          <cell r="I65" t="str">
            <v>Idaho</v>
          </cell>
          <cell r="J65" t="str">
            <v>Stock</v>
          </cell>
          <cell r="K65" t="str">
            <v>% Growth</v>
          </cell>
          <cell r="L65">
            <v>0</v>
          </cell>
          <cell r="M65">
            <v>1.2504100211369894E-4</v>
          </cell>
          <cell r="N65">
            <v>1.7375879514796466E-4</v>
          </cell>
          <cell r="O65">
            <v>6.1210927779177624E-4</v>
          </cell>
          <cell r="P65">
            <v>8.8127487458086599E-4</v>
          </cell>
          <cell r="Q65">
            <v>1.1201972174019578E-3</v>
          </cell>
          <cell r="R65">
            <v>1.2717867360821197E-3</v>
          </cell>
          <cell r="S65">
            <v>1.4404642508513471E-3</v>
          </cell>
          <cell r="T65">
            <v>1.5874396385228723E-3</v>
          </cell>
          <cell r="U65">
            <v>1.7204636459112381E-3</v>
          </cell>
          <cell r="V65">
            <v>1.8289050040785739E-3</v>
          </cell>
          <cell r="W65">
            <v>1.9377539743383628E-3</v>
          </cell>
          <cell r="X65">
            <v>2.0316119038316116E-3</v>
          </cell>
          <cell r="Y65">
            <v>2.128079506222659E-3</v>
          </cell>
          <cell r="Z65">
            <v>2.2126572758413075E-3</v>
          </cell>
          <cell r="AA65">
            <v>2.2578225416429688E-3</v>
          </cell>
          <cell r="AB65">
            <v>2.3464540176612314E-3</v>
          </cell>
          <cell r="AC65">
            <v>2.414467009038601E-3</v>
          </cell>
          <cell r="AD65">
            <v>2.4848313911262653E-3</v>
          </cell>
          <cell r="AE65">
            <v>2.5344116000376449E-3</v>
          </cell>
        </row>
        <row r="66">
          <cell r="G66" t="str">
            <v>RegionMontanaStock</v>
          </cell>
          <cell r="H66" t="str">
            <v>Ag</v>
          </cell>
          <cell r="I66" t="str">
            <v>Montana</v>
          </cell>
          <cell r="J66" t="str">
            <v>Stock</v>
          </cell>
          <cell r="K66" t="str">
            <v>% Growth</v>
          </cell>
          <cell r="L66">
            <v>0</v>
          </cell>
          <cell r="M66">
            <v>1.0848242299839954E-2</v>
          </cell>
          <cell r="N66">
            <v>1.059267655252486E-2</v>
          </cell>
          <cell r="O66">
            <v>1.0752312089181865E-2</v>
          </cell>
          <cell r="P66">
            <v>1.075849831916186E-2</v>
          </cell>
          <cell r="Q66">
            <v>7.6567396067742733E-3</v>
          </cell>
          <cell r="R66">
            <v>7.6532068711881581E-3</v>
          </cell>
          <cell r="S66">
            <v>7.9235679867256659E-3</v>
          </cell>
          <cell r="T66">
            <v>8.1459053842477987E-3</v>
          </cell>
          <cell r="U66">
            <v>8.331284422267278E-3</v>
          </cell>
          <cell r="V66">
            <v>8.47135846405455E-3</v>
          </cell>
          <cell r="W66">
            <v>8.5938864965773454E-3</v>
          </cell>
          <cell r="X66">
            <v>8.6866032784890905E-3</v>
          </cell>
          <cell r="Y66">
            <v>8.7680800681235963E-3</v>
          </cell>
          <cell r="Z66">
            <v>8.8271867856936984E-3</v>
          </cell>
          <cell r="AA66">
            <v>8.8355566433926322E-3</v>
          </cell>
          <cell r="AB66">
            <v>8.8812025924713319E-3</v>
          </cell>
          <cell r="AC66">
            <v>8.8979055290069331E-3</v>
          </cell>
          <cell r="AD66">
            <v>8.9118787925779024E-3</v>
          </cell>
          <cell r="AE66">
            <v>8.9015256915168112E-3</v>
          </cell>
        </row>
        <row r="67">
          <cell r="G67" t="str">
            <v>RegionOregonStock</v>
          </cell>
          <cell r="H67" t="str">
            <v>Ag</v>
          </cell>
          <cell r="I67" t="str">
            <v>Oregon</v>
          </cell>
          <cell r="J67" t="str">
            <v>Stock</v>
          </cell>
          <cell r="K67" t="str">
            <v>% Growth</v>
          </cell>
          <cell r="L67">
            <v>0</v>
          </cell>
          <cell r="M67">
            <v>1.0110842680911804E-2</v>
          </cell>
          <cell r="N67">
            <v>1.0059217505089263E-2</v>
          </cell>
          <cell r="O67">
            <v>1.1176866051223918E-2</v>
          </cell>
          <cell r="P67">
            <v>1.9803102619340613E-2</v>
          </cell>
          <cell r="Q67">
            <v>1.2078828157499845E-2</v>
          </cell>
          <cell r="R67">
            <v>1.2074917420983849E-2</v>
          </cell>
          <cell r="S67">
            <v>1.2823009061012478E-2</v>
          </cell>
          <cell r="T67">
            <v>1.2064646132519813E-2</v>
          </cell>
          <cell r="U67">
            <v>2.1359830411811859E-2</v>
          </cell>
          <cell r="V67">
            <v>1.1864279678250279E-2</v>
          </cell>
          <cell r="W67">
            <v>1.1811806122028052E-2</v>
          </cell>
          <cell r="X67">
            <v>1.1060463245174785E-2</v>
          </cell>
          <cell r="Y67">
            <v>1.1689201211084101E-2</v>
          </cell>
          <cell r="Z67">
            <v>1.9623204602959039E-2</v>
          </cell>
          <cell r="AA67">
            <v>1.2054155221857031E-2</v>
          </cell>
          <cell r="AB67">
            <v>1.2615728823653952E-2</v>
          </cell>
          <cell r="AC67">
            <v>1.2496481187089379E-2</v>
          </cell>
          <cell r="AD67">
            <v>1.1753415892541448E-2</v>
          </cell>
          <cell r="AE67">
            <v>2.0946064887122692E-2</v>
          </cell>
        </row>
        <row r="68">
          <cell r="G68" t="str">
            <v>RegionWashingtonStock</v>
          </cell>
          <cell r="H68" t="str">
            <v>Ag</v>
          </cell>
          <cell r="I68" t="str">
            <v>Washington</v>
          </cell>
          <cell r="J68" t="str">
            <v>Stock</v>
          </cell>
          <cell r="K68" t="str">
            <v>% Growth</v>
          </cell>
          <cell r="L68">
            <v>0</v>
          </cell>
          <cell r="M68">
            <v>1.0662122206220235E-2</v>
          </cell>
          <cell r="N68">
            <v>1.0931258902780325E-2</v>
          </cell>
          <cell r="O68">
            <v>1.1173761515183053E-2</v>
          </cell>
          <cell r="P68">
            <v>1.811439906784525E-2</v>
          </cell>
          <cell r="Q68">
            <v>1.2399989211989764E-2</v>
          </cell>
          <cell r="R68">
            <v>1.1939862954954953E-2</v>
          </cell>
          <cell r="S68">
            <v>1.2288284859874222E-2</v>
          </cell>
          <cell r="T68">
            <v>1.1842226253476947E-2</v>
          </cell>
          <cell r="U68">
            <v>1.9682157833762929E-2</v>
          </cell>
          <cell r="V68">
            <v>1.1592234987503456E-2</v>
          </cell>
          <cell r="W68">
            <v>1.1147844023716795E-2</v>
          </cell>
          <cell r="X68">
            <v>1.1425985017752077E-2</v>
          </cell>
          <cell r="Y68">
            <v>1.0985810035676221E-2</v>
          </cell>
          <cell r="Z68">
            <v>1.7930228386922677E-2</v>
          </cell>
          <cell r="AA68">
            <v>1.1736355426763144E-2</v>
          </cell>
          <cell r="AB68">
            <v>1.1982095590114178E-2</v>
          </cell>
          <cell r="AC68">
            <v>1.1862624139313738E-2</v>
          </cell>
          <cell r="AD68">
            <v>1.1418033334772959E-2</v>
          </cell>
          <cell r="AE68">
            <v>1.8838157687553127E-2</v>
          </cell>
        </row>
        <row r="69">
          <cell r="G69" t="str">
            <v>RegionIdahoDairyStock</v>
          </cell>
          <cell r="H69" t="str">
            <v>Dairy</v>
          </cell>
          <cell r="I69" t="str">
            <v>IdahoDairy</v>
          </cell>
          <cell r="J69" t="str">
            <v>Stock</v>
          </cell>
          <cell r="K69" t="str">
            <v>1000lbs</v>
          </cell>
          <cell r="L69">
            <v>13629.012110609969</v>
          </cell>
          <cell r="M69">
            <v>13842.907114251881</v>
          </cell>
          <cell r="N69">
            <v>14023.216425344392</v>
          </cell>
          <cell r="O69">
            <v>14266.319353967396</v>
          </cell>
          <cell r="P69">
            <v>14513.683501515552</v>
          </cell>
          <cell r="Q69">
            <v>14784.738793280194</v>
          </cell>
          <cell r="R69">
            <v>15048.82150982591</v>
          </cell>
          <cell r="S69">
            <v>15351.081667959821</v>
          </cell>
          <cell r="T69">
            <v>15676.70161423125</v>
          </cell>
          <cell r="U69">
            <v>16022.910400199034</v>
          </cell>
          <cell r="V69">
            <v>16435.334001552066</v>
          </cell>
          <cell r="W69">
            <v>16796.9270935268</v>
          </cell>
          <cell r="X69">
            <v>17186.008838626629</v>
          </cell>
          <cell r="Y69">
            <v>17509.663776252026</v>
          </cell>
          <cell r="Z69">
            <v>17849.045518001847</v>
          </cell>
          <cell r="AA69">
            <v>18205.116228437721</v>
          </cell>
          <cell r="AB69">
            <v>18533.843580326749</v>
          </cell>
          <cell r="AC69">
            <v>18839.457555909743</v>
          </cell>
          <cell r="AD69">
            <v>19186.22471079613</v>
          </cell>
          <cell r="AE69">
            <v>19422.392838095242</v>
          </cell>
        </row>
        <row r="70">
          <cell r="G70" t="str">
            <v>RegionMontanaDairyStock</v>
          </cell>
          <cell r="H70" t="str">
            <v>Dairy</v>
          </cell>
          <cell r="I70" t="str">
            <v>MontanaDairy</v>
          </cell>
          <cell r="J70" t="str">
            <v>Stock</v>
          </cell>
          <cell r="K70" t="str">
            <v>1000lbs</v>
          </cell>
          <cell r="L70">
            <v>302.4843194019968</v>
          </cell>
          <cell r="M70">
            <v>302.9944263448574</v>
          </cell>
          <cell r="N70">
            <v>302.99854171936556</v>
          </cell>
          <cell r="O70">
            <v>303.37745755767685</v>
          </cell>
          <cell r="P70">
            <v>303.22585086442132</v>
          </cell>
          <cell r="Q70">
            <v>303.08168683583153</v>
          </cell>
          <cell r="R70">
            <v>303.41916012380017</v>
          </cell>
          <cell r="S70">
            <v>303.66433680226078</v>
          </cell>
          <cell r="T70">
            <v>303.05007715937325</v>
          </cell>
          <cell r="U70">
            <v>303.01007717776395</v>
          </cell>
          <cell r="V70">
            <v>303.01283415030065</v>
          </cell>
          <cell r="W70">
            <v>301.41907423058802</v>
          </cell>
          <cell r="X70">
            <v>301.23823851251768</v>
          </cell>
          <cell r="Y70">
            <v>300.88004828067164</v>
          </cell>
          <cell r="Z70">
            <v>300.32350497753021</v>
          </cell>
          <cell r="AA70">
            <v>299.65600067965477</v>
          </cell>
          <cell r="AB70">
            <v>299.65485493072765</v>
          </cell>
          <cell r="AC70">
            <v>298.68839934499135</v>
          </cell>
          <cell r="AD70">
            <v>297.75098083368539</v>
          </cell>
          <cell r="AE70">
            <v>297.76126931363558</v>
          </cell>
        </row>
        <row r="71">
          <cell r="G71" t="str">
            <v>RegionOregonDairyStock</v>
          </cell>
          <cell r="H71" t="str">
            <v>Dairy</v>
          </cell>
          <cell r="I71" t="str">
            <v>OregonDairy</v>
          </cell>
          <cell r="J71" t="str">
            <v>Stock</v>
          </cell>
          <cell r="K71" t="str">
            <v>1000lbs</v>
          </cell>
          <cell r="L71">
            <v>2744.180551622544</v>
          </cell>
          <cell r="M71">
            <v>2781.3253166710429</v>
          </cell>
          <cell r="N71">
            <v>2817.8028576592669</v>
          </cell>
          <cell r="O71">
            <v>2852.4466796581391</v>
          </cell>
          <cell r="P71">
            <v>2887.2703785501863</v>
          </cell>
          <cell r="Q71">
            <v>2923.2055190854799</v>
          </cell>
          <cell r="R71">
            <v>2963.8717110873577</v>
          </cell>
          <cell r="S71">
            <v>3007.9285968792492</v>
          </cell>
          <cell r="T71">
            <v>3054.4586648127197</v>
          </cell>
          <cell r="U71">
            <v>3103.2723514737127</v>
          </cell>
          <cell r="V71">
            <v>3155.2926430989965</v>
          </cell>
          <cell r="W71">
            <v>3205.2179835947745</v>
          </cell>
          <cell r="X71">
            <v>3255.0785902298294</v>
          </cell>
          <cell r="Y71">
            <v>3304.2085620815005</v>
          </cell>
          <cell r="Z71">
            <v>3359.7128554945239</v>
          </cell>
          <cell r="AA71">
            <v>3405.0605171911329</v>
          </cell>
          <cell r="AB71">
            <v>3454.1652559274162</v>
          </cell>
          <cell r="AC71">
            <v>3509.2005551615157</v>
          </cell>
          <cell r="AD71">
            <v>3557.2266817524842</v>
          </cell>
          <cell r="AE71">
            <v>3610.3576666465606</v>
          </cell>
        </row>
        <row r="72">
          <cell r="G72" t="str">
            <v>RegionWashingtonDairyStock</v>
          </cell>
          <cell r="H72" t="str">
            <v>Dairy</v>
          </cell>
          <cell r="I72" t="str">
            <v>WashingtonDairy</v>
          </cell>
          <cell r="J72" t="str">
            <v>Stock</v>
          </cell>
          <cell r="K72" t="str">
            <v>1000lbs</v>
          </cell>
          <cell r="L72">
            <v>6417.4166624736044</v>
          </cell>
          <cell r="M72">
            <v>6527.6845985495966</v>
          </cell>
          <cell r="N72">
            <v>6648.0748527559354</v>
          </cell>
          <cell r="O72">
            <v>6750.5768396680051</v>
          </cell>
          <cell r="P72">
            <v>6858.9947023924851</v>
          </cell>
          <cell r="Q72">
            <v>6950.9448303929594</v>
          </cell>
          <cell r="R72">
            <v>7066.5055116132971</v>
          </cell>
          <cell r="S72">
            <v>7154.1963866384513</v>
          </cell>
          <cell r="T72">
            <v>7260.5595150379595</v>
          </cell>
          <cell r="U72">
            <v>7382.1828771063319</v>
          </cell>
          <cell r="V72">
            <v>7515.612457778011</v>
          </cell>
          <cell r="W72">
            <v>7658.3815592644387</v>
          </cell>
          <cell r="X72">
            <v>7790.6041619373518</v>
          </cell>
          <cell r="Y72">
            <v>7925.9535611829233</v>
          </cell>
          <cell r="Z72">
            <v>8056.1594585167277</v>
          </cell>
          <cell r="AA72">
            <v>8212.3413257643278</v>
          </cell>
          <cell r="AB72">
            <v>8359.6360208598271</v>
          </cell>
          <cell r="AC72">
            <v>8487.3604780857568</v>
          </cell>
          <cell r="AD72">
            <v>8647.4216609802097</v>
          </cell>
          <cell r="AE72">
            <v>8766.8632794861296</v>
          </cell>
        </row>
        <row r="73">
          <cell r="G73" t="str">
            <v>RegionMechanical PulpStock</v>
          </cell>
          <cell r="H73" t="str">
            <v>Ind</v>
          </cell>
          <cell r="I73" t="str">
            <v>Mechanical Pulp</v>
          </cell>
          <cell r="J73" t="str">
            <v>Stock</v>
          </cell>
          <cell r="K73" t="str">
            <v>Consumption (MWh)</v>
          </cell>
          <cell r="L73">
            <v>3758422.9515033378</v>
          </cell>
          <cell r="M73">
            <v>3846371.717457301</v>
          </cell>
          <cell r="N73">
            <v>3968374.1915052147</v>
          </cell>
          <cell r="O73">
            <v>4090510.3824295267</v>
          </cell>
          <cell r="P73">
            <v>4250302.9154343279</v>
          </cell>
          <cell r="Q73">
            <v>4334033.2977658212</v>
          </cell>
          <cell r="R73">
            <v>4456327.439187984</v>
          </cell>
          <cell r="S73">
            <v>4578789.2711511394</v>
          </cell>
          <cell r="T73">
            <v>4701360.1942719091</v>
          </cell>
          <cell r="U73">
            <v>4824313.8733196864</v>
          </cell>
          <cell r="V73">
            <v>4947352.2681518989</v>
          </cell>
          <cell r="W73">
            <v>5070668.4941239785</v>
          </cell>
          <cell r="X73">
            <v>5241393.4127492504</v>
          </cell>
          <cell r="Y73">
            <v>5317320.3001071345</v>
          </cell>
          <cell r="Z73">
            <v>5440661.5619043242</v>
          </cell>
          <cell r="AA73">
            <v>5564018.2642552005</v>
          </cell>
          <cell r="AB73">
            <v>5739586.1964683067</v>
          </cell>
          <cell r="AC73">
            <v>5811280.9684790904</v>
          </cell>
          <cell r="AD73">
            <v>5935246.9976805374</v>
          </cell>
          <cell r="AE73">
            <v>6059032.0232603503</v>
          </cell>
        </row>
        <row r="74">
          <cell r="G74" t="str">
            <v>RegionKraft PulpStock</v>
          </cell>
          <cell r="H74" t="str">
            <v>Ind</v>
          </cell>
          <cell r="I74" t="str">
            <v>Kraft Pulp</v>
          </cell>
          <cell r="J74" t="str">
            <v>Stock</v>
          </cell>
          <cell r="K74" t="str">
            <v>Consumption (MWh)</v>
          </cell>
          <cell r="L74">
            <v>2773481.4382196674</v>
          </cell>
          <cell r="M74">
            <v>2819427.5750914654</v>
          </cell>
          <cell r="N74">
            <v>2890507.7097985409</v>
          </cell>
          <cell r="O74">
            <v>2962071.1114584161</v>
          </cell>
          <cell r="P74">
            <v>3059997.7868964532</v>
          </cell>
          <cell r="Q74">
            <v>3103655.7832492976</v>
          </cell>
          <cell r="R74">
            <v>3174966.0896720556</v>
          </cell>
          <cell r="S74">
            <v>3246510.2403896889</v>
          </cell>
          <cell r="T74">
            <v>3318080.388651574</v>
          </cell>
          <cell r="U74">
            <v>3389982.4618547466</v>
          </cell>
          <cell r="V74">
            <v>3462131.4738810235</v>
          </cell>
          <cell r="W74">
            <v>3534707.6510694856</v>
          </cell>
          <cell r="X74">
            <v>3640109.6347631621</v>
          </cell>
          <cell r="Y74">
            <v>3679903.4172538687</v>
          </cell>
          <cell r="Z74">
            <v>3752596.4740436999</v>
          </cell>
          <cell r="AA74">
            <v>3825294.7476344355</v>
          </cell>
          <cell r="AB74">
            <v>3934104.1351328893</v>
          </cell>
          <cell r="AC74">
            <v>3971456.2759534372</v>
          </cell>
          <cell r="AD74">
            <v>4044721.9040998006</v>
          </cell>
          <cell r="AE74">
            <v>4117951.8072271077</v>
          </cell>
        </row>
        <row r="75">
          <cell r="G75" t="str">
            <v>RegionPaperStock</v>
          </cell>
          <cell r="H75" t="str">
            <v>Ind</v>
          </cell>
          <cell r="I75" t="str">
            <v>Paper</v>
          </cell>
          <cell r="J75" t="str">
            <v>Stock</v>
          </cell>
          <cell r="K75" t="str">
            <v>Consumption (MWh)</v>
          </cell>
          <cell r="L75">
            <v>909695.70566164097</v>
          </cell>
          <cell r="M75">
            <v>929841.98736761883</v>
          </cell>
          <cell r="N75">
            <v>958296.9900283548</v>
          </cell>
          <cell r="O75">
            <v>986772.46541472664</v>
          </cell>
          <cell r="P75">
            <v>1024503.2482359634</v>
          </cell>
          <cell r="Q75">
            <v>1043814.269249864</v>
          </cell>
          <cell r="R75">
            <v>1072416.0473229263</v>
          </cell>
          <cell r="S75">
            <v>1101138.6289797227</v>
          </cell>
          <cell r="T75">
            <v>1129827.4252453854</v>
          </cell>
          <cell r="U75">
            <v>1158615.4096222189</v>
          </cell>
          <cell r="V75">
            <v>1187381.7412163604</v>
          </cell>
          <cell r="W75">
            <v>1216221.7351596826</v>
          </cell>
          <cell r="X75">
            <v>1256359.4314945252</v>
          </cell>
          <cell r="Y75">
            <v>1273754.7023949234</v>
          </cell>
          <cell r="Z75">
            <v>1302557.2241510332</v>
          </cell>
          <cell r="AA75">
            <v>1331330.2770174742</v>
          </cell>
          <cell r="AB75">
            <v>1372605.4069409962</v>
          </cell>
          <cell r="AC75">
            <v>1388979.5459728481</v>
          </cell>
          <cell r="AD75">
            <v>1417876.2653212347</v>
          </cell>
          <cell r="AE75">
            <v>1446660.9687985121</v>
          </cell>
        </row>
        <row r="76">
          <cell r="G76" t="str">
            <v>RegionFoundriesStock</v>
          </cell>
          <cell r="H76" t="str">
            <v>Ind</v>
          </cell>
          <cell r="I76" t="str">
            <v>Foundries</v>
          </cell>
          <cell r="J76" t="str">
            <v>Stock</v>
          </cell>
          <cell r="K76" t="str">
            <v>Consumption (MWh)</v>
          </cell>
          <cell r="L76">
            <v>2911780.7125423807</v>
          </cell>
          <cell r="M76">
            <v>2836711.9420544878</v>
          </cell>
          <cell r="N76">
            <v>2789583.7208478679</v>
          </cell>
          <cell r="O76">
            <v>2744161.1652043322</v>
          </cell>
          <cell r="P76">
            <v>2724138.9595719618</v>
          </cell>
          <cell r="Q76">
            <v>2657920.4757749322</v>
          </cell>
          <cell r="R76">
            <v>2617304.9227809869</v>
          </cell>
          <cell r="S76">
            <v>2577672.8738681655</v>
          </cell>
          <cell r="T76">
            <v>2539470.2769998731</v>
          </cell>
          <cell r="U76">
            <v>2502370.6800410077</v>
          </cell>
          <cell r="V76">
            <v>2466328.7382904179</v>
          </cell>
          <cell r="W76">
            <v>2431145.5854122876</v>
          </cell>
          <cell r="X76">
            <v>2419072.5388772879</v>
          </cell>
          <cell r="Y76">
            <v>2363410.6682392037</v>
          </cell>
          <cell r="Z76">
            <v>2330315.4302864787</v>
          </cell>
          <cell r="AA76">
            <v>2297818.1106687617</v>
          </cell>
          <cell r="AB76">
            <v>2286770.7986101452</v>
          </cell>
          <cell r="AC76">
            <v>2234701.6262630955</v>
          </cell>
          <cell r="AD76">
            <v>2204017.8086585626</v>
          </cell>
          <cell r="AE76">
            <v>2173546.4494459317</v>
          </cell>
        </row>
        <row r="77">
          <cell r="G77" t="str">
            <v>RegionFrozen FoodStock</v>
          </cell>
          <cell r="H77" t="str">
            <v>Ind</v>
          </cell>
          <cell r="I77" t="str">
            <v>Frozen Food</v>
          </cell>
          <cell r="J77" t="str">
            <v>Stock</v>
          </cell>
          <cell r="K77" t="str">
            <v>Consumption (MWh)</v>
          </cell>
          <cell r="L77">
            <v>1237117.9151862806</v>
          </cell>
          <cell r="M77">
            <v>1256265.8697824469</v>
          </cell>
          <cell r="N77">
            <v>1286638.141562406</v>
          </cell>
          <cell r="O77">
            <v>1317026.0249685342</v>
          </cell>
          <cell r="P77">
            <v>1359372.6119707115</v>
          </cell>
          <cell r="Q77">
            <v>1377450.5956346455</v>
          </cell>
          <cell r="R77">
            <v>1407752.7747509496</v>
          </cell>
          <cell r="S77">
            <v>1438031.0417962291</v>
          </cell>
          <cell r="T77">
            <v>1468359.9477337729</v>
          </cell>
          <cell r="U77">
            <v>1498806.1175902041</v>
          </cell>
          <cell r="V77">
            <v>1529247.5005361729</v>
          </cell>
          <cell r="W77">
            <v>1559755.0254088808</v>
          </cell>
          <cell r="X77">
            <v>1604695.7181381483</v>
          </cell>
          <cell r="Y77">
            <v>1620685.0488578391</v>
          </cell>
          <cell r="Z77">
            <v>1651120.4927678995</v>
          </cell>
          <cell r="AA77">
            <v>1681526.4060613776</v>
          </cell>
          <cell r="AB77">
            <v>1727706.9650814079</v>
          </cell>
          <cell r="AC77">
            <v>1742468.2976748645</v>
          </cell>
          <cell r="AD77">
            <v>1772999.536528415</v>
          </cell>
          <cell r="AE77">
            <v>1803423.3883706611</v>
          </cell>
        </row>
        <row r="78">
          <cell r="G78" t="str">
            <v>RegionOther FoodStock</v>
          </cell>
          <cell r="H78" t="str">
            <v>Ind</v>
          </cell>
          <cell r="I78" t="str">
            <v>Other Food</v>
          </cell>
          <cell r="J78" t="str">
            <v>Stock</v>
          </cell>
          <cell r="K78" t="str">
            <v>Consumption (MWh)</v>
          </cell>
          <cell r="L78">
            <v>2189215.7914933185</v>
          </cell>
          <cell r="M78">
            <v>2225714.4170001475</v>
          </cell>
          <cell r="N78">
            <v>2281801.3842795906</v>
          </cell>
          <cell r="O78">
            <v>2337878.4662610777</v>
          </cell>
          <cell r="P78">
            <v>2414859.5617400161</v>
          </cell>
          <cell r="Q78">
            <v>2449639.2617126312</v>
          </cell>
          <cell r="R78">
            <v>2505916.452109566</v>
          </cell>
          <cell r="S78">
            <v>2561919.8701418121</v>
          </cell>
          <cell r="T78">
            <v>2618248.9470964097</v>
          </cell>
          <cell r="U78">
            <v>2674706.0878431001</v>
          </cell>
          <cell r="V78">
            <v>2731406.8457201738</v>
          </cell>
          <cell r="W78">
            <v>2788145.294466868</v>
          </cell>
          <cell r="X78">
            <v>2870921.2322274465</v>
          </cell>
          <cell r="Y78">
            <v>2901825.3565548556</v>
          </cell>
          <cell r="Z78">
            <v>2958750.6188529818</v>
          </cell>
          <cell r="AA78">
            <v>3015584.6219987967</v>
          </cell>
          <cell r="AB78">
            <v>3100853.4167639203</v>
          </cell>
          <cell r="AC78">
            <v>3129759.8328607553</v>
          </cell>
          <cell r="AD78">
            <v>3187110.5829028329</v>
          </cell>
          <cell r="AE78">
            <v>3244229.8759716363</v>
          </cell>
        </row>
        <row r="79">
          <cell r="G79" t="str">
            <v>RegionWood - LumberStock</v>
          </cell>
          <cell r="H79" t="str">
            <v>Ind</v>
          </cell>
          <cell r="I79" t="str">
            <v>Wood - Lumber</v>
          </cell>
          <cell r="J79" t="str">
            <v>Stock</v>
          </cell>
          <cell r="K79" t="str">
            <v>Consumption (MWh)</v>
          </cell>
          <cell r="L79">
            <v>1161963.8217505382</v>
          </cell>
          <cell r="M79">
            <v>1117769.5487595289</v>
          </cell>
          <cell r="N79">
            <v>1084874.9921310821</v>
          </cell>
          <cell r="O79">
            <v>1052791.9192047431</v>
          </cell>
          <cell r="P79">
            <v>1030397.4491679214</v>
          </cell>
          <cell r="Q79">
            <v>990879.29279742646</v>
          </cell>
          <cell r="R79">
            <v>961065.17490868072</v>
          </cell>
          <cell r="S79">
            <v>931730.64036078285</v>
          </cell>
          <cell r="T79">
            <v>903080.08419384609</v>
          </cell>
          <cell r="U79">
            <v>874945.75211344392</v>
          </cell>
          <cell r="V79">
            <v>847310.7915088681</v>
          </cell>
          <cell r="W79">
            <v>820119.00687699113</v>
          </cell>
          <cell r="X79">
            <v>800618.32318729174</v>
          </cell>
          <cell r="Y79">
            <v>766954.27095195896</v>
          </cell>
          <cell r="Z79">
            <v>740908.22274123156</v>
          </cell>
          <cell r="AA79">
            <v>715106.45172531332</v>
          </cell>
          <cell r="AB79">
            <v>696028.08762583928</v>
          </cell>
          <cell r="AC79">
            <v>664509.97671853204</v>
          </cell>
          <cell r="AD79">
            <v>639621.04956848687</v>
          </cell>
          <cell r="AE79">
            <v>614946.99745740264</v>
          </cell>
        </row>
        <row r="80">
          <cell r="G80" t="str">
            <v>RegionWood - PanelStock</v>
          </cell>
          <cell r="H80" t="str">
            <v>Ind</v>
          </cell>
          <cell r="I80" t="str">
            <v>Wood - Panel</v>
          </cell>
          <cell r="J80" t="str">
            <v>Stock</v>
          </cell>
          <cell r="K80" t="str">
            <v>Consumption (MWh)</v>
          </cell>
          <cell r="L80">
            <v>551950.18982134352</v>
          </cell>
          <cell r="M80">
            <v>528731.18450453493</v>
          </cell>
          <cell r="N80">
            <v>510838.63702842174</v>
          </cell>
          <cell r="O80">
            <v>493229.56048375246</v>
          </cell>
          <cell r="P80">
            <v>480200.65450609016</v>
          </cell>
          <cell r="Q80">
            <v>458869.67437759304</v>
          </cell>
          <cell r="R80">
            <v>442034.77624590963</v>
          </cell>
          <cell r="S80">
            <v>425381.84725157876</v>
          </cell>
          <cell r="T80">
            <v>408945.79607863171</v>
          </cell>
          <cell r="U80">
            <v>392669.02882158436</v>
          </cell>
          <cell r="V80">
            <v>376527.17230508296</v>
          </cell>
          <cell r="W80">
            <v>360540.83558473963</v>
          </cell>
          <cell r="X80">
            <v>347793.23494737077</v>
          </cell>
          <cell r="Y80">
            <v>328864.0423583783</v>
          </cell>
          <cell r="Z80">
            <v>313174.70380282239</v>
          </cell>
          <cell r="AA80">
            <v>297578.74522290094</v>
          </cell>
          <cell r="AB80">
            <v>284693.91308797692</v>
          </cell>
          <cell r="AC80">
            <v>266695.50893493497</v>
          </cell>
          <cell r="AD80">
            <v>251377.16659093063</v>
          </cell>
          <cell r="AE80">
            <v>236121.41095945257</v>
          </cell>
        </row>
        <row r="81">
          <cell r="G81" t="str">
            <v>RegionWood - OtherStock</v>
          </cell>
          <cell r="H81" t="str">
            <v>Ind</v>
          </cell>
          <cell r="I81" t="str">
            <v>Wood - Other</v>
          </cell>
          <cell r="J81" t="str">
            <v>Stock</v>
          </cell>
          <cell r="K81" t="str">
            <v>Consumption (MWh)</v>
          </cell>
          <cell r="L81">
            <v>870727.85506649863</v>
          </cell>
          <cell r="M81">
            <v>839735.03037413268</v>
          </cell>
          <cell r="N81">
            <v>817265.57122340729</v>
          </cell>
          <cell r="O81">
            <v>795421.70406258584</v>
          </cell>
          <cell r="P81">
            <v>780923.07506947254</v>
          </cell>
          <cell r="Q81">
            <v>753146.51005964773</v>
          </cell>
          <cell r="R81">
            <v>732820.97518292943</v>
          </cell>
          <cell r="S81">
            <v>712886.70561548509</v>
          </cell>
          <cell r="T81">
            <v>693400.22734523669</v>
          </cell>
          <cell r="U81">
            <v>674308.65124034672</v>
          </cell>
          <cell r="V81">
            <v>655534.95057322702</v>
          </cell>
          <cell r="W81">
            <v>637111.60144566628</v>
          </cell>
          <cell r="X81">
            <v>624630.92244216194</v>
          </cell>
          <cell r="Y81">
            <v>601103.42928001995</v>
          </cell>
          <cell r="Z81">
            <v>583449.38612394244</v>
          </cell>
          <cell r="AA81">
            <v>565997.72271073016</v>
          </cell>
          <cell r="AB81">
            <v>553823.1943250458</v>
          </cell>
          <cell r="AC81">
            <v>531773.35758124199</v>
          </cell>
          <cell r="AD81">
            <v>514944.55152005563</v>
          </cell>
          <cell r="AE81">
            <v>498286.13824063755</v>
          </cell>
        </row>
        <row r="82">
          <cell r="G82" t="str">
            <v>RegionSugarStock</v>
          </cell>
          <cell r="H82" t="str">
            <v>Ind</v>
          </cell>
          <cell r="I82" t="str">
            <v>Sugar</v>
          </cell>
          <cell r="J82" t="str">
            <v>Stock</v>
          </cell>
          <cell r="K82" t="str">
            <v>Consumption (MWh)</v>
          </cell>
          <cell r="L82">
            <v>475136.72478012781</v>
          </cell>
          <cell r="M82">
            <v>478944.05758966133</v>
          </cell>
          <cell r="N82">
            <v>486819.48116772674</v>
          </cell>
          <cell r="O82">
            <v>494591.38634116278</v>
          </cell>
          <cell r="P82">
            <v>506508.14130214165</v>
          </cell>
          <cell r="Q82">
            <v>510023.29432266601</v>
          </cell>
          <cell r="R82">
            <v>517787.90058012598</v>
          </cell>
          <cell r="S82">
            <v>525332.27094640187</v>
          </cell>
          <cell r="T82">
            <v>532962.59651115292</v>
          </cell>
          <cell r="U82">
            <v>540559.14188859914</v>
          </cell>
          <cell r="V82">
            <v>548264.64271890977</v>
          </cell>
          <cell r="W82">
            <v>555867.220442908</v>
          </cell>
          <cell r="X82">
            <v>568632.32789277437</v>
          </cell>
          <cell r="Y82">
            <v>571112.91942260799</v>
          </cell>
          <cell r="Z82">
            <v>578836.54771749349</v>
          </cell>
          <cell r="AA82">
            <v>586399.91803551139</v>
          </cell>
          <cell r="AB82">
            <v>599561.512214605</v>
          </cell>
          <cell r="AC82">
            <v>601661.01637638209</v>
          </cell>
          <cell r="AD82">
            <v>609371.99258243595</v>
          </cell>
          <cell r="AE82">
            <v>616906.35518594901</v>
          </cell>
        </row>
        <row r="83">
          <cell r="G83" t="str">
            <v>RegionHi Tech - Chip FabStock</v>
          </cell>
          <cell r="H83" t="str">
            <v>Ind</v>
          </cell>
          <cell r="I83" t="str">
            <v>Hi Tech - Chip Fab</v>
          </cell>
          <cell r="J83" t="str">
            <v>Stock</v>
          </cell>
          <cell r="K83" t="str">
            <v>Consumption (MWh)</v>
          </cell>
          <cell r="L83">
            <v>441794.88875823218</v>
          </cell>
          <cell r="M83">
            <v>432626.39847364998</v>
          </cell>
          <cell r="N83">
            <v>427242.98054352769</v>
          </cell>
          <cell r="O83">
            <v>422213.82213962206</v>
          </cell>
          <cell r="P83">
            <v>421920.64066734893</v>
          </cell>
          <cell r="Q83">
            <v>413709.06623231358</v>
          </cell>
          <cell r="R83">
            <v>410212.7518948018</v>
          </cell>
          <cell r="S83">
            <v>406355.09832970693</v>
          </cell>
          <cell r="T83">
            <v>403296.23418868397</v>
          </cell>
          <cell r="U83">
            <v>399924.4240136806</v>
          </cell>
          <cell r="V83">
            <v>397295.90252843429</v>
          </cell>
          <cell r="W83">
            <v>394316.89382121537</v>
          </cell>
          <cell r="X83">
            <v>395623.44895442144</v>
          </cell>
          <cell r="Y83">
            <v>389392.69605832879</v>
          </cell>
          <cell r="Z83">
            <v>386892.14662184619</v>
          </cell>
          <cell r="AA83">
            <v>385025.31464219192</v>
          </cell>
          <cell r="AB83">
            <v>386311.31539104413</v>
          </cell>
          <cell r="AC83">
            <v>381213.1101798673</v>
          </cell>
          <cell r="AD83">
            <v>379233.88825255015</v>
          </cell>
          <cell r="AE83">
            <v>377804.18623239076</v>
          </cell>
        </row>
        <row r="84">
          <cell r="G84" t="str">
            <v>RegionHi Tech - SiliconStock</v>
          </cell>
          <cell r="H84" t="str">
            <v>Ind</v>
          </cell>
          <cell r="I84" t="str">
            <v>Hi Tech - Silicon</v>
          </cell>
          <cell r="J84" t="str">
            <v>Stock</v>
          </cell>
          <cell r="K84" t="str">
            <v>Consumption (MWh)</v>
          </cell>
          <cell r="L84">
            <v>226900.615461001</v>
          </cell>
          <cell r="M84">
            <v>224036.45332402681</v>
          </cell>
          <cell r="N84">
            <v>223197.60670939417</v>
          </cell>
          <cell r="O84">
            <v>222435.67348639047</v>
          </cell>
          <cell r="P84">
            <v>223898.4301459378</v>
          </cell>
          <cell r="Q84">
            <v>221368.38696638378</v>
          </cell>
          <cell r="R84">
            <v>221129.95798393188</v>
          </cell>
          <cell r="S84">
            <v>220786.11584318019</v>
          </cell>
          <cell r="T84">
            <v>220661.22741685802</v>
          </cell>
          <cell r="U84">
            <v>220514.6104276102</v>
          </cell>
          <cell r="V84">
            <v>220566.57724116242</v>
          </cell>
          <cell r="W84">
            <v>220582.85570889112</v>
          </cell>
          <cell r="X84">
            <v>222786.93799954746</v>
          </cell>
          <cell r="Y84">
            <v>220925.37261965938</v>
          </cell>
          <cell r="Z84">
            <v>221135.24104542725</v>
          </cell>
          <cell r="AA84">
            <v>221470.75488217658</v>
          </cell>
          <cell r="AB84">
            <v>223814.68962733069</v>
          </cell>
          <cell r="AC84">
            <v>222220.65723257174</v>
          </cell>
          <cell r="AD84">
            <v>222629.30420924808</v>
          </cell>
          <cell r="AE84">
            <v>223146.84657001842</v>
          </cell>
        </row>
        <row r="85">
          <cell r="G85" t="str">
            <v>RegionMetal FabStock</v>
          </cell>
          <cell r="H85" t="str">
            <v>Ind</v>
          </cell>
          <cell r="I85" t="str">
            <v>Metal Fab</v>
          </cell>
          <cell r="J85" t="str">
            <v>Stock</v>
          </cell>
          <cell r="K85" t="str">
            <v>Consumption (MWh)</v>
          </cell>
          <cell r="L85">
            <v>909892.68701188185</v>
          </cell>
          <cell r="M85">
            <v>891825.25809582323</v>
          </cell>
          <cell r="N85">
            <v>882508.80442902481</v>
          </cell>
          <cell r="O85">
            <v>873727.53576770169</v>
          </cell>
          <cell r="P85">
            <v>873074.20336348354</v>
          </cell>
          <cell r="Q85">
            <v>857353.78829031112</v>
          </cell>
          <cell r="R85">
            <v>849920.96028251934</v>
          </cell>
          <cell r="S85">
            <v>842747.12140389089</v>
          </cell>
          <cell r="T85">
            <v>835992.11174095876</v>
          </cell>
          <cell r="U85">
            <v>829585.10375461576</v>
          </cell>
          <cell r="V85">
            <v>823489.91083828453</v>
          </cell>
          <cell r="W85">
            <v>817657.03435069101</v>
          </cell>
          <cell r="X85">
            <v>819465.35455238761</v>
          </cell>
          <cell r="Y85">
            <v>806647.75437978934</v>
          </cell>
          <cell r="Z85">
            <v>801457.62846863491</v>
          </cell>
          <cell r="AA85">
            <v>796415.70090358355</v>
          </cell>
          <cell r="AB85">
            <v>798860.24754177267</v>
          </cell>
          <cell r="AC85">
            <v>786961.84080937004</v>
          </cell>
          <cell r="AD85">
            <v>782499.53998716734</v>
          </cell>
          <cell r="AE85">
            <v>778123.72130174015</v>
          </cell>
        </row>
        <row r="86">
          <cell r="G86" t="str">
            <v>RegionTransportation, EquipStock</v>
          </cell>
          <cell r="H86" t="str">
            <v>Ind</v>
          </cell>
          <cell r="I86" t="str">
            <v>Transportation, Equip</v>
          </cell>
          <cell r="J86" t="str">
            <v>Stock</v>
          </cell>
          <cell r="K86" t="str">
            <v>Consumption (MWh)</v>
          </cell>
          <cell r="L86">
            <v>1804273.4320914866</v>
          </cell>
          <cell r="M86">
            <v>1764444.7092744687</v>
          </cell>
          <cell r="N86">
            <v>1742380.5060862801</v>
          </cell>
          <cell r="O86">
            <v>1721734.2919262978</v>
          </cell>
          <cell r="P86">
            <v>1717290.0100661237</v>
          </cell>
          <cell r="Q86">
            <v>1684212.3577429946</v>
          </cell>
          <cell r="R86">
            <v>1667572.9872876552</v>
          </cell>
          <cell r="S86">
            <v>1651915.7655637239</v>
          </cell>
          <cell r="T86">
            <v>1637404.0605393937</v>
          </cell>
          <cell r="U86">
            <v>1624039.8539685637</v>
          </cell>
          <cell r="V86">
            <v>1611571.7582730576</v>
          </cell>
          <cell r="W86">
            <v>1599938.1807304013</v>
          </cell>
          <cell r="X86">
            <v>1603782.6234504275</v>
          </cell>
          <cell r="Y86">
            <v>1579189.4507664458</v>
          </cell>
          <cell r="Z86">
            <v>1569848.0280781442</v>
          </cell>
          <cell r="AA86">
            <v>1560977.4194455137</v>
          </cell>
          <cell r="AB86">
            <v>1566945.462049291</v>
          </cell>
          <cell r="AC86">
            <v>1545218.7396206472</v>
          </cell>
          <cell r="AD86">
            <v>1538099.8647244556</v>
          </cell>
          <cell r="AE86">
            <v>1531589.7574381533</v>
          </cell>
        </row>
        <row r="87">
          <cell r="G87" t="str">
            <v>RegionRefineryStock</v>
          </cell>
          <cell r="H87" t="str">
            <v>Ind</v>
          </cell>
          <cell r="I87" t="str">
            <v>Refinery</v>
          </cell>
          <cell r="J87" t="str">
            <v>Stock</v>
          </cell>
          <cell r="K87" t="str">
            <v>Consumption (MWh)</v>
          </cell>
          <cell r="L87">
            <v>1881024.91962965</v>
          </cell>
          <cell r="M87">
            <v>1909117.5467978129</v>
          </cell>
          <cell r="N87">
            <v>1951995.6132668965</v>
          </cell>
          <cell r="O87">
            <v>1997111.8831124087</v>
          </cell>
          <cell r="P87">
            <v>2057483.6301056999</v>
          </cell>
          <cell r="Q87">
            <v>2084336.8416466711</v>
          </cell>
          <cell r="R87">
            <v>2127809.677560756</v>
          </cell>
          <cell r="S87">
            <v>2172413.8365607024</v>
          </cell>
          <cell r="T87">
            <v>2215960.2386478884</v>
          </cell>
          <cell r="U87">
            <v>2261195.6605773838</v>
          </cell>
          <cell r="V87">
            <v>2305708.6406222372</v>
          </cell>
          <cell r="W87">
            <v>2351421.030442731</v>
          </cell>
          <cell r="X87">
            <v>2417809.3733545281</v>
          </cell>
          <cell r="Y87">
            <v>2441973.3932293397</v>
          </cell>
          <cell r="Z87">
            <v>2486737.3300964865</v>
          </cell>
          <cell r="AA87">
            <v>2532907.6529900534</v>
          </cell>
          <cell r="AB87">
            <v>2601624.7146502738</v>
          </cell>
          <cell r="AC87">
            <v>2625012.9439967307</v>
          </cell>
          <cell r="AD87">
            <v>2670463.7864335729</v>
          </cell>
          <cell r="AE87">
            <v>2717337.6347862268</v>
          </cell>
        </row>
        <row r="88">
          <cell r="G88" t="str">
            <v>RegionCold StorageStock</v>
          </cell>
          <cell r="H88" t="str">
            <v>Ind</v>
          </cell>
          <cell r="I88" t="str">
            <v>Cold Storage</v>
          </cell>
          <cell r="J88" t="str">
            <v>Stock</v>
          </cell>
          <cell r="K88" t="str">
            <v>Consumption (MWh)</v>
          </cell>
          <cell r="L88">
            <v>78154.236827670538</v>
          </cell>
          <cell r="M88">
            <v>79453.458629044515</v>
          </cell>
          <cell r="N88">
            <v>81462.364882615439</v>
          </cell>
          <cell r="O88">
            <v>83477.500671992908</v>
          </cell>
          <cell r="P88">
            <v>86245.581369176958</v>
          </cell>
          <cell r="Q88">
            <v>87478.747599680457</v>
          </cell>
          <cell r="R88">
            <v>89494.311122657688</v>
          </cell>
          <cell r="S88">
            <v>91509.020390414968</v>
          </cell>
          <cell r="T88">
            <v>93532.504764969955</v>
          </cell>
          <cell r="U88">
            <v>95564.382084683428</v>
          </cell>
          <cell r="V88">
            <v>97600.983939128768</v>
          </cell>
          <cell r="W88">
            <v>99644.634467322845</v>
          </cell>
          <cell r="X88">
            <v>102618.3524040958</v>
          </cell>
          <cell r="Y88">
            <v>103741.81616097505</v>
          </cell>
          <cell r="Z88">
            <v>105788.43696882724</v>
          </cell>
          <cell r="AA88">
            <v>107838.05913011087</v>
          </cell>
          <cell r="AB88">
            <v>110898.73263363529</v>
          </cell>
          <cell r="AC88">
            <v>111951.72686476028</v>
          </cell>
          <cell r="AD88">
            <v>114014.96377503965</v>
          </cell>
          <cell r="AE88">
            <v>116079.01640209509</v>
          </cell>
        </row>
        <row r="89">
          <cell r="G89" t="str">
            <v>RegionFruit StorageStock</v>
          </cell>
          <cell r="H89" t="str">
            <v>Ind</v>
          </cell>
          <cell r="I89" t="str">
            <v>Fruit Storage</v>
          </cell>
          <cell r="J89" t="str">
            <v>Stock</v>
          </cell>
          <cell r="K89" t="str">
            <v>Consumption (MWh)</v>
          </cell>
          <cell r="L89">
            <v>199395.43790713095</v>
          </cell>
          <cell r="M89">
            <v>204115.10690708214</v>
          </cell>
          <cell r="N89">
            <v>210634.84781997796</v>
          </cell>
          <cell r="O89">
            <v>217141.49063609194</v>
          </cell>
          <cell r="P89">
            <v>225683.75101923331</v>
          </cell>
          <cell r="Q89">
            <v>230234.36323329096</v>
          </cell>
          <cell r="R89">
            <v>236796.95219371072</v>
          </cell>
          <cell r="S89">
            <v>243349.21918638356</v>
          </cell>
          <cell r="T89">
            <v>249921.80671927828</v>
          </cell>
          <cell r="U89">
            <v>256506.98239189648</v>
          </cell>
          <cell r="V89">
            <v>263096.35269472009</v>
          </cell>
          <cell r="W89">
            <v>269693.66215315415</v>
          </cell>
          <cell r="X89">
            <v>278797.26062516763</v>
          </cell>
          <cell r="Y89">
            <v>282842.82237701409</v>
          </cell>
          <cell r="Z89">
            <v>289419.35664982459</v>
          </cell>
          <cell r="AA89">
            <v>295994.31165490975</v>
          </cell>
          <cell r="AB89">
            <v>305366.03036291245</v>
          </cell>
          <cell r="AC89">
            <v>309179.84460456396</v>
          </cell>
          <cell r="AD89">
            <v>315794.71629056305</v>
          </cell>
          <cell r="AE89">
            <v>322364.98084319307</v>
          </cell>
        </row>
        <row r="90">
          <cell r="G90" t="str">
            <v>RegionChemicalStock</v>
          </cell>
          <cell r="H90" t="str">
            <v>Ind</v>
          </cell>
          <cell r="I90" t="str">
            <v>Chemical</v>
          </cell>
          <cell r="J90" t="str">
            <v>Stock</v>
          </cell>
          <cell r="K90" t="str">
            <v>Consumption (MWh)</v>
          </cell>
          <cell r="L90">
            <v>3305004.1605836996</v>
          </cell>
          <cell r="M90">
            <v>3443789.6934345411</v>
          </cell>
          <cell r="N90">
            <v>3609021.9884613133</v>
          </cell>
          <cell r="O90">
            <v>3771046.7677251906</v>
          </cell>
          <cell r="P90">
            <v>3927253.9609524435</v>
          </cell>
          <cell r="Q90">
            <v>4037395.7085911199</v>
          </cell>
          <cell r="R90">
            <v>4188643.2636367837</v>
          </cell>
          <cell r="S90">
            <v>4340984.9755713558</v>
          </cell>
          <cell r="T90">
            <v>4493975.9194887662</v>
          </cell>
          <cell r="U90">
            <v>4646018.0745007796</v>
          </cell>
          <cell r="V90">
            <v>4797371.3042631764</v>
          </cell>
          <cell r="W90">
            <v>4947813.7264089147</v>
          </cell>
          <cell r="X90">
            <v>5144107.7969676936</v>
          </cell>
          <cell r="Y90">
            <v>5246402.7802377427</v>
          </cell>
          <cell r="Z90">
            <v>5394857.0622515492</v>
          </cell>
          <cell r="AA90">
            <v>5541714.6108995685</v>
          </cell>
          <cell r="AB90">
            <v>5740442.2061493713</v>
          </cell>
          <cell r="AC90">
            <v>5833788.3063517585</v>
          </cell>
          <cell r="AD90">
            <v>5979638.453419812</v>
          </cell>
          <cell r="AE90">
            <v>6123880.4660364473</v>
          </cell>
        </row>
        <row r="91">
          <cell r="G91" t="str">
            <v>RegionMisc ManfStock</v>
          </cell>
          <cell r="H91" t="str">
            <v>Ind</v>
          </cell>
          <cell r="I91" t="str">
            <v>Misc Manf</v>
          </cell>
          <cell r="J91" t="str">
            <v>Stock</v>
          </cell>
          <cell r="K91" t="str">
            <v>Consumption (MWh)</v>
          </cell>
          <cell r="L91">
            <v>4209556.472488177</v>
          </cell>
          <cell r="M91">
            <v>4334633.1165770665</v>
          </cell>
          <cell r="N91">
            <v>4496807.6122477548</v>
          </cell>
          <cell r="O91">
            <v>4658950.5636732625</v>
          </cell>
          <cell r="P91">
            <v>4833902.8390341504</v>
          </cell>
          <cell r="Q91">
            <v>4939547.3871582579</v>
          </cell>
          <cell r="R91">
            <v>5095859.5790590979</v>
          </cell>
          <cell r="S91">
            <v>5254063.1713875132</v>
          </cell>
          <cell r="T91">
            <v>5413802.5084346561</v>
          </cell>
          <cell r="U91">
            <v>5573463.6928148605</v>
          </cell>
          <cell r="V91">
            <v>5733797.7617043415</v>
          </cell>
          <cell r="W91">
            <v>5893374.3310838528</v>
          </cell>
          <cell r="X91">
            <v>6108755.4059702102</v>
          </cell>
          <cell r="Y91">
            <v>6213044.4648437528</v>
          </cell>
          <cell r="Z91">
            <v>6372313.332896472</v>
          </cell>
          <cell r="AA91">
            <v>6531884.2745853113</v>
          </cell>
          <cell r="AB91">
            <v>6752077.3183153793</v>
          </cell>
          <cell r="AC91">
            <v>6850327.3548128605</v>
          </cell>
          <cell r="AD91">
            <v>7009692.065473482</v>
          </cell>
          <cell r="AE91">
            <v>7168736.8179728845</v>
          </cell>
        </row>
        <row r="92">
          <cell r="G92" t="str">
            <v>RegionEVStock</v>
          </cell>
          <cell r="H92" t="str">
            <v>EV</v>
          </cell>
          <cell r="I92" t="str">
            <v>EV</v>
          </cell>
          <cell r="J92" t="str">
            <v>Stock</v>
          </cell>
          <cell r="K92" t="str">
            <v>1000 Cars</v>
          </cell>
          <cell r="L92">
            <v>60.183986956923889</v>
          </cell>
          <cell r="M92">
            <v>91.985039267783762</v>
          </cell>
          <cell r="N92">
            <v>131.71899349682545</v>
          </cell>
          <cell r="O92">
            <v>179.31931215654896</v>
          </cell>
          <cell r="P92">
            <v>234.46894197990883</v>
          </cell>
          <cell r="Q92">
            <v>296.9378027583823</v>
          </cell>
          <cell r="R92">
            <v>366.00059330503768</v>
          </cell>
          <cell r="S92">
            <v>441.25939468635204</v>
          </cell>
          <cell r="T92">
            <v>522.62506581198477</v>
          </cell>
          <cell r="U92">
            <v>610.52396116716261</v>
          </cell>
          <cell r="V92">
            <v>705.01906985870437</v>
          </cell>
          <cell r="W92">
            <v>801.72374571842784</v>
          </cell>
          <cell r="X92">
            <v>899.84995621451503</v>
          </cell>
          <cell r="Y92">
            <v>998.49290967026104</v>
          </cell>
          <cell r="Z92">
            <v>1096.4275699987345</v>
          </cell>
          <cell r="AA92">
            <v>1187.7661760902763</v>
          </cell>
          <cell r="AB92">
            <v>1272.9815546454543</v>
          </cell>
          <cell r="AC92">
            <v>1351.8588013409089</v>
          </cell>
          <cell r="AD92">
            <v>1433.0587465545455</v>
          </cell>
          <cell r="AE92">
            <v>1500.0488473772725</v>
          </cell>
        </row>
        <row r="93">
          <cell r="G93" t="str">
            <v>RegionPopStock</v>
          </cell>
          <cell r="H93" t="str">
            <v>Pop</v>
          </cell>
          <cell r="I93" t="str">
            <v>Pop</v>
          </cell>
          <cell r="J93" t="str">
            <v>Stock</v>
          </cell>
          <cell r="K93" t="str">
            <v># of people</v>
          </cell>
          <cell r="L93">
            <v>13520.68111</v>
          </cell>
          <cell r="M93">
            <v>13661.840299999998</v>
          </cell>
          <cell r="N93">
            <v>13803.691440000001</v>
          </cell>
          <cell r="O93">
            <v>13944.276469999999</v>
          </cell>
          <cell r="P93">
            <v>14082.801340000002</v>
          </cell>
          <cell r="Q93">
            <v>14218.715590000002</v>
          </cell>
          <cell r="R93">
            <v>14351.918940000001</v>
          </cell>
          <cell r="S93">
            <v>14482.437540000003</v>
          </cell>
          <cell r="T93">
            <v>14610.4211</v>
          </cell>
          <cell r="U93">
            <v>14736.24631</v>
          </cell>
          <cell r="V93">
            <v>14860.320880000001</v>
          </cell>
          <cell r="W93">
            <v>14983.078860000001</v>
          </cell>
          <cell r="X93">
            <v>15104.70127</v>
          </cell>
          <cell r="Y93">
            <v>15225.195700000002</v>
          </cell>
          <cell r="Z93">
            <v>15344.62486</v>
          </cell>
          <cell r="AA93">
            <v>15463.089019999998</v>
          </cell>
          <cell r="AB93">
            <v>15580.68845</v>
          </cell>
          <cell r="AC93">
            <v>15697.50913</v>
          </cell>
          <cell r="AD93">
            <v>15813.626329999999</v>
          </cell>
          <cell r="AE93">
            <v>15929.254489999999</v>
          </cell>
        </row>
        <row r="94">
          <cell r="G94"/>
          <cell r="H94"/>
          <cell r="I94"/>
          <cell r="J94"/>
          <cell r="K94"/>
          <cell r="L94"/>
          <cell r="M94"/>
          <cell r="N94"/>
          <cell r="O94"/>
          <cell r="P94"/>
          <cell r="Q94"/>
          <cell r="R94"/>
          <cell r="S94"/>
          <cell r="T94"/>
          <cell r="U94"/>
          <cell r="V94"/>
          <cell r="W94"/>
          <cell r="X94"/>
          <cell r="Y94"/>
          <cell r="Z94"/>
          <cell r="AA94"/>
          <cell r="AB94"/>
          <cell r="AC94"/>
          <cell r="AD94"/>
          <cell r="AE94"/>
        </row>
        <row r="95">
          <cell r="G95"/>
          <cell r="H95"/>
          <cell r="I95"/>
          <cell r="J95"/>
          <cell r="K95"/>
          <cell r="L95"/>
          <cell r="M95"/>
          <cell r="N95"/>
          <cell r="O95"/>
          <cell r="P95"/>
          <cell r="Q95"/>
          <cell r="R95"/>
          <cell r="S95"/>
          <cell r="T95"/>
          <cell r="U95"/>
          <cell r="V95"/>
          <cell r="W95"/>
          <cell r="X95"/>
          <cell r="Y95"/>
          <cell r="Z95"/>
          <cell r="AA95"/>
          <cell r="AB95"/>
          <cell r="AC95"/>
          <cell r="AD95"/>
          <cell r="AE95"/>
        </row>
        <row r="96">
          <cell r="G96"/>
          <cell r="H96"/>
          <cell r="I96"/>
          <cell r="J96"/>
          <cell r="K96"/>
          <cell r="L96"/>
          <cell r="M96"/>
          <cell r="N96"/>
          <cell r="O96"/>
          <cell r="P96"/>
          <cell r="Q96"/>
          <cell r="R96"/>
          <cell r="S96"/>
          <cell r="T96"/>
          <cell r="U96"/>
          <cell r="V96"/>
          <cell r="W96"/>
          <cell r="X96"/>
          <cell r="Y96"/>
          <cell r="Z96"/>
          <cell r="AA96"/>
          <cell r="AB96"/>
          <cell r="AC96"/>
          <cell r="AD96"/>
          <cell r="AE96"/>
        </row>
        <row r="97">
          <cell r="G97"/>
          <cell r="H97"/>
          <cell r="I97"/>
          <cell r="J97"/>
          <cell r="K97"/>
          <cell r="L97"/>
          <cell r="M97"/>
          <cell r="N97"/>
          <cell r="O97"/>
          <cell r="P97"/>
          <cell r="Q97"/>
          <cell r="R97"/>
          <cell r="S97"/>
          <cell r="T97"/>
          <cell r="U97"/>
          <cell r="V97"/>
          <cell r="W97"/>
          <cell r="X97"/>
          <cell r="Y97"/>
          <cell r="Z97"/>
          <cell r="AA97"/>
          <cell r="AB97"/>
          <cell r="AC97"/>
          <cell r="AD97"/>
          <cell r="AE97"/>
        </row>
        <row r="98">
          <cell r="G98"/>
          <cell r="H98"/>
          <cell r="I98"/>
          <cell r="J98"/>
          <cell r="K98"/>
          <cell r="L98"/>
          <cell r="M98"/>
          <cell r="N98"/>
          <cell r="O98"/>
          <cell r="P98"/>
          <cell r="Q98"/>
          <cell r="R98"/>
          <cell r="S98"/>
          <cell r="T98"/>
          <cell r="U98"/>
          <cell r="V98"/>
          <cell r="W98"/>
          <cell r="X98"/>
          <cell r="Y98"/>
          <cell r="Z98"/>
          <cell r="AA98"/>
          <cell r="AB98"/>
          <cell r="AC98"/>
          <cell r="AD98"/>
          <cell r="AE98"/>
        </row>
        <row r="99">
          <cell r="G99"/>
          <cell r="H99"/>
          <cell r="I99"/>
          <cell r="J99"/>
          <cell r="K99"/>
          <cell r="L99"/>
          <cell r="M99"/>
          <cell r="N99"/>
          <cell r="O99"/>
          <cell r="P99"/>
          <cell r="Q99"/>
          <cell r="R99"/>
          <cell r="S99"/>
          <cell r="T99"/>
          <cell r="U99"/>
          <cell r="V99"/>
          <cell r="W99"/>
          <cell r="X99"/>
          <cell r="Y99"/>
          <cell r="Z99"/>
          <cell r="AA99"/>
          <cell r="AB99"/>
          <cell r="AC99"/>
          <cell r="AD99"/>
          <cell r="AE99"/>
        </row>
        <row r="100">
          <cell r="G100"/>
          <cell r="H100"/>
          <cell r="I100"/>
          <cell r="J100"/>
          <cell r="K100"/>
          <cell r="L100"/>
          <cell r="M100"/>
          <cell r="N100"/>
          <cell r="O100"/>
          <cell r="P100"/>
          <cell r="Q100"/>
          <cell r="R100"/>
          <cell r="S100"/>
          <cell r="T100"/>
          <cell r="U100"/>
          <cell r="V100"/>
          <cell r="W100"/>
          <cell r="X100"/>
          <cell r="Y100"/>
          <cell r="Z100"/>
          <cell r="AA100"/>
          <cell r="AB100"/>
          <cell r="AC100"/>
          <cell r="AD100"/>
          <cell r="AE100"/>
        </row>
        <row r="101">
          <cell r="G101"/>
          <cell r="H101"/>
          <cell r="I101"/>
          <cell r="J101"/>
          <cell r="K101"/>
          <cell r="L101"/>
          <cell r="M101"/>
          <cell r="N101"/>
          <cell r="O101"/>
          <cell r="P101"/>
          <cell r="Q101"/>
          <cell r="R101"/>
          <cell r="S101"/>
          <cell r="T101"/>
          <cell r="U101"/>
          <cell r="V101"/>
          <cell r="W101"/>
          <cell r="X101"/>
          <cell r="Y101"/>
          <cell r="Z101"/>
          <cell r="AA101"/>
          <cell r="AB101"/>
          <cell r="AC101"/>
          <cell r="AD101"/>
          <cell r="AE101"/>
        </row>
        <row r="102">
          <cell r="G102"/>
          <cell r="H102"/>
          <cell r="I102"/>
          <cell r="J102"/>
          <cell r="K102"/>
          <cell r="L102"/>
          <cell r="M102"/>
          <cell r="N102"/>
          <cell r="O102"/>
          <cell r="P102"/>
          <cell r="Q102"/>
          <cell r="R102"/>
          <cell r="S102"/>
          <cell r="T102"/>
          <cell r="U102"/>
          <cell r="V102"/>
          <cell r="W102"/>
          <cell r="X102"/>
          <cell r="Y102"/>
          <cell r="Z102"/>
          <cell r="AA102"/>
          <cell r="AB102"/>
          <cell r="AC102"/>
          <cell r="AD102"/>
          <cell r="AE102"/>
        </row>
        <row r="103">
          <cell r="G103"/>
          <cell r="H103"/>
          <cell r="I103"/>
          <cell r="J103"/>
          <cell r="K103"/>
          <cell r="L103"/>
          <cell r="M103"/>
          <cell r="N103"/>
          <cell r="O103"/>
          <cell r="P103"/>
          <cell r="Q103"/>
          <cell r="R103"/>
          <cell r="S103"/>
          <cell r="T103"/>
          <cell r="U103"/>
          <cell r="V103"/>
          <cell r="W103"/>
          <cell r="X103"/>
          <cell r="Y103"/>
          <cell r="Z103"/>
          <cell r="AA103"/>
          <cell r="AB103"/>
          <cell r="AC103"/>
          <cell r="AD103"/>
          <cell r="AE103"/>
        </row>
        <row r="104">
          <cell r="G104"/>
          <cell r="H104"/>
          <cell r="I104"/>
          <cell r="J104"/>
          <cell r="K104"/>
          <cell r="L104"/>
          <cell r="M104"/>
          <cell r="N104"/>
          <cell r="O104"/>
          <cell r="P104"/>
          <cell r="Q104"/>
          <cell r="R104"/>
          <cell r="S104"/>
          <cell r="T104"/>
          <cell r="U104"/>
          <cell r="V104"/>
          <cell r="W104"/>
          <cell r="X104"/>
          <cell r="Y104"/>
          <cell r="Z104"/>
          <cell r="AA104"/>
          <cell r="AB104"/>
          <cell r="AC104"/>
          <cell r="AD104"/>
          <cell r="AE104"/>
        </row>
        <row r="105">
          <cell r="G105"/>
          <cell r="H105"/>
          <cell r="I105"/>
          <cell r="J105"/>
          <cell r="K105"/>
          <cell r="L105"/>
          <cell r="M105"/>
          <cell r="N105"/>
          <cell r="O105"/>
          <cell r="P105"/>
          <cell r="Q105"/>
          <cell r="R105"/>
          <cell r="S105"/>
          <cell r="T105"/>
          <cell r="U105"/>
          <cell r="V105"/>
          <cell r="W105"/>
          <cell r="X105"/>
          <cell r="Y105"/>
          <cell r="Z105"/>
          <cell r="AA105"/>
          <cell r="AB105"/>
          <cell r="AC105"/>
          <cell r="AD105"/>
          <cell r="AE105"/>
        </row>
        <row r="106">
          <cell r="G106"/>
          <cell r="H106"/>
          <cell r="I106"/>
          <cell r="J106"/>
          <cell r="K106"/>
          <cell r="L106"/>
          <cell r="M106"/>
          <cell r="N106"/>
          <cell r="O106"/>
          <cell r="P106"/>
          <cell r="Q106"/>
          <cell r="R106"/>
          <cell r="S106"/>
          <cell r="T106"/>
          <cell r="U106"/>
          <cell r="V106"/>
          <cell r="W106"/>
          <cell r="X106"/>
          <cell r="Y106"/>
          <cell r="Z106"/>
          <cell r="AA106"/>
          <cell r="AB106"/>
          <cell r="AC106"/>
          <cell r="AD106"/>
          <cell r="AE106"/>
        </row>
        <row r="107">
          <cell r="G107"/>
          <cell r="H107"/>
          <cell r="I107"/>
          <cell r="J107"/>
          <cell r="K107"/>
          <cell r="L107"/>
          <cell r="M107"/>
          <cell r="N107"/>
          <cell r="O107"/>
          <cell r="P107"/>
          <cell r="Q107"/>
          <cell r="R107"/>
          <cell r="S107"/>
          <cell r="T107"/>
          <cell r="U107"/>
          <cell r="V107"/>
          <cell r="W107"/>
          <cell r="X107"/>
          <cell r="Y107"/>
          <cell r="Z107"/>
          <cell r="AA107"/>
          <cell r="AB107"/>
          <cell r="AC107"/>
          <cell r="AD107"/>
          <cell r="AE107"/>
        </row>
        <row r="108">
          <cell r="G108"/>
          <cell r="H108"/>
          <cell r="I108"/>
          <cell r="J108"/>
          <cell r="K108"/>
          <cell r="L108"/>
          <cell r="M108"/>
          <cell r="N108"/>
          <cell r="O108"/>
          <cell r="P108"/>
          <cell r="Q108"/>
          <cell r="R108"/>
          <cell r="S108"/>
          <cell r="T108"/>
          <cell r="U108"/>
          <cell r="V108"/>
          <cell r="W108"/>
          <cell r="X108"/>
          <cell r="Y108"/>
          <cell r="Z108"/>
          <cell r="AA108"/>
          <cell r="AB108"/>
          <cell r="AC108"/>
          <cell r="AD108"/>
          <cell r="AE108"/>
        </row>
        <row r="109">
          <cell r="G109"/>
          <cell r="H109"/>
          <cell r="I109"/>
          <cell r="J109"/>
          <cell r="K109"/>
          <cell r="L109"/>
          <cell r="M109"/>
          <cell r="N109"/>
          <cell r="O109"/>
          <cell r="P109"/>
          <cell r="Q109"/>
          <cell r="R109"/>
          <cell r="S109"/>
          <cell r="T109"/>
          <cell r="U109"/>
          <cell r="V109"/>
          <cell r="W109"/>
          <cell r="X109"/>
          <cell r="Y109"/>
          <cell r="Z109"/>
          <cell r="AA109"/>
          <cell r="AB109"/>
          <cell r="AC109"/>
          <cell r="AD109"/>
          <cell r="AE109"/>
        </row>
        <row r="110">
          <cell r="G110"/>
          <cell r="H110"/>
          <cell r="I110"/>
          <cell r="J110"/>
          <cell r="K110"/>
          <cell r="L110"/>
          <cell r="M110"/>
          <cell r="N110"/>
          <cell r="O110"/>
          <cell r="P110"/>
          <cell r="Q110"/>
          <cell r="R110"/>
          <cell r="S110"/>
          <cell r="T110"/>
          <cell r="U110"/>
          <cell r="V110"/>
          <cell r="W110"/>
          <cell r="X110"/>
          <cell r="Y110"/>
          <cell r="Z110"/>
          <cell r="AA110"/>
          <cell r="AB110"/>
          <cell r="AC110"/>
          <cell r="AD110"/>
          <cell r="AE110"/>
        </row>
        <row r="111">
          <cell r="G111"/>
          <cell r="H111"/>
          <cell r="I111"/>
          <cell r="J111"/>
          <cell r="K111"/>
          <cell r="L111"/>
          <cell r="M111"/>
          <cell r="N111"/>
          <cell r="O111"/>
          <cell r="P111"/>
          <cell r="Q111"/>
          <cell r="R111"/>
          <cell r="S111"/>
          <cell r="T111"/>
          <cell r="U111"/>
          <cell r="V111"/>
          <cell r="W111"/>
          <cell r="X111"/>
          <cell r="Y111"/>
          <cell r="Z111"/>
          <cell r="AA111"/>
          <cell r="AB111"/>
          <cell r="AC111"/>
          <cell r="AD111"/>
          <cell r="AE111"/>
        </row>
        <row r="112">
          <cell r="G112"/>
          <cell r="H112"/>
          <cell r="I112"/>
          <cell r="J112"/>
          <cell r="K112"/>
          <cell r="L112"/>
          <cell r="M112"/>
          <cell r="N112"/>
          <cell r="O112"/>
          <cell r="P112"/>
          <cell r="Q112"/>
          <cell r="R112"/>
          <cell r="S112"/>
          <cell r="T112"/>
          <cell r="U112"/>
          <cell r="V112"/>
          <cell r="W112"/>
          <cell r="X112"/>
          <cell r="Y112"/>
          <cell r="Z112"/>
          <cell r="AA112"/>
          <cell r="AB112"/>
          <cell r="AC112"/>
          <cell r="AD112"/>
          <cell r="AE112"/>
        </row>
        <row r="113">
          <cell r="G113"/>
          <cell r="H113"/>
          <cell r="I113"/>
          <cell r="J113"/>
          <cell r="K113"/>
          <cell r="L113"/>
          <cell r="M113"/>
          <cell r="N113"/>
          <cell r="O113"/>
          <cell r="P113"/>
          <cell r="Q113"/>
          <cell r="R113"/>
          <cell r="S113"/>
          <cell r="T113"/>
          <cell r="U113"/>
          <cell r="V113"/>
          <cell r="W113"/>
          <cell r="X113"/>
          <cell r="Y113"/>
          <cell r="Z113"/>
          <cell r="AA113"/>
          <cell r="AB113"/>
          <cell r="AC113"/>
          <cell r="AD113"/>
          <cell r="AE113"/>
        </row>
        <row r="114">
          <cell r="G114"/>
          <cell r="H114"/>
          <cell r="I114"/>
          <cell r="J114"/>
          <cell r="K114"/>
          <cell r="L114"/>
          <cell r="M114"/>
          <cell r="N114"/>
          <cell r="O114"/>
          <cell r="P114"/>
          <cell r="Q114"/>
          <cell r="R114"/>
          <cell r="S114"/>
          <cell r="T114"/>
          <cell r="U114"/>
          <cell r="V114"/>
          <cell r="W114"/>
          <cell r="X114"/>
          <cell r="Y114"/>
          <cell r="Z114"/>
          <cell r="AA114"/>
          <cell r="AB114"/>
          <cell r="AC114"/>
          <cell r="AD114"/>
          <cell r="AE114"/>
        </row>
        <row r="115">
          <cell r="G115"/>
          <cell r="H115"/>
          <cell r="I115"/>
          <cell r="J115"/>
          <cell r="K115"/>
          <cell r="L115"/>
          <cell r="M115"/>
          <cell r="N115"/>
          <cell r="O115"/>
          <cell r="P115"/>
          <cell r="Q115"/>
          <cell r="R115"/>
          <cell r="S115"/>
          <cell r="T115"/>
          <cell r="U115"/>
          <cell r="V115"/>
          <cell r="W115"/>
          <cell r="X115"/>
          <cell r="Y115"/>
          <cell r="Z115"/>
          <cell r="AA115"/>
          <cell r="AB115"/>
          <cell r="AC115"/>
          <cell r="AD115"/>
          <cell r="AE115"/>
        </row>
        <row r="116">
          <cell r="G116"/>
          <cell r="H116"/>
          <cell r="I116"/>
          <cell r="J116"/>
          <cell r="K116"/>
          <cell r="L116"/>
          <cell r="M116"/>
          <cell r="N116"/>
          <cell r="O116"/>
          <cell r="P116"/>
          <cell r="Q116"/>
          <cell r="R116"/>
          <cell r="S116"/>
          <cell r="T116"/>
          <cell r="U116"/>
          <cell r="V116"/>
          <cell r="W116"/>
          <cell r="X116"/>
          <cell r="Y116"/>
          <cell r="Z116"/>
          <cell r="AA116"/>
          <cell r="AB116"/>
          <cell r="AC116"/>
          <cell r="AD116"/>
          <cell r="AE116"/>
        </row>
        <row r="117">
          <cell r="G117"/>
          <cell r="H117"/>
          <cell r="I117"/>
          <cell r="J117"/>
          <cell r="K117"/>
          <cell r="L117"/>
          <cell r="M117"/>
          <cell r="N117"/>
          <cell r="O117"/>
          <cell r="P117"/>
          <cell r="Q117"/>
          <cell r="R117"/>
          <cell r="S117"/>
          <cell r="T117"/>
          <cell r="U117"/>
          <cell r="V117"/>
          <cell r="W117"/>
          <cell r="X117"/>
          <cell r="Y117"/>
          <cell r="Z117"/>
          <cell r="AA117"/>
          <cell r="AB117"/>
          <cell r="AC117"/>
          <cell r="AD117"/>
          <cell r="AE117"/>
        </row>
        <row r="118">
          <cell r="G118"/>
          <cell r="H118"/>
          <cell r="I118"/>
          <cell r="J118"/>
          <cell r="K118"/>
          <cell r="L118"/>
          <cell r="M118"/>
          <cell r="N118"/>
          <cell r="O118"/>
          <cell r="P118"/>
          <cell r="Q118"/>
          <cell r="R118"/>
          <cell r="S118"/>
          <cell r="T118"/>
          <cell r="U118"/>
          <cell r="V118"/>
          <cell r="W118"/>
          <cell r="X118"/>
          <cell r="Y118"/>
          <cell r="Z118"/>
          <cell r="AA118"/>
          <cell r="AB118"/>
          <cell r="AC118"/>
          <cell r="AD118"/>
          <cell r="AE118"/>
        </row>
        <row r="119">
          <cell r="G119"/>
          <cell r="H119"/>
          <cell r="I119"/>
          <cell r="J119"/>
          <cell r="K119"/>
          <cell r="L119"/>
          <cell r="M119"/>
          <cell r="N119"/>
          <cell r="O119"/>
          <cell r="P119"/>
          <cell r="Q119"/>
          <cell r="R119"/>
          <cell r="S119"/>
          <cell r="T119"/>
          <cell r="U119"/>
          <cell r="V119"/>
          <cell r="W119"/>
          <cell r="X119"/>
          <cell r="Y119"/>
          <cell r="Z119"/>
          <cell r="AA119"/>
          <cell r="AB119"/>
          <cell r="AC119"/>
          <cell r="AD119"/>
          <cell r="AE119"/>
        </row>
        <row r="120">
          <cell r="G120"/>
          <cell r="H120"/>
          <cell r="I120"/>
          <cell r="J120"/>
          <cell r="K120"/>
          <cell r="L120"/>
          <cell r="M120"/>
          <cell r="N120"/>
          <cell r="O120"/>
          <cell r="P120"/>
          <cell r="Q120"/>
          <cell r="R120"/>
          <cell r="S120"/>
          <cell r="T120"/>
          <cell r="U120"/>
          <cell r="V120"/>
          <cell r="W120"/>
          <cell r="X120"/>
          <cell r="Y120"/>
          <cell r="Z120"/>
          <cell r="AA120"/>
          <cell r="AB120"/>
          <cell r="AC120"/>
          <cell r="AD120"/>
          <cell r="AE120"/>
        </row>
        <row r="121">
          <cell r="G121"/>
          <cell r="H121"/>
          <cell r="I121"/>
          <cell r="J121"/>
          <cell r="K121"/>
          <cell r="L121"/>
          <cell r="M121"/>
          <cell r="N121"/>
          <cell r="O121"/>
          <cell r="P121"/>
          <cell r="Q121"/>
          <cell r="R121"/>
          <cell r="S121"/>
          <cell r="T121"/>
          <cell r="U121"/>
          <cell r="V121"/>
          <cell r="W121"/>
          <cell r="X121"/>
          <cell r="Y121"/>
          <cell r="Z121"/>
          <cell r="AA121"/>
          <cell r="AB121"/>
          <cell r="AC121"/>
          <cell r="AD121"/>
          <cell r="AE121"/>
        </row>
        <row r="122">
          <cell r="G122"/>
          <cell r="H122"/>
          <cell r="I122"/>
          <cell r="J122"/>
          <cell r="K122"/>
          <cell r="L122"/>
          <cell r="M122"/>
          <cell r="N122"/>
          <cell r="O122"/>
          <cell r="P122"/>
          <cell r="Q122"/>
          <cell r="R122"/>
          <cell r="S122"/>
          <cell r="T122"/>
          <cell r="U122"/>
          <cell r="V122"/>
          <cell r="W122"/>
          <cell r="X122"/>
          <cell r="Y122"/>
          <cell r="Z122"/>
          <cell r="AA122"/>
          <cell r="AB122"/>
          <cell r="AC122"/>
          <cell r="AD122"/>
          <cell r="AE122"/>
        </row>
        <row r="123">
          <cell r="G123"/>
          <cell r="H123"/>
          <cell r="I123"/>
          <cell r="J123"/>
          <cell r="K123"/>
          <cell r="L123"/>
          <cell r="M123"/>
          <cell r="N123"/>
          <cell r="O123"/>
          <cell r="P123"/>
          <cell r="Q123"/>
          <cell r="R123"/>
          <cell r="S123"/>
          <cell r="T123"/>
          <cell r="U123"/>
          <cell r="V123"/>
          <cell r="W123"/>
          <cell r="X123"/>
          <cell r="Y123"/>
          <cell r="Z123"/>
          <cell r="AA123"/>
          <cell r="AB123"/>
          <cell r="AC123"/>
          <cell r="AD123"/>
          <cell r="AE123"/>
        </row>
        <row r="124">
          <cell r="G124"/>
          <cell r="H124"/>
          <cell r="I124"/>
          <cell r="J124"/>
          <cell r="K124"/>
          <cell r="L124"/>
          <cell r="M124"/>
          <cell r="N124"/>
          <cell r="O124"/>
          <cell r="P124"/>
          <cell r="Q124"/>
          <cell r="R124"/>
          <cell r="S124"/>
          <cell r="T124"/>
          <cell r="U124"/>
          <cell r="V124"/>
          <cell r="W124"/>
          <cell r="X124"/>
          <cell r="Y124"/>
          <cell r="Z124"/>
          <cell r="AA124"/>
          <cell r="AB124"/>
          <cell r="AC124"/>
          <cell r="AD124"/>
          <cell r="AE124"/>
        </row>
        <row r="125">
          <cell r="G125"/>
          <cell r="H125"/>
          <cell r="I125"/>
          <cell r="J125"/>
          <cell r="K125"/>
          <cell r="L125"/>
          <cell r="M125"/>
          <cell r="N125"/>
          <cell r="O125"/>
          <cell r="P125"/>
          <cell r="Q125"/>
          <cell r="R125"/>
          <cell r="S125"/>
          <cell r="T125"/>
          <cell r="U125"/>
          <cell r="V125"/>
          <cell r="W125"/>
          <cell r="X125"/>
          <cell r="Y125"/>
          <cell r="Z125"/>
          <cell r="AA125"/>
          <cell r="AB125"/>
          <cell r="AC125"/>
          <cell r="AD125"/>
          <cell r="AE125"/>
        </row>
        <row r="126">
          <cell r="G126"/>
          <cell r="H126"/>
          <cell r="I126"/>
          <cell r="J126"/>
          <cell r="K126"/>
          <cell r="L126"/>
          <cell r="M126"/>
          <cell r="N126"/>
          <cell r="O126"/>
          <cell r="P126"/>
          <cell r="Q126"/>
          <cell r="R126"/>
          <cell r="S126"/>
          <cell r="T126"/>
          <cell r="U126"/>
          <cell r="V126"/>
          <cell r="W126"/>
          <cell r="X126"/>
          <cell r="Y126"/>
          <cell r="Z126"/>
          <cell r="AA126"/>
          <cell r="AB126"/>
          <cell r="AC126"/>
          <cell r="AD126"/>
          <cell r="AE126"/>
        </row>
        <row r="127">
          <cell r="G127"/>
          <cell r="H127"/>
          <cell r="I127"/>
          <cell r="J127"/>
          <cell r="K127"/>
          <cell r="L127"/>
          <cell r="M127"/>
          <cell r="N127"/>
          <cell r="O127"/>
          <cell r="P127"/>
          <cell r="Q127"/>
          <cell r="R127"/>
          <cell r="S127"/>
          <cell r="T127"/>
          <cell r="U127"/>
          <cell r="V127"/>
          <cell r="W127"/>
          <cell r="X127"/>
          <cell r="Y127"/>
          <cell r="Z127"/>
          <cell r="AA127"/>
          <cell r="AB127"/>
          <cell r="AC127"/>
          <cell r="AD127"/>
          <cell r="AE127"/>
        </row>
        <row r="128">
          <cell r="G128"/>
          <cell r="H128"/>
          <cell r="I128"/>
          <cell r="J128"/>
          <cell r="K128"/>
          <cell r="L128"/>
          <cell r="M128"/>
          <cell r="N128"/>
          <cell r="O128"/>
          <cell r="P128"/>
          <cell r="Q128"/>
          <cell r="R128"/>
          <cell r="S128"/>
          <cell r="T128"/>
          <cell r="U128"/>
          <cell r="V128"/>
          <cell r="W128"/>
          <cell r="X128"/>
          <cell r="Y128"/>
          <cell r="Z128"/>
          <cell r="AA128"/>
          <cell r="AB128"/>
          <cell r="AC128"/>
          <cell r="AD128"/>
          <cell r="AE128"/>
        </row>
        <row r="129">
          <cell r="G129"/>
          <cell r="H129"/>
          <cell r="I129"/>
          <cell r="J129"/>
          <cell r="K129"/>
          <cell r="L129"/>
          <cell r="M129"/>
          <cell r="N129"/>
          <cell r="O129"/>
          <cell r="P129"/>
          <cell r="Q129"/>
          <cell r="R129"/>
          <cell r="S129"/>
          <cell r="T129"/>
          <cell r="U129"/>
          <cell r="V129"/>
          <cell r="W129"/>
          <cell r="X129"/>
          <cell r="Y129"/>
          <cell r="Z129"/>
          <cell r="AA129"/>
          <cell r="AB129"/>
          <cell r="AC129"/>
          <cell r="AD129"/>
          <cell r="AE129"/>
        </row>
        <row r="130">
          <cell r="G130"/>
          <cell r="H130"/>
          <cell r="I130"/>
          <cell r="J130"/>
          <cell r="K130"/>
          <cell r="L130"/>
          <cell r="M130"/>
          <cell r="N130"/>
          <cell r="O130"/>
          <cell r="P130"/>
          <cell r="Q130"/>
          <cell r="R130"/>
          <cell r="S130"/>
          <cell r="T130"/>
          <cell r="U130"/>
          <cell r="V130"/>
          <cell r="W130"/>
          <cell r="X130"/>
          <cell r="Y130"/>
          <cell r="Z130"/>
          <cell r="AA130"/>
          <cell r="AB130"/>
          <cell r="AC130"/>
          <cell r="AD130"/>
          <cell r="AE130"/>
        </row>
        <row r="131">
          <cell r="G131"/>
          <cell r="H131"/>
          <cell r="I131"/>
          <cell r="J131"/>
          <cell r="K131"/>
          <cell r="L131"/>
          <cell r="M131"/>
          <cell r="N131"/>
          <cell r="O131"/>
          <cell r="P131"/>
          <cell r="Q131"/>
          <cell r="R131"/>
          <cell r="S131"/>
          <cell r="T131"/>
          <cell r="U131"/>
          <cell r="V131"/>
          <cell r="W131"/>
          <cell r="X131"/>
          <cell r="Y131"/>
          <cell r="Z131"/>
          <cell r="AA131"/>
          <cell r="AB131"/>
          <cell r="AC131"/>
          <cell r="AD131"/>
          <cell r="AE131"/>
        </row>
        <row r="132">
          <cell r="G132"/>
          <cell r="H132"/>
          <cell r="I132"/>
          <cell r="J132"/>
          <cell r="K132"/>
          <cell r="L132"/>
          <cell r="M132"/>
          <cell r="N132"/>
          <cell r="O132"/>
          <cell r="P132"/>
          <cell r="Q132"/>
          <cell r="R132"/>
          <cell r="S132"/>
          <cell r="T132"/>
          <cell r="U132"/>
          <cell r="V132"/>
          <cell r="W132"/>
          <cell r="X132"/>
          <cell r="Y132"/>
          <cell r="Z132"/>
          <cell r="AA132"/>
          <cell r="AB132"/>
          <cell r="AC132"/>
          <cell r="AD132"/>
          <cell r="AE132"/>
        </row>
        <row r="133">
          <cell r="G133"/>
          <cell r="H133"/>
          <cell r="I133"/>
          <cell r="J133"/>
          <cell r="K133"/>
          <cell r="L133"/>
          <cell r="M133"/>
          <cell r="N133"/>
          <cell r="O133"/>
          <cell r="P133"/>
          <cell r="Q133"/>
          <cell r="R133"/>
          <cell r="S133"/>
          <cell r="T133"/>
          <cell r="U133"/>
          <cell r="V133"/>
          <cell r="W133"/>
          <cell r="X133"/>
          <cell r="Y133"/>
          <cell r="Z133"/>
          <cell r="AA133"/>
          <cell r="AB133"/>
          <cell r="AC133"/>
          <cell r="AD133"/>
          <cell r="AE133"/>
        </row>
        <row r="134">
          <cell r="G134"/>
          <cell r="H134"/>
          <cell r="I134"/>
          <cell r="J134"/>
          <cell r="K134"/>
          <cell r="L134"/>
          <cell r="M134"/>
          <cell r="N134"/>
          <cell r="O134"/>
          <cell r="P134"/>
          <cell r="Q134"/>
          <cell r="R134"/>
          <cell r="S134"/>
          <cell r="T134"/>
          <cell r="U134"/>
          <cell r="V134"/>
          <cell r="W134"/>
          <cell r="X134"/>
          <cell r="Y134"/>
          <cell r="Z134"/>
          <cell r="AA134"/>
          <cell r="AB134"/>
          <cell r="AC134"/>
          <cell r="AD134"/>
          <cell r="AE134"/>
        </row>
        <row r="135">
          <cell r="G135"/>
          <cell r="H135"/>
          <cell r="I135"/>
          <cell r="J135"/>
          <cell r="K135"/>
          <cell r="L135"/>
          <cell r="M135"/>
          <cell r="N135"/>
          <cell r="O135"/>
          <cell r="P135"/>
          <cell r="Q135"/>
          <cell r="R135"/>
          <cell r="S135"/>
          <cell r="T135"/>
          <cell r="U135"/>
          <cell r="V135"/>
          <cell r="W135"/>
          <cell r="X135"/>
          <cell r="Y135"/>
          <cell r="Z135"/>
          <cell r="AA135"/>
          <cell r="AB135"/>
          <cell r="AC135"/>
          <cell r="AD135"/>
          <cell r="AE135"/>
        </row>
        <row r="136">
          <cell r="G136"/>
          <cell r="H136"/>
          <cell r="I136"/>
          <cell r="J136"/>
          <cell r="K136"/>
          <cell r="L136"/>
          <cell r="M136"/>
          <cell r="N136"/>
          <cell r="O136"/>
          <cell r="P136"/>
          <cell r="Q136"/>
          <cell r="R136"/>
          <cell r="S136"/>
          <cell r="T136"/>
          <cell r="U136"/>
          <cell r="V136"/>
          <cell r="W136"/>
          <cell r="X136"/>
          <cell r="Y136"/>
          <cell r="Z136"/>
          <cell r="AA136"/>
          <cell r="AB136"/>
          <cell r="AC136"/>
          <cell r="AD136"/>
          <cell r="AE136"/>
        </row>
        <row r="137">
          <cell r="G137"/>
          <cell r="H137"/>
          <cell r="I137"/>
          <cell r="J137"/>
          <cell r="K137"/>
          <cell r="L137"/>
          <cell r="M137"/>
          <cell r="N137"/>
          <cell r="O137"/>
          <cell r="P137"/>
          <cell r="Q137"/>
          <cell r="R137"/>
          <cell r="S137"/>
          <cell r="T137"/>
          <cell r="U137"/>
          <cell r="V137"/>
          <cell r="W137"/>
          <cell r="X137"/>
          <cell r="Y137"/>
          <cell r="Z137"/>
          <cell r="AA137"/>
          <cell r="AB137"/>
          <cell r="AC137"/>
          <cell r="AD137"/>
          <cell r="AE137"/>
        </row>
        <row r="138">
          <cell r="G138"/>
          <cell r="H138"/>
          <cell r="I138"/>
          <cell r="J138"/>
          <cell r="K138"/>
          <cell r="L138"/>
          <cell r="M138"/>
          <cell r="N138"/>
          <cell r="O138"/>
          <cell r="P138"/>
          <cell r="Q138"/>
          <cell r="R138"/>
          <cell r="S138"/>
          <cell r="T138"/>
          <cell r="U138"/>
          <cell r="V138"/>
          <cell r="W138"/>
          <cell r="X138"/>
          <cell r="Y138"/>
          <cell r="Z138"/>
          <cell r="AA138"/>
          <cell r="AB138"/>
          <cell r="AC138"/>
          <cell r="AD138"/>
          <cell r="AE138"/>
        </row>
        <row r="139">
          <cell r="G139"/>
          <cell r="H139"/>
          <cell r="I139"/>
          <cell r="J139"/>
          <cell r="K139"/>
          <cell r="L139"/>
          <cell r="M139"/>
          <cell r="N139"/>
          <cell r="O139"/>
          <cell r="P139"/>
          <cell r="Q139"/>
          <cell r="R139"/>
          <cell r="S139"/>
          <cell r="T139"/>
          <cell r="U139"/>
          <cell r="V139"/>
          <cell r="W139"/>
          <cell r="X139"/>
          <cell r="Y139"/>
          <cell r="Z139"/>
          <cell r="AA139"/>
          <cell r="AB139"/>
          <cell r="AC139"/>
          <cell r="AD139"/>
          <cell r="AE139"/>
        </row>
        <row r="140">
          <cell r="G140"/>
          <cell r="H140"/>
          <cell r="I140"/>
          <cell r="J140"/>
          <cell r="K140"/>
          <cell r="L140"/>
          <cell r="M140"/>
          <cell r="N140"/>
          <cell r="O140"/>
          <cell r="P140"/>
          <cell r="Q140"/>
          <cell r="R140"/>
          <cell r="S140"/>
          <cell r="T140"/>
          <cell r="U140"/>
          <cell r="V140"/>
          <cell r="W140"/>
          <cell r="X140"/>
          <cell r="Y140"/>
          <cell r="Z140"/>
          <cell r="AA140"/>
          <cell r="AB140"/>
          <cell r="AC140"/>
          <cell r="AD140"/>
          <cell r="AE140"/>
        </row>
        <row r="141">
          <cell r="G141"/>
          <cell r="H141"/>
          <cell r="I141"/>
          <cell r="J141"/>
          <cell r="K141"/>
          <cell r="L141"/>
          <cell r="M141"/>
          <cell r="N141"/>
          <cell r="O141"/>
          <cell r="P141"/>
          <cell r="Q141"/>
          <cell r="R141"/>
          <cell r="S141"/>
          <cell r="T141"/>
          <cell r="U141"/>
          <cell r="V141"/>
          <cell r="W141"/>
          <cell r="X141"/>
          <cell r="Y141"/>
          <cell r="Z141"/>
          <cell r="AA141"/>
          <cell r="AB141"/>
          <cell r="AC141"/>
          <cell r="AD141"/>
          <cell r="AE141"/>
        </row>
        <row r="142">
          <cell r="G142"/>
          <cell r="H142"/>
          <cell r="I142"/>
          <cell r="J142"/>
          <cell r="K142"/>
          <cell r="L142"/>
          <cell r="M142"/>
          <cell r="N142"/>
          <cell r="O142"/>
          <cell r="P142"/>
          <cell r="Q142"/>
          <cell r="R142"/>
          <cell r="S142"/>
          <cell r="T142"/>
          <cell r="U142"/>
          <cell r="V142"/>
          <cell r="W142"/>
          <cell r="X142"/>
          <cell r="Y142"/>
          <cell r="Z142"/>
          <cell r="AA142"/>
          <cell r="AB142"/>
          <cell r="AC142"/>
          <cell r="AD142"/>
          <cell r="AE142"/>
        </row>
        <row r="143">
          <cell r="G143"/>
          <cell r="H143"/>
          <cell r="I143"/>
          <cell r="J143"/>
          <cell r="K143"/>
          <cell r="L143"/>
          <cell r="M143"/>
          <cell r="N143"/>
          <cell r="O143"/>
          <cell r="P143"/>
          <cell r="Q143"/>
          <cell r="R143"/>
          <cell r="S143"/>
          <cell r="T143"/>
          <cell r="U143"/>
          <cell r="V143"/>
          <cell r="W143"/>
          <cell r="X143"/>
          <cell r="Y143"/>
          <cell r="Z143"/>
          <cell r="AA143"/>
          <cell r="AB143"/>
          <cell r="AC143"/>
          <cell r="AD143"/>
          <cell r="AE143"/>
        </row>
        <row r="144">
          <cell r="G144"/>
          <cell r="H144"/>
          <cell r="I144"/>
          <cell r="J144"/>
          <cell r="K144"/>
          <cell r="L144"/>
          <cell r="M144"/>
          <cell r="N144"/>
          <cell r="O144"/>
          <cell r="P144"/>
          <cell r="Q144"/>
          <cell r="R144"/>
          <cell r="S144"/>
          <cell r="T144"/>
          <cell r="U144"/>
          <cell r="V144"/>
          <cell r="W144"/>
          <cell r="X144"/>
          <cell r="Y144"/>
          <cell r="Z144"/>
          <cell r="AA144"/>
          <cell r="AB144"/>
          <cell r="AC144"/>
          <cell r="AD144"/>
          <cell r="AE144"/>
        </row>
        <row r="145">
          <cell r="G145"/>
          <cell r="H145"/>
          <cell r="I145"/>
          <cell r="J145"/>
          <cell r="K145"/>
          <cell r="L145"/>
          <cell r="M145"/>
          <cell r="N145"/>
          <cell r="O145"/>
          <cell r="P145"/>
          <cell r="Q145"/>
          <cell r="R145"/>
          <cell r="S145"/>
          <cell r="T145"/>
          <cell r="U145"/>
          <cell r="V145"/>
          <cell r="W145"/>
          <cell r="X145"/>
          <cell r="Y145"/>
          <cell r="Z145"/>
          <cell r="AA145"/>
          <cell r="AB145"/>
          <cell r="AC145"/>
          <cell r="AD145"/>
          <cell r="AE145"/>
        </row>
        <row r="146">
          <cell r="G146"/>
          <cell r="H146"/>
          <cell r="I146"/>
          <cell r="J146"/>
          <cell r="K146"/>
          <cell r="L146"/>
          <cell r="M146"/>
          <cell r="N146"/>
          <cell r="O146"/>
          <cell r="P146"/>
          <cell r="Q146"/>
          <cell r="R146"/>
          <cell r="S146"/>
          <cell r="T146"/>
          <cell r="U146"/>
          <cell r="V146"/>
          <cell r="W146"/>
          <cell r="X146"/>
          <cell r="Y146"/>
          <cell r="Z146"/>
          <cell r="AA146"/>
          <cell r="AB146"/>
          <cell r="AC146"/>
          <cell r="AD146"/>
          <cell r="AE146"/>
        </row>
        <row r="147">
          <cell r="G147"/>
          <cell r="H147"/>
          <cell r="I147"/>
          <cell r="J147"/>
          <cell r="K147"/>
          <cell r="L147"/>
          <cell r="M147"/>
          <cell r="N147"/>
          <cell r="O147"/>
          <cell r="P147"/>
          <cell r="Q147"/>
          <cell r="R147"/>
          <cell r="S147"/>
          <cell r="T147"/>
          <cell r="U147"/>
          <cell r="V147"/>
          <cell r="W147"/>
          <cell r="X147"/>
          <cell r="Y147"/>
          <cell r="Z147"/>
          <cell r="AA147"/>
          <cell r="AB147"/>
          <cell r="AC147"/>
          <cell r="AD147"/>
          <cell r="AE147"/>
        </row>
        <row r="148">
          <cell r="G148"/>
          <cell r="H148"/>
          <cell r="I148"/>
          <cell r="J148"/>
          <cell r="K148"/>
          <cell r="L148"/>
          <cell r="M148"/>
          <cell r="N148"/>
          <cell r="O148"/>
          <cell r="P148"/>
          <cell r="Q148"/>
          <cell r="R148"/>
          <cell r="S148"/>
          <cell r="T148"/>
          <cell r="U148"/>
          <cell r="V148"/>
          <cell r="W148"/>
          <cell r="X148"/>
          <cell r="Y148"/>
          <cell r="Z148"/>
          <cell r="AA148"/>
          <cell r="AB148"/>
          <cell r="AC148"/>
          <cell r="AD148"/>
          <cell r="AE148"/>
        </row>
        <row r="149">
          <cell r="G149"/>
          <cell r="H149"/>
          <cell r="I149"/>
          <cell r="J149"/>
          <cell r="K149"/>
          <cell r="L149"/>
          <cell r="M149"/>
          <cell r="N149"/>
          <cell r="O149"/>
          <cell r="P149"/>
          <cell r="Q149"/>
          <cell r="R149"/>
          <cell r="S149"/>
          <cell r="T149"/>
          <cell r="U149"/>
          <cell r="V149"/>
          <cell r="W149"/>
          <cell r="X149"/>
          <cell r="Y149"/>
          <cell r="Z149"/>
          <cell r="AA149"/>
          <cell r="AB149"/>
          <cell r="AC149"/>
          <cell r="AD149"/>
          <cell r="AE149"/>
        </row>
        <row r="150">
          <cell r="G150"/>
          <cell r="H150"/>
          <cell r="I150"/>
          <cell r="J150"/>
          <cell r="K150"/>
          <cell r="L150"/>
          <cell r="M150"/>
          <cell r="N150"/>
          <cell r="O150"/>
          <cell r="P150"/>
          <cell r="Q150"/>
          <cell r="R150"/>
          <cell r="S150"/>
          <cell r="T150"/>
          <cell r="U150"/>
          <cell r="V150"/>
          <cell r="W150"/>
          <cell r="X150"/>
          <cell r="Y150"/>
          <cell r="Z150"/>
          <cell r="AA150"/>
          <cell r="AB150"/>
          <cell r="AC150"/>
          <cell r="AD150"/>
          <cell r="AE150"/>
        </row>
        <row r="151">
          <cell r="G151"/>
          <cell r="H151"/>
          <cell r="I151"/>
          <cell r="J151"/>
          <cell r="K151"/>
          <cell r="L151"/>
          <cell r="M151"/>
          <cell r="N151"/>
          <cell r="O151"/>
          <cell r="P151"/>
          <cell r="Q151"/>
          <cell r="R151"/>
          <cell r="S151"/>
          <cell r="T151"/>
          <cell r="U151"/>
          <cell r="V151"/>
          <cell r="W151"/>
          <cell r="X151"/>
          <cell r="Y151"/>
          <cell r="Z151"/>
          <cell r="AA151"/>
          <cell r="AB151"/>
          <cell r="AC151"/>
          <cell r="AD151"/>
          <cell r="AE151"/>
        </row>
        <row r="152">
          <cell r="G152"/>
          <cell r="H152"/>
          <cell r="I152"/>
          <cell r="J152"/>
          <cell r="K152"/>
          <cell r="L152"/>
          <cell r="M152"/>
          <cell r="N152"/>
          <cell r="O152"/>
          <cell r="P152"/>
          <cell r="Q152"/>
          <cell r="R152"/>
          <cell r="S152"/>
          <cell r="T152"/>
          <cell r="U152"/>
          <cell r="V152"/>
          <cell r="W152"/>
          <cell r="X152"/>
          <cell r="Y152"/>
          <cell r="Z152"/>
          <cell r="AA152"/>
          <cell r="AB152"/>
          <cell r="AC152"/>
          <cell r="AD152"/>
          <cell r="AE152"/>
        </row>
        <row r="153">
          <cell r="G153"/>
          <cell r="H153"/>
          <cell r="I153"/>
          <cell r="J153"/>
          <cell r="K153"/>
          <cell r="L153"/>
          <cell r="M153"/>
          <cell r="N153"/>
          <cell r="O153"/>
          <cell r="P153"/>
          <cell r="Q153"/>
          <cell r="R153"/>
          <cell r="S153"/>
          <cell r="T153"/>
          <cell r="U153"/>
          <cell r="V153"/>
          <cell r="W153"/>
          <cell r="X153"/>
          <cell r="Y153"/>
          <cell r="Z153"/>
          <cell r="AA153"/>
          <cell r="AB153"/>
          <cell r="AC153"/>
          <cell r="AD153"/>
          <cell r="AE153"/>
        </row>
        <row r="154">
          <cell r="G154"/>
          <cell r="H154"/>
          <cell r="I154"/>
          <cell r="J154"/>
          <cell r="K154"/>
          <cell r="L154"/>
          <cell r="M154"/>
          <cell r="N154"/>
          <cell r="O154"/>
          <cell r="P154"/>
          <cell r="Q154"/>
          <cell r="R154"/>
          <cell r="S154"/>
          <cell r="T154"/>
          <cell r="U154"/>
          <cell r="V154"/>
          <cell r="W154"/>
          <cell r="X154"/>
          <cell r="Y154"/>
          <cell r="Z154"/>
          <cell r="AA154"/>
          <cell r="AB154"/>
          <cell r="AC154"/>
          <cell r="AD154"/>
          <cell r="AE154"/>
        </row>
        <row r="155">
          <cell r="G155"/>
          <cell r="H155"/>
          <cell r="I155"/>
          <cell r="J155"/>
          <cell r="K155"/>
          <cell r="L155"/>
          <cell r="M155"/>
          <cell r="N155"/>
          <cell r="O155"/>
          <cell r="P155"/>
          <cell r="Q155"/>
          <cell r="R155"/>
          <cell r="S155"/>
          <cell r="T155"/>
          <cell r="U155"/>
          <cell r="V155"/>
          <cell r="W155"/>
          <cell r="X155"/>
          <cell r="Y155"/>
          <cell r="Z155"/>
          <cell r="AA155"/>
          <cell r="AB155"/>
          <cell r="AC155"/>
          <cell r="AD155"/>
          <cell r="AE155"/>
        </row>
        <row r="156">
          <cell r="G156"/>
          <cell r="H156"/>
          <cell r="I156"/>
          <cell r="J156"/>
          <cell r="K156"/>
          <cell r="L156"/>
          <cell r="M156"/>
          <cell r="N156"/>
          <cell r="O156"/>
          <cell r="P156"/>
          <cell r="Q156"/>
          <cell r="R156"/>
          <cell r="S156"/>
          <cell r="T156"/>
          <cell r="U156"/>
          <cell r="V156"/>
          <cell r="W156"/>
          <cell r="X156"/>
          <cell r="Y156"/>
          <cell r="Z156"/>
          <cell r="AA156"/>
          <cell r="AB156"/>
          <cell r="AC156"/>
          <cell r="AD156"/>
          <cell r="AE156"/>
        </row>
        <row r="157">
          <cell r="G157"/>
          <cell r="H157"/>
          <cell r="I157"/>
          <cell r="J157"/>
          <cell r="K157"/>
          <cell r="L157"/>
          <cell r="M157"/>
          <cell r="N157"/>
          <cell r="O157"/>
          <cell r="P157"/>
          <cell r="Q157"/>
          <cell r="R157"/>
          <cell r="S157"/>
          <cell r="T157"/>
          <cell r="U157"/>
          <cell r="V157"/>
          <cell r="W157"/>
          <cell r="X157"/>
          <cell r="Y157"/>
          <cell r="Z157"/>
          <cell r="AA157"/>
          <cell r="AB157"/>
          <cell r="AC157"/>
          <cell r="AD157"/>
          <cell r="AE157"/>
        </row>
        <row r="158">
          <cell r="G158"/>
          <cell r="H158"/>
          <cell r="I158"/>
          <cell r="J158"/>
          <cell r="K158"/>
          <cell r="L158"/>
          <cell r="M158"/>
          <cell r="N158"/>
          <cell r="O158"/>
          <cell r="P158"/>
          <cell r="Q158"/>
          <cell r="R158"/>
          <cell r="S158"/>
          <cell r="T158"/>
          <cell r="U158"/>
          <cell r="V158"/>
          <cell r="W158"/>
          <cell r="X158"/>
          <cell r="Y158"/>
          <cell r="Z158"/>
          <cell r="AA158"/>
          <cell r="AB158"/>
          <cell r="AC158"/>
          <cell r="AD158"/>
          <cell r="AE158"/>
        </row>
        <row r="159">
          <cell r="G159"/>
          <cell r="H159"/>
          <cell r="I159"/>
          <cell r="J159"/>
          <cell r="K159"/>
          <cell r="L159"/>
          <cell r="M159"/>
          <cell r="N159"/>
          <cell r="O159"/>
          <cell r="P159"/>
          <cell r="Q159"/>
          <cell r="R159"/>
          <cell r="S159"/>
          <cell r="T159"/>
          <cell r="U159"/>
          <cell r="V159"/>
          <cell r="W159"/>
          <cell r="X159"/>
          <cell r="Y159"/>
          <cell r="Z159"/>
          <cell r="AA159"/>
          <cell r="AB159"/>
          <cell r="AC159"/>
          <cell r="AD159"/>
          <cell r="AE159"/>
        </row>
        <row r="160">
          <cell r="G160"/>
          <cell r="H160"/>
          <cell r="I160"/>
          <cell r="J160"/>
          <cell r="K160"/>
          <cell r="L160"/>
          <cell r="M160"/>
          <cell r="N160"/>
          <cell r="O160"/>
          <cell r="P160"/>
          <cell r="Q160"/>
          <cell r="R160"/>
          <cell r="S160"/>
          <cell r="T160"/>
          <cell r="U160"/>
          <cell r="V160"/>
          <cell r="W160"/>
          <cell r="X160"/>
          <cell r="Y160"/>
          <cell r="Z160"/>
          <cell r="AA160"/>
          <cell r="AB160"/>
          <cell r="AC160"/>
          <cell r="AD160"/>
          <cell r="AE160"/>
        </row>
        <row r="161">
          <cell r="G161"/>
          <cell r="H161"/>
          <cell r="I161"/>
          <cell r="J161"/>
          <cell r="K161"/>
          <cell r="L161"/>
          <cell r="M161"/>
          <cell r="N161"/>
          <cell r="O161"/>
          <cell r="P161"/>
          <cell r="Q161"/>
          <cell r="R161"/>
          <cell r="S161"/>
          <cell r="T161"/>
          <cell r="U161"/>
          <cell r="V161"/>
          <cell r="W161"/>
          <cell r="X161"/>
          <cell r="Y161"/>
          <cell r="Z161"/>
          <cell r="AA161"/>
          <cell r="AB161"/>
          <cell r="AC161"/>
          <cell r="AD161"/>
          <cell r="AE161"/>
        </row>
        <row r="162">
          <cell r="G162"/>
          <cell r="H162"/>
          <cell r="I162"/>
          <cell r="J162"/>
          <cell r="K162"/>
          <cell r="L162"/>
          <cell r="M162"/>
          <cell r="N162"/>
          <cell r="O162"/>
          <cell r="P162"/>
          <cell r="Q162"/>
          <cell r="R162"/>
          <cell r="S162"/>
          <cell r="T162"/>
          <cell r="U162"/>
          <cell r="V162"/>
          <cell r="W162"/>
          <cell r="X162"/>
          <cell r="Y162"/>
          <cell r="Z162"/>
          <cell r="AA162"/>
          <cell r="AB162"/>
          <cell r="AC162"/>
          <cell r="AD162"/>
          <cell r="AE162"/>
        </row>
        <row r="163">
          <cell r="G163"/>
          <cell r="H163"/>
          <cell r="I163"/>
          <cell r="J163"/>
          <cell r="K163"/>
          <cell r="L163"/>
          <cell r="M163"/>
          <cell r="N163"/>
          <cell r="O163"/>
          <cell r="P163"/>
          <cell r="Q163"/>
          <cell r="R163"/>
          <cell r="S163"/>
          <cell r="T163"/>
          <cell r="U163"/>
          <cell r="V163"/>
          <cell r="W163"/>
          <cell r="X163"/>
          <cell r="Y163"/>
          <cell r="Z163"/>
          <cell r="AA163"/>
          <cell r="AB163"/>
          <cell r="AC163"/>
          <cell r="AD163"/>
          <cell r="AE163"/>
        </row>
        <row r="164">
          <cell r="G164"/>
          <cell r="H164"/>
          <cell r="I164"/>
          <cell r="J164"/>
          <cell r="K164"/>
          <cell r="L164"/>
          <cell r="M164"/>
          <cell r="N164"/>
          <cell r="O164"/>
          <cell r="P164"/>
          <cell r="Q164"/>
          <cell r="R164"/>
          <cell r="S164"/>
          <cell r="T164"/>
          <cell r="U164"/>
          <cell r="V164"/>
          <cell r="W164"/>
          <cell r="X164"/>
          <cell r="Y164"/>
          <cell r="Z164"/>
          <cell r="AA164"/>
          <cell r="AB164"/>
          <cell r="AC164"/>
          <cell r="AD164"/>
          <cell r="AE164"/>
        </row>
        <row r="165">
          <cell r="G165"/>
          <cell r="H165"/>
          <cell r="I165"/>
          <cell r="J165"/>
          <cell r="K165"/>
          <cell r="L165"/>
          <cell r="M165"/>
          <cell r="N165"/>
          <cell r="O165"/>
          <cell r="P165"/>
          <cell r="Q165"/>
          <cell r="R165"/>
          <cell r="S165"/>
          <cell r="T165"/>
          <cell r="U165"/>
          <cell r="V165"/>
          <cell r="W165"/>
          <cell r="X165"/>
          <cell r="Y165"/>
          <cell r="Z165"/>
          <cell r="AA165"/>
          <cell r="AB165"/>
          <cell r="AC165"/>
          <cell r="AD165"/>
          <cell r="AE165"/>
        </row>
        <row r="166">
          <cell r="G166"/>
          <cell r="H166"/>
          <cell r="I166"/>
          <cell r="J166"/>
          <cell r="K166"/>
          <cell r="L166"/>
          <cell r="M166"/>
          <cell r="N166"/>
          <cell r="O166"/>
          <cell r="P166"/>
          <cell r="Q166"/>
          <cell r="R166"/>
          <cell r="S166"/>
          <cell r="T166"/>
          <cell r="U166"/>
          <cell r="V166"/>
          <cell r="W166"/>
          <cell r="X166"/>
          <cell r="Y166"/>
          <cell r="Z166"/>
          <cell r="AA166"/>
          <cell r="AB166"/>
          <cell r="AC166"/>
          <cell r="AD166"/>
          <cell r="AE166"/>
        </row>
        <row r="167">
          <cell r="G167"/>
          <cell r="H167"/>
          <cell r="I167"/>
          <cell r="J167"/>
          <cell r="K167"/>
          <cell r="L167"/>
          <cell r="M167"/>
          <cell r="N167"/>
          <cell r="O167"/>
          <cell r="P167"/>
          <cell r="Q167"/>
          <cell r="R167"/>
          <cell r="S167"/>
          <cell r="T167"/>
          <cell r="U167"/>
          <cell r="V167"/>
          <cell r="W167"/>
          <cell r="X167"/>
          <cell r="Y167"/>
          <cell r="Z167"/>
          <cell r="AA167"/>
          <cell r="AB167"/>
          <cell r="AC167"/>
          <cell r="AD167"/>
          <cell r="AE167"/>
        </row>
        <row r="168">
          <cell r="G168"/>
          <cell r="H168"/>
          <cell r="I168"/>
          <cell r="J168"/>
          <cell r="K168"/>
          <cell r="L168"/>
          <cell r="M168"/>
          <cell r="N168"/>
          <cell r="O168"/>
          <cell r="P168"/>
          <cell r="Q168"/>
          <cell r="R168"/>
          <cell r="S168"/>
          <cell r="T168"/>
          <cell r="U168"/>
          <cell r="V168"/>
          <cell r="W168"/>
          <cell r="X168"/>
          <cell r="Y168"/>
          <cell r="Z168"/>
          <cell r="AA168"/>
          <cell r="AB168"/>
          <cell r="AC168"/>
          <cell r="AD168"/>
          <cell r="AE168"/>
        </row>
        <row r="169">
          <cell r="G169"/>
          <cell r="H169"/>
          <cell r="I169"/>
          <cell r="J169"/>
          <cell r="K169"/>
          <cell r="L169"/>
          <cell r="M169"/>
          <cell r="N169"/>
          <cell r="O169"/>
          <cell r="P169"/>
          <cell r="Q169"/>
          <cell r="R169"/>
          <cell r="S169"/>
          <cell r="T169"/>
          <cell r="U169"/>
          <cell r="V169"/>
          <cell r="W169"/>
          <cell r="X169"/>
          <cell r="Y169"/>
          <cell r="Z169"/>
          <cell r="AA169"/>
          <cell r="AB169"/>
          <cell r="AC169"/>
          <cell r="AD169"/>
          <cell r="AE169"/>
        </row>
        <row r="170">
          <cell r="G170"/>
          <cell r="H170"/>
          <cell r="I170"/>
          <cell r="J170"/>
          <cell r="K170"/>
          <cell r="L170"/>
          <cell r="M170"/>
          <cell r="N170"/>
          <cell r="O170"/>
          <cell r="P170"/>
          <cell r="Q170"/>
          <cell r="R170"/>
          <cell r="S170"/>
          <cell r="T170"/>
          <cell r="U170"/>
          <cell r="V170"/>
          <cell r="W170"/>
          <cell r="X170"/>
          <cell r="Y170"/>
          <cell r="Z170"/>
          <cell r="AA170"/>
          <cell r="AB170"/>
          <cell r="AC170"/>
          <cell r="AD170"/>
          <cell r="AE170"/>
        </row>
        <row r="171">
          <cell r="G171"/>
          <cell r="H171"/>
          <cell r="I171"/>
          <cell r="J171"/>
          <cell r="K171"/>
          <cell r="L171"/>
          <cell r="M171"/>
          <cell r="N171"/>
          <cell r="O171"/>
          <cell r="P171"/>
          <cell r="Q171"/>
          <cell r="R171"/>
          <cell r="S171"/>
          <cell r="T171"/>
          <cell r="U171"/>
          <cell r="V171"/>
          <cell r="W171"/>
          <cell r="X171"/>
          <cell r="Y171"/>
          <cell r="Z171"/>
          <cell r="AA171"/>
          <cell r="AB171"/>
          <cell r="AC171"/>
          <cell r="AD171"/>
          <cell r="AE171"/>
        </row>
        <row r="172">
          <cell r="G172"/>
          <cell r="H172"/>
          <cell r="I172"/>
          <cell r="J172"/>
          <cell r="K172"/>
          <cell r="L172"/>
          <cell r="M172"/>
          <cell r="N172"/>
          <cell r="O172"/>
          <cell r="P172"/>
          <cell r="Q172"/>
          <cell r="R172"/>
          <cell r="S172"/>
          <cell r="T172"/>
          <cell r="U172"/>
          <cell r="V172"/>
          <cell r="W172"/>
          <cell r="X172"/>
          <cell r="Y172"/>
          <cell r="Z172"/>
          <cell r="AA172"/>
          <cell r="AB172"/>
          <cell r="AC172"/>
          <cell r="AD172"/>
          <cell r="AE172"/>
        </row>
        <row r="173">
          <cell r="G173"/>
          <cell r="H173"/>
          <cell r="I173"/>
          <cell r="J173"/>
          <cell r="K173"/>
          <cell r="L173"/>
          <cell r="M173"/>
          <cell r="N173"/>
          <cell r="O173"/>
          <cell r="P173"/>
          <cell r="Q173"/>
          <cell r="R173"/>
          <cell r="S173"/>
          <cell r="T173"/>
          <cell r="U173"/>
          <cell r="V173"/>
          <cell r="W173"/>
          <cell r="X173"/>
          <cell r="Y173"/>
          <cell r="Z173"/>
          <cell r="AA173"/>
          <cell r="AB173"/>
          <cell r="AC173"/>
          <cell r="AD173"/>
          <cell r="AE173"/>
        </row>
        <row r="174">
          <cell r="G174"/>
          <cell r="H174"/>
          <cell r="I174"/>
          <cell r="J174"/>
          <cell r="K174"/>
          <cell r="L174"/>
          <cell r="M174"/>
          <cell r="N174"/>
          <cell r="O174"/>
          <cell r="P174"/>
          <cell r="Q174"/>
          <cell r="R174"/>
          <cell r="S174"/>
          <cell r="T174"/>
          <cell r="U174"/>
          <cell r="V174"/>
          <cell r="W174"/>
          <cell r="X174"/>
          <cell r="Y174"/>
          <cell r="Z174"/>
          <cell r="AA174"/>
          <cell r="AB174"/>
          <cell r="AC174"/>
          <cell r="AD174"/>
          <cell r="AE174"/>
        </row>
        <row r="175">
          <cell r="G175"/>
          <cell r="H175"/>
          <cell r="I175"/>
          <cell r="J175"/>
          <cell r="K175"/>
          <cell r="L175"/>
          <cell r="M175"/>
          <cell r="N175"/>
          <cell r="O175"/>
          <cell r="P175"/>
          <cell r="Q175"/>
          <cell r="R175"/>
          <cell r="S175"/>
          <cell r="T175"/>
          <cell r="U175"/>
          <cell r="V175"/>
          <cell r="W175"/>
          <cell r="X175"/>
          <cell r="Y175"/>
          <cell r="Z175"/>
          <cell r="AA175"/>
          <cell r="AB175"/>
          <cell r="AC175"/>
          <cell r="AD175"/>
          <cell r="AE175"/>
        </row>
        <row r="176">
          <cell r="G176"/>
          <cell r="H176"/>
          <cell r="I176"/>
          <cell r="J176"/>
          <cell r="K176"/>
          <cell r="L176"/>
          <cell r="M176"/>
          <cell r="N176"/>
          <cell r="O176"/>
          <cell r="P176"/>
          <cell r="Q176"/>
          <cell r="R176"/>
          <cell r="S176"/>
          <cell r="T176"/>
          <cell r="U176"/>
          <cell r="V176"/>
          <cell r="W176"/>
          <cell r="X176"/>
          <cell r="Y176"/>
          <cell r="Z176"/>
          <cell r="AA176"/>
          <cell r="AB176"/>
          <cell r="AC176"/>
          <cell r="AD176"/>
          <cell r="AE176"/>
        </row>
        <row r="177">
          <cell r="G177"/>
          <cell r="H177"/>
          <cell r="I177"/>
          <cell r="J177"/>
          <cell r="K177"/>
          <cell r="L177"/>
          <cell r="M177"/>
          <cell r="N177"/>
          <cell r="O177"/>
          <cell r="P177"/>
          <cell r="Q177"/>
          <cell r="R177"/>
          <cell r="S177"/>
          <cell r="T177"/>
          <cell r="U177"/>
          <cell r="V177"/>
          <cell r="W177"/>
          <cell r="X177"/>
          <cell r="Y177"/>
          <cell r="Z177"/>
          <cell r="AA177"/>
          <cell r="AB177"/>
          <cell r="AC177"/>
          <cell r="AD177"/>
          <cell r="AE177"/>
        </row>
        <row r="178">
          <cell r="G178"/>
          <cell r="H178"/>
          <cell r="I178"/>
          <cell r="J178"/>
          <cell r="K178"/>
          <cell r="L178"/>
          <cell r="M178"/>
          <cell r="N178"/>
          <cell r="O178"/>
          <cell r="P178"/>
          <cell r="Q178"/>
          <cell r="R178"/>
          <cell r="S178"/>
          <cell r="T178"/>
          <cell r="U178"/>
          <cell r="V178"/>
          <cell r="W178"/>
          <cell r="X178"/>
          <cell r="Y178"/>
          <cell r="Z178"/>
          <cell r="AA178"/>
          <cell r="AB178"/>
          <cell r="AC178"/>
          <cell r="AD178"/>
          <cell r="AE178"/>
        </row>
        <row r="179">
          <cell r="G179"/>
          <cell r="H179"/>
          <cell r="I179"/>
          <cell r="J179"/>
          <cell r="K179"/>
          <cell r="L179"/>
          <cell r="M179"/>
          <cell r="N179"/>
          <cell r="O179"/>
          <cell r="P179"/>
          <cell r="Q179"/>
          <cell r="R179"/>
          <cell r="S179"/>
          <cell r="T179"/>
          <cell r="U179"/>
          <cell r="V179"/>
          <cell r="W179"/>
          <cell r="X179"/>
          <cell r="Y179"/>
          <cell r="Z179"/>
          <cell r="AA179"/>
          <cell r="AB179"/>
          <cell r="AC179"/>
          <cell r="AD179"/>
          <cell r="AE179"/>
        </row>
        <row r="180">
          <cell r="G180"/>
          <cell r="H180"/>
          <cell r="I180"/>
          <cell r="J180"/>
          <cell r="K180"/>
          <cell r="L180"/>
          <cell r="M180"/>
          <cell r="N180"/>
          <cell r="O180"/>
          <cell r="P180"/>
          <cell r="Q180"/>
          <cell r="R180"/>
          <cell r="S180"/>
          <cell r="T180"/>
          <cell r="U180"/>
          <cell r="V180"/>
          <cell r="W180"/>
          <cell r="X180"/>
          <cell r="Y180"/>
          <cell r="Z180"/>
          <cell r="AA180"/>
          <cell r="AB180"/>
          <cell r="AC180"/>
          <cell r="AD180"/>
          <cell r="AE180"/>
        </row>
        <row r="181">
          <cell r="G181"/>
          <cell r="H181"/>
          <cell r="I181"/>
          <cell r="J181"/>
          <cell r="K181"/>
          <cell r="L181"/>
          <cell r="M181"/>
          <cell r="N181"/>
          <cell r="O181"/>
          <cell r="P181"/>
          <cell r="Q181"/>
          <cell r="R181"/>
          <cell r="S181"/>
          <cell r="T181"/>
          <cell r="U181"/>
          <cell r="V181"/>
          <cell r="W181"/>
          <cell r="X181"/>
          <cell r="Y181"/>
          <cell r="Z181"/>
          <cell r="AA181"/>
          <cell r="AB181"/>
          <cell r="AC181"/>
          <cell r="AD181"/>
          <cell r="AE181"/>
        </row>
        <row r="182">
          <cell r="G182"/>
          <cell r="H182"/>
          <cell r="I182"/>
          <cell r="J182"/>
          <cell r="K182"/>
          <cell r="L182"/>
          <cell r="M182"/>
          <cell r="N182"/>
          <cell r="O182"/>
          <cell r="P182"/>
          <cell r="Q182"/>
          <cell r="R182"/>
          <cell r="S182"/>
          <cell r="T182"/>
          <cell r="U182"/>
          <cell r="V182"/>
          <cell r="W182"/>
          <cell r="X182"/>
          <cell r="Y182"/>
          <cell r="Z182"/>
          <cell r="AA182"/>
          <cell r="AB182"/>
          <cell r="AC182"/>
          <cell r="AD182"/>
          <cell r="AE182"/>
        </row>
        <row r="183">
          <cell r="G183"/>
          <cell r="H183"/>
          <cell r="I183"/>
          <cell r="J183"/>
          <cell r="K183"/>
          <cell r="L183"/>
          <cell r="M183"/>
          <cell r="N183"/>
          <cell r="O183"/>
          <cell r="P183"/>
          <cell r="Q183"/>
          <cell r="R183"/>
          <cell r="S183"/>
          <cell r="T183"/>
          <cell r="U183"/>
          <cell r="V183"/>
          <cell r="W183"/>
          <cell r="X183"/>
          <cell r="Y183"/>
          <cell r="Z183"/>
          <cell r="AA183"/>
          <cell r="AB183"/>
          <cell r="AC183"/>
          <cell r="AD183"/>
          <cell r="AE183"/>
        </row>
        <row r="184">
          <cell r="G184"/>
          <cell r="H184"/>
          <cell r="I184"/>
          <cell r="J184"/>
          <cell r="K184"/>
          <cell r="L184"/>
          <cell r="M184"/>
          <cell r="N184"/>
          <cell r="O184"/>
          <cell r="P184"/>
          <cell r="Q184"/>
          <cell r="R184"/>
          <cell r="S184"/>
          <cell r="T184"/>
          <cell r="U184"/>
          <cell r="V184"/>
          <cell r="W184"/>
          <cell r="X184"/>
          <cell r="Y184"/>
          <cell r="Z184"/>
          <cell r="AA184"/>
          <cell r="AB184"/>
          <cell r="AC184"/>
          <cell r="AD184"/>
          <cell r="AE184"/>
        </row>
        <row r="185">
          <cell r="G185"/>
          <cell r="H185"/>
          <cell r="I185"/>
          <cell r="J185"/>
          <cell r="K185"/>
          <cell r="L185"/>
          <cell r="M185"/>
          <cell r="N185"/>
          <cell r="O185"/>
          <cell r="P185"/>
          <cell r="Q185"/>
          <cell r="R185"/>
          <cell r="S185"/>
          <cell r="T185"/>
          <cell r="U185"/>
          <cell r="V185"/>
          <cell r="W185"/>
          <cell r="X185"/>
          <cell r="Y185"/>
          <cell r="Z185"/>
          <cell r="AA185"/>
          <cell r="AB185"/>
          <cell r="AC185"/>
          <cell r="AD185"/>
          <cell r="AE185"/>
        </row>
        <row r="186">
          <cell r="G186"/>
          <cell r="H186"/>
          <cell r="I186"/>
          <cell r="J186"/>
          <cell r="K186"/>
          <cell r="L186"/>
          <cell r="M186"/>
          <cell r="N186"/>
          <cell r="O186"/>
          <cell r="P186"/>
          <cell r="Q186"/>
          <cell r="R186"/>
          <cell r="S186"/>
          <cell r="T186"/>
          <cell r="U186"/>
          <cell r="V186"/>
          <cell r="W186"/>
          <cell r="X186"/>
          <cell r="Y186"/>
          <cell r="Z186"/>
          <cell r="AA186"/>
          <cell r="AB186"/>
          <cell r="AC186"/>
          <cell r="AD186"/>
          <cell r="AE186"/>
        </row>
        <row r="187">
          <cell r="G187"/>
          <cell r="H187"/>
          <cell r="I187"/>
          <cell r="J187"/>
          <cell r="K187"/>
          <cell r="L187"/>
          <cell r="M187"/>
          <cell r="N187"/>
          <cell r="O187"/>
          <cell r="P187"/>
          <cell r="Q187"/>
          <cell r="R187"/>
          <cell r="S187"/>
          <cell r="T187"/>
          <cell r="U187"/>
          <cell r="V187"/>
          <cell r="W187"/>
          <cell r="X187"/>
          <cell r="Y187"/>
          <cell r="Z187"/>
          <cell r="AA187"/>
          <cell r="AB187"/>
          <cell r="AC187"/>
          <cell r="AD187"/>
          <cell r="AE187"/>
        </row>
        <row r="188">
          <cell r="G188"/>
          <cell r="H188"/>
          <cell r="I188"/>
          <cell r="J188"/>
          <cell r="K188"/>
          <cell r="L188"/>
          <cell r="M188"/>
          <cell r="N188"/>
          <cell r="O188"/>
          <cell r="P188"/>
          <cell r="Q188"/>
          <cell r="R188"/>
          <cell r="S188"/>
          <cell r="T188"/>
          <cell r="U188"/>
          <cell r="V188"/>
          <cell r="W188"/>
          <cell r="X188"/>
          <cell r="Y188"/>
          <cell r="Z188"/>
          <cell r="AA188"/>
          <cell r="AB188"/>
          <cell r="AC188"/>
          <cell r="AD188"/>
          <cell r="AE188"/>
        </row>
        <row r="189">
          <cell r="G189"/>
          <cell r="H189"/>
          <cell r="I189"/>
          <cell r="J189"/>
          <cell r="K189"/>
          <cell r="L189"/>
          <cell r="M189"/>
          <cell r="N189"/>
          <cell r="O189"/>
          <cell r="P189"/>
          <cell r="Q189"/>
          <cell r="R189"/>
          <cell r="S189"/>
          <cell r="T189"/>
          <cell r="U189"/>
          <cell r="V189"/>
          <cell r="W189"/>
          <cell r="X189"/>
          <cell r="Y189"/>
          <cell r="Z189"/>
          <cell r="AA189"/>
          <cell r="AB189"/>
          <cell r="AC189"/>
          <cell r="AD189"/>
          <cell r="AE189"/>
        </row>
        <row r="190">
          <cell r="G190"/>
          <cell r="H190"/>
          <cell r="I190"/>
          <cell r="J190"/>
          <cell r="K190"/>
          <cell r="L190"/>
          <cell r="M190"/>
          <cell r="N190"/>
          <cell r="O190"/>
          <cell r="P190"/>
          <cell r="Q190"/>
          <cell r="R190"/>
          <cell r="S190"/>
          <cell r="T190"/>
          <cell r="U190"/>
          <cell r="V190"/>
          <cell r="W190"/>
          <cell r="X190"/>
          <cell r="Y190"/>
          <cell r="Z190"/>
          <cell r="AA190"/>
          <cell r="AB190"/>
          <cell r="AC190"/>
          <cell r="AD190"/>
          <cell r="AE190"/>
        </row>
        <row r="191">
          <cell r="G191"/>
          <cell r="H191"/>
          <cell r="I191"/>
          <cell r="J191"/>
          <cell r="K191"/>
          <cell r="L191"/>
          <cell r="M191"/>
          <cell r="N191"/>
          <cell r="O191"/>
          <cell r="P191"/>
          <cell r="Q191"/>
          <cell r="R191"/>
          <cell r="S191"/>
          <cell r="T191"/>
          <cell r="U191"/>
          <cell r="V191"/>
          <cell r="W191"/>
          <cell r="X191"/>
          <cell r="Y191"/>
          <cell r="Z191"/>
          <cell r="AA191"/>
          <cell r="AB191"/>
          <cell r="AC191"/>
          <cell r="AD191"/>
          <cell r="AE191"/>
        </row>
        <row r="192">
          <cell r="G192"/>
          <cell r="H192"/>
          <cell r="I192"/>
          <cell r="J192"/>
          <cell r="K192"/>
          <cell r="L192"/>
          <cell r="M192"/>
          <cell r="N192"/>
          <cell r="O192"/>
          <cell r="P192"/>
          <cell r="Q192"/>
          <cell r="R192"/>
          <cell r="S192"/>
          <cell r="T192"/>
          <cell r="U192"/>
          <cell r="V192"/>
          <cell r="W192"/>
          <cell r="X192"/>
          <cell r="Y192"/>
          <cell r="Z192"/>
          <cell r="AA192"/>
          <cell r="AB192"/>
          <cell r="AC192"/>
          <cell r="AD192"/>
          <cell r="AE192"/>
        </row>
        <row r="193">
          <cell r="G193"/>
          <cell r="H193"/>
          <cell r="I193"/>
          <cell r="J193"/>
          <cell r="K193"/>
          <cell r="L193"/>
          <cell r="M193"/>
          <cell r="N193"/>
          <cell r="O193"/>
          <cell r="P193"/>
          <cell r="Q193"/>
          <cell r="R193"/>
          <cell r="S193"/>
          <cell r="T193"/>
          <cell r="U193"/>
          <cell r="V193"/>
          <cell r="W193"/>
          <cell r="X193"/>
          <cell r="Y193"/>
          <cell r="Z193"/>
          <cell r="AA193"/>
          <cell r="AB193"/>
          <cell r="AC193"/>
          <cell r="AD193"/>
          <cell r="AE193"/>
        </row>
        <row r="194">
          <cell r="G194"/>
          <cell r="H194"/>
          <cell r="I194"/>
          <cell r="J194"/>
          <cell r="K194"/>
          <cell r="L194"/>
          <cell r="M194"/>
          <cell r="N194"/>
          <cell r="O194"/>
          <cell r="P194"/>
          <cell r="Q194"/>
          <cell r="R194"/>
          <cell r="S194"/>
          <cell r="T194"/>
          <cell r="U194"/>
          <cell r="V194"/>
          <cell r="W194"/>
          <cell r="X194"/>
          <cell r="Y194"/>
          <cell r="Z194"/>
          <cell r="AA194"/>
          <cell r="AB194"/>
          <cell r="AC194"/>
          <cell r="AD194"/>
          <cell r="AE194"/>
        </row>
        <row r="195">
          <cell r="G195"/>
          <cell r="H195"/>
          <cell r="I195"/>
          <cell r="J195"/>
          <cell r="K195"/>
          <cell r="L195"/>
          <cell r="M195"/>
          <cell r="N195"/>
          <cell r="O195"/>
          <cell r="P195"/>
          <cell r="Q195"/>
          <cell r="R195"/>
          <cell r="S195"/>
          <cell r="T195"/>
          <cell r="U195"/>
          <cell r="V195"/>
          <cell r="W195"/>
          <cell r="X195"/>
          <cell r="Y195"/>
          <cell r="Z195"/>
          <cell r="AA195"/>
          <cell r="AB195"/>
          <cell r="AC195"/>
          <cell r="AD195"/>
          <cell r="AE195"/>
        </row>
        <row r="196">
          <cell r="G196"/>
          <cell r="H196"/>
          <cell r="I196"/>
          <cell r="J196"/>
          <cell r="K196"/>
          <cell r="L196"/>
          <cell r="M196"/>
          <cell r="N196"/>
          <cell r="O196"/>
          <cell r="P196"/>
          <cell r="Q196"/>
          <cell r="R196"/>
          <cell r="S196"/>
          <cell r="T196"/>
          <cell r="U196"/>
          <cell r="V196"/>
          <cell r="W196"/>
          <cell r="X196"/>
          <cell r="Y196"/>
          <cell r="Z196"/>
          <cell r="AA196"/>
          <cell r="AB196"/>
          <cell r="AC196"/>
          <cell r="AD196"/>
          <cell r="AE196"/>
        </row>
        <row r="197">
          <cell r="G197"/>
          <cell r="H197"/>
          <cell r="I197"/>
          <cell r="J197"/>
          <cell r="K197"/>
          <cell r="L197"/>
          <cell r="M197"/>
          <cell r="N197"/>
          <cell r="O197"/>
          <cell r="P197"/>
          <cell r="Q197"/>
          <cell r="R197"/>
          <cell r="S197"/>
          <cell r="T197"/>
          <cell r="U197"/>
          <cell r="V197"/>
          <cell r="W197"/>
          <cell r="X197"/>
          <cell r="Y197"/>
          <cell r="Z197"/>
          <cell r="AA197"/>
          <cell r="AB197"/>
          <cell r="AC197"/>
          <cell r="AD197"/>
          <cell r="AE197"/>
        </row>
        <row r="198">
          <cell r="G198"/>
          <cell r="H198"/>
          <cell r="I198"/>
          <cell r="J198"/>
          <cell r="K198"/>
          <cell r="L198"/>
          <cell r="M198"/>
          <cell r="N198"/>
          <cell r="O198"/>
          <cell r="P198"/>
          <cell r="Q198"/>
          <cell r="R198"/>
          <cell r="S198"/>
          <cell r="T198"/>
          <cell r="U198"/>
          <cell r="V198"/>
          <cell r="W198"/>
          <cell r="X198"/>
          <cell r="Y198"/>
          <cell r="Z198"/>
          <cell r="AA198"/>
          <cell r="AB198"/>
          <cell r="AC198"/>
          <cell r="AD198"/>
          <cell r="AE198"/>
        </row>
        <row r="199">
          <cell r="G199"/>
          <cell r="H199"/>
          <cell r="I199"/>
          <cell r="J199"/>
          <cell r="K199"/>
          <cell r="L199"/>
          <cell r="M199"/>
          <cell r="N199"/>
          <cell r="O199"/>
          <cell r="P199"/>
          <cell r="Q199"/>
          <cell r="R199"/>
          <cell r="S199"/>
          <cell r="T199"/>
          <cell r="U199"/>
          <cell r="V199"/>
          <cell r="W199"/>
          <cell r="X199"/>
          <cell r="Y199"/>
          <cell r="Z199"/>
          <cell r="AA199"/>
          <cell r="AB199"/>
          <cell r="AC199"/>
          <cell r="AD199"/>
          <cell r="AE199"/>
        </row>
        <row r="200">
          <cell r="G200"/>
          <cell r="H200"/>
          <cell r="I200"/>
          <cell r="J200"/>
          <cell r="K200"/>
          <cell r="L200"/>
          <cell r="M200"/>
          <cell r="N200"/>
          <cell r="O200"/>
          <cell r="P200"/>
          <cell r="Q200"/>
          <cell r="R200"/>
          <cell r="S200"/>
          <cell r="T200"/>
          <cell r="U200"/>
          <cell r="V200"/>
          <cell r="W200"/>
          <cell r="X200"/>
          <cell r="Y200"/>
          <cell r="Z200"/>
          <cell r="AA200"/>
          <cell r="AB200"/>
          <cell r="AC200"/>
          <cell r="AD200"/>
          <cell r="AE200"/>
        </row>
        <row r="201">
          <cell r="G201"/>
          <cell r="H201"/>
          <cell r="I201"/>
          <cell r="J201"/>
          <cell r="K201"/>
          <cell r="L201"/>
          <cell r="M201"/>
          <cell r="N201"/>
          <cell r="O201"/>
          <cell r="P201"/>
          <cell r="Q201"/>
          <cell r="R201"/>
          <cell r="S201"/>
          <cell r="T201"/>
          <cell r="U201"/>
          <cell r="V201"/>
          <cell r="W201"/>
          <cell r="X201"/>
          <cell r="Y201"/>
          <cell r="Z201"/>
          <cell r="AA201"/>
          <cell r="AB201"/>
          <cell r="AC201"/>
          <cell r="AD201"/>
          <cell r="AE201"/>
        </row>
        <row r="202">
          <cell r="G202"/>
          <cell r="H202"/>
          <cell r="I202"/>
          <cell r="J202"/>
          <cell r="K202"/>
          <cell r="L202"/>
          <cell r="M202"/>
          <cell r="N202"/>
          <cell r="O202"/>
          <cell r="P202"/>
          <cell r="Q202"/>
          <cell r="R202"/>
          <cell r="S202"/>
          <cell r="T202"/>
          <cell r="U202"/>
          <cell r="V202"/>
          <cell r="W202"/>
          <cell r="X202"/>
          <cell r="Y202"/>
          <cell r="Z202"/>
          <cell r="AA202"/>
          <cell r="AB202"/>
          <cell r="AC202"/>
          <cell r="AD202"/>
          <cell r="AE202"/>
        </row>
        <row r="203">
          <cell r="G203"/>
          <cell r="H203"/>
          <cell r="I203"/>
          <cell r="J203"/>
          <cell r="K203"/>
          <cell r="L203"/>
          <cell r="M203"/>
          <cell r="N203"/>
          <cell r="O203"/>
          <cell r="P203"/>
          <cell r="Q203"/>
          <cell r="R203"/>
          <cell r="S203"/>
          <cell r="T203"/>
          <cell r="U203"/>
          <cell r="V203"/>
          <cell r="W203"/>
          <cell r="X203"/>
          <cell r="Y203"/>
          <cell r="Z203"/>
          <cell r="AA203"/>
          <cell r="AB203"/>
          <cell r="AC203"/>
          <cell r="AD203"/>
          <cell r="AE203"/>
        </row>
        <row r="204">
          <cell r="G204"/>
          <cell r="H204"/>
          <cell r="I204"/>
          <cell r="J204"/>
          <cell r="K204"/>
          <cell r="L204"/>
          <cell r="M204"/>
          <cell r="N204"/>
          <cell r="O204"/>
          <cell r="P204"/>
          <cell r="Q204"/>
          <cell r="R204"/>
          <cell r="S204"/>
          <cell r="T204"/>
          <cell r="U204"/>
          <cell r="V204"/>
          <cell r="W204"/>
          <cell r="X204"/>
          <cell r="Y204"/>
          <cell r="Z204"/>
          <cell r="AA204"/>
          <cell r="AB204"/>
          <cell r="AC204"/>
          <cell r="AD204"/>
          <cell r="AE204"/>
        </row>
        <row r="205">
          <cell r="G205"/>
          <cell r="H205"/>
          <cell r="I205"/>
          <cell r="J205"/>
          <cell r="K205"/>
          <cell r="L205"/>
          <cell r="M205"/>
          <cell r="N205"/>
          <cell r="O205"/>
          <cell r="P205"/>
          <cell r="Q205"/>
          <cell r="R205"/>
          <cell r="S205"/>
          <cell r="T205"/>
          <cell r="U205"/>
          <cell r="V205"/>
          <cell r="W205"/>
          <cell r="X205"/>
          <cell r="Y205"/>
          <cell r="Z205"/>
          <cell r="AA205"/>
          <cell r="AB205"/>
          <cell r="AC205"/>
          <cell r="AD205"/>
          <cell r="AE205"/>
        </row>
        <row r="206">
          <cell r="G206"/>
          <cell r="H206"/>
          <cell r="I206"/>
          <cell r="J206"/>
          <cell r="K206"/>
          <cell r="L206"/>
          <cell r="M206"/>
          <cell r="N206"/>
          <cell r="O206"/>
          <cell r="P206"/>
          <cell r="Q206"/>
          <cell r="R206"/>
          <cell r="S206"/>
          <cell r="T206"/>
          <cell r="U206"/>
          <cell r="V206"/>
          <cell r="W206"/>
          <cell r="X206"/>
          <cell r="Y206"/>
          <cell r="Z206"/>
          <cell r="AA206"/>
          <cell r="AB206"/>
          <cell r="AC206"/>
          <cell r="AD206"/>
          <cell r="AE206"/>
        </row>
        <row r="207">
          <cell r="G207"/>
          <cell r="H207"/>
          <cell r="I207"/>
          <cell r="J207"/>
          <cell r="K207"/>
          <cell r="L207"/>
          <cell r="M207"/>
          <cell r="N207"/>
          <cell r="O207"/>
          <cell r="P207"/>
          <cell r="Q207"/>
          <cell r="R207"/>
          <cell r="S207"/>
          <cell r="T207"/>
          <cell r="U207"/>
          <cell r="V207"/>
          <cell r="W207"/>
          <cell r="X207"/>
          <cell r="Y207"/>
          <cell r="Z207"/>
          <cell r="AA207"/>
          <cell r="AB207"/>
          <cell r="AC207"/>
          <cell r="AD207"/>
          <cell r="AE207"/>
        </row>
        <row r="208">
          <cell r="G208"/>
          <cell r="H208"/>
          <cell r="I208"/>
          <cell r="J208"/>
          <cell r="K208"/>
          <cell r="L208"/>
          <cell r="M208"/>
          <cell r="N208"/>
          <cell r="O208"/>
          <cell r="P208"/>
          <cell r="Q208"/>
          <cell r="R208"/>
          <cell r="S208"/>
          <cell r="T208"/>
          <cell r="U208"/>
          <cell r="V208"/>
          <cell r="W208"/>
          <cell r="X208"/>
          <cell r="Y208"/>
          <cell r="Z208"/>
          <cell r="AA208"/>
          <cell r="AB208"/>
          <cell r="AC208"/>
          <cell r="AD208"/>
          <cell r="AE208"/>
        </row>
        <row r="209">
          <cell r="G209"/>
          <cell r="H209"/>
          <cell r="I209"/>
          <cell r="J209"/>
          <cell r="K209"/>
          <cell r="L209"/>
          <cell r="M209"/>
          <cell r="N209"/>
          <cell r="O209"/>
          <cell r="P209"/>
          <cell r="Q209"/>
          <cell r="R209"/>
          <cell r="S209"/>
          <cell r="T209"/>
          <cell r="U209"/>
          <cell r="V209"/>
          <cell r="W209"/>
          <cell r="X209"/>
          <cell r="Y209"/>
          <cell r="Z209"/>
          <cell r="AA209"/>
          <cell r="AB209"/>
          <cell r="AC209"/>
          <cell r="AD209"/>
          <cell r="AE209"/>
        </row>
        <row r="210">
          <cell r="G210"/>
          <cell r="H210"/>
          <cell r="I210"/>
          <cell r="J210"/>
          <cell r="K210"/>
          <cell r="L210"/>
          <cell r="M210"/>
          <cell r="N210"/>
          <cell r="O210"/>
          <cell r="P210"/>
          <cell r="Q210"/>
          <cell r="R210"/>
          <cell r="S210"/>
          <cell r="T210"/>
          <cell r="U210"/>
          <cell r="V210"/>
          <cell r="W210"/>
          <cell r="X210"/>
          <cell r="Y210"/>
          <cell r="Z210"/>
          <cell r="AA210"/>
          <cell r="AB210"/>
          <cell r="AC210"/>
          <cell r="AD210"/>
          <cell r="AE210"/>
        </row>
        <row r="211">
          <cell r="G211"/>
          <cell r="H211"/>
          <cell r="I211"/>
          <cell r="J211"/>
          <cell r="K211"/>
          <cell r="L211"/>
          <cell r="M211"/>
          <cell r="N211"/>
          <cell r="O211"/>
          <cell r="P211"/>
          <cell r="Q211"/>
          <cell r="R211"/>
          <cell r="S211"/>
          <cell r="T211"/>
          <cell r="U211"/>
          <cell r="V211"/>
          <cell r="W211"/>
          <cell r="X211"/>
          <cell r="Y211"/>
          <cell r="Z211"/>
          <cell r="AA211"/>
          <cell r="AB211"/>
          <cell r="AC211"/>
          <cell r="AD211"/>
          <cell r="AE211"/>
        </row>
        <row r="212">
          <cell r="G212"/>
          <cell r="H212"/>
          <cell r="I212"/>
          <cell r="J212"/>
          <cell r="K212"/>
          <cell r="L212"/>
          <cell r="M212"/>
          <cell r="N212"/>
          <cell r="O212"/>
          <cell r="P212"/>
          <cell r="Q212"/>
          <cell r="R212"/>
          <cell r="S212"/>
          <cell r="T212"/>
          <cell r="U212"/>
          <cell r="V212"/>
          <cell r="W212"/>
          <cell r="X212"/>
          <cell r="Y212"/>
          <cell r="Z212"/>
          <cell r="AA212"/>
          <cell r="AB212"/>
          <cell r="AC212"/>
          <cell r="AD212"/>
          <cell r="AE212"/>
        </row>
        <row r="213">
          <cell r="G213"/>
          <cell r="H213"/>
          <cell r="I213"/>
          <cell r="J213"/>
          <cell r="K213"/>
          <cell r="L213"/>
          <cell r="M213"/>
          <cell r="N213"/>
          <cell r="O213"/>
          <cell r="P213"/>
          <cell r="Q213"/>
          <cell r="R213"/>
          <cell r="S213"/>
          <cell r="T213"/>
          <cell r="U213"/>
          <cell r="V213"/>
          <cell r="W213"/>
          <cell r="X213"/>
          <cell r="Y213"/>
          <cell r="Z213"/>
          <cell r="AA213"/>
          <cell r="AB213"/>
          <cell r="AC213"/>
          <cell r="AD213"/>
          <cell r="AE213"/>
        </row>
        <row r="214">
          <cell r="G214"/>
          <cell r="H214"/>
          <cell r="I214"/>
          <cell r="J214"/>
          <cell r="K214"/>
          <cell r="L214"/>
          <cell r="M214"/>
          <cell r="N214"/>
          <cell r="O214"/>
          <cell r="P214"/>
          <cell r="Q214"/>
          <cell r="R214"/>
          <cell r="S214"/>
          <cell r="T214"/>
          <cell r="U214"/>
          <cell r="V214"/>
          <cell r="W214"/>
          <cell r="X214"/>
          <cell r="Y214"/>
          <cell r="Z214"/>
          <cell r="AA214"/>
          <cell r="AB214"/>
          <cell r="AC214"/>
          <cell r="AD214"/>
          <cell r="AE214"/>
        </row>
        <row r="215">
          <cell r="G215"/>
          <cell r="H215"/>
          <cell r="I215"/>
          <cell r="J215"/>
          <cell r="K215"/>
          <cell r="L215"/>
          <cell r="M215"/>
          <cell r="N215"/>
          <cell r="O215"/>
          <cell r="P215"/>
          <cell r="Q215"/>
          <cell r="R215"/>
          <cell r="S215"/>
          <cell r="T215"/>
          <cell r="U215"/>
          <cell r="V215"/>
          <cell r="W215"/>
          <cell r="X215"/>
          <cell r="Y215"/>
          <cell r="Z215"/>
          <cell r="AA215"/>
          <cell r="AB215"/>
          <cell r="AC215"/>
          <cell r="AD215"/>
          <cell r="AE215"/>
        </row>
        <row r="216">
          <cell r="G216"/>
          <cell r="H216"/>
          <cell r="I216"/>
          <cell r="J216"/>
          <cell r="K216"/>
          <cell r="L216"/>
          <cell r="M216"/>
          <cell r="N216"/>
          <cell r="O216"/>
          <cell r="P216"/>
          <cell r="Q216"/>
          <cell r="R216"/>
          <cell r="S216"/>
          <cell r="T216"/>
          <cell r="U216"/>
          <cell r="V216"/>
          <cell r="W216"/>
          <cell r="X216"/>
          <cell r="Y216"/>
          <cell r="Z216"/>
          <cell r="AA216"/>
          <cell r="AB216"/>
          <cell r="AC216"/>
          <cell r="AD216"/>
          <cell r="AE216"/>
        </row>
        <row r="217">
          <cell r="G217"/>
          <cell r="H217"/>
          <cell r="I217"/>
          <cell r="J217"/>
          <cell r="K217"/>
          <cell r="L217"/>
          <cell r="M217"/>
          <cell r="N217"/>
          <cell r="O217"/>
          <cell r="P217"/>
          <cell r="Q217"/>
          <cell r="R217"/>
          <cell r="S217"/>
          <cell r="T217"/>
          <cell r="U217"/>
          <cell r="V217"/>
          <cell r="W217"/>
          <cell r="X217"/>
          <cell r="Y217"/>
          <cell r="Z217"/>
          <cell r="AA217"/>
          <cell r="AB217"/>
          <cell r="AC217"/>
          <cell r="AD217"/>
          <cell r="AE217"/>
        </row>
        <row r="218">
          <cell r="G218"/>
          <cell r="H218"/>
          <cell r="I218"/>
          <cell r="J218"/>
          <cell r="K218"/>
          <cell r="L218"/>
          <cell r="M218"/>
          <cell r="N218"/>
          <cell r="O218"/>
          <cell r="P218"/>
          <cell r="Q218"/>
          <cell r="R218"/>
          <cell r="S218"/>
          <cell r="T218"/>
          <cell r="U218"/>
          <cell r="V218"/>
          <cell r="W218"/>
          <cell r="X218"/>
          <cell r="Y218"/>
          <cell r="Z218"/>
          <cell r="AA218"/>
          <cell r="AB218"/>
          <cell r="AC218"/>
          <cell r="AD218"/>
          <cell r="AE218"/>
        </row>
        <row r="219">
          <cell r="G219"/>
          <cell r="H219"/>
          <cell r="I219"/>
          <cell r="J219"/>
          <cell r="K219"/>
          <cell r="L219"/>
          <cell r="M219"/>
          <cell r="N219"/>
          <cell r="O219"/>
          <cell r="P219"/>
          <cell r="Q219"/>
          <cell r="R219"/>
          <cell r="S219"/>
          <cell r="T219"/>
          <cell r="U219"/>
          <cell r="V219"/>
          <cell r="W219"/>
          <cell r="X219"/>
          <cell r="Y219"/>
          <cell r="Z219"/>
          <cell r="AA219"/>
          <cell r="AB219"/>
          <cell r="AC219"/>
          <cell r="AD219"/>
          <cell r="AE219"/>
        </row>
        <row r="220">
          <cell r="G220"/>
          <cell r="H220"/>
          <cell r="I220"/>
          <cell r="J220"/>
          <cell r="K220"/>
          <cell r="L220"/>
          <cell r="M220"/>
          <cell r="N220"/>
          <cell r="O220"/>
          <cell r="P220"/>
          <cell r="Q220"/>
          <cell r="R220"/>
          <cell r="S220"/>
          <cell r="T220"/>
          <cell r="U220"/>
          <cell r="V220"/>
          <cell r="W220"/>
          <cell r="X220"/>
          <cell r="Y220"/>
          <cell r="Z220"/>
          <cell r="AA220"/>
          <cell r="AB220"/>
          <cell r="AC220"/>
          <cell r="AD220"/>
          <cell r="AE220"/>
        </row>
        <row r="221">
          <cell r="G221"/>
          <cell r="H221"/>
          <cell r="I221"/>
          <cell r="J221"/>
          <cell r="K221"/>
          <cell r="L221"/>
          <cell r="M221"/>
          <cell r="N221"/>
          <cell r="O221"/>
          <cell r="P221"/>
          <cell r="Q221"/>
          <cell r="R221"/>
          <cell r="S221"/>
          <cell r="T221"/>
          <cell r="U221"/>
          <cell r="V221"/>
          <cell r="W221"/>
          <cell r="X221"/>
          <cell r="Y221"/>
          <cell r="Z221"/>
          <cell r="AA221"/>
          <cell r="AB221"/>
          <cell r="AC221"/>
          <cell r="AD221"/>
          <cell r="AE221"/>
        </row>
        <row r="222">
          <cell r="G222"/>
          <cell r="H222"/>
          <cell r="I222"/>
          <cell r="J222"/>
          <cell r="K222"/>
          <cell r="L222"/>
          <cell r="M222"/>
          <cell r="N222"/>
          <cell r="O222"/>
          <cell r="P222"/>
          <cell r="Q222"/>
          <cell r="R222"/>
          <cell r="S222"/>
          <cell r="T222"/>
          <cell r="U222"/>
          <cell r="V222"/>
          <cell r="W222"/>
          <cell r="X222"/>
          <cell r="Y222"/>
          <cell r="Z222"/>
          <cell r="AA222"/>
          <cell r="AB222"/>
          <cell r="AC222"/>
          <cell r="AD222"/>
          <cell r="AE222"/>
        </row>
        <row r="223">
          <cell r="G223"/>
          <cell r="H223"/>
          <cell r="I223"/>
          <cell r="J223"/>
          <cell r="K223"/>
          <cell r="L223"/>
          <cell r="M223"/>
          <cell r="N223"/>
          <cell r="O223"/>
          <cell r="P223"/>
          <cell r="Q223"/>
          <cell r="R223"/>
          <cell r="S223"/>
          <cell r="T223"/>
          <cell r="U223"/>
          <cell r="V223"/>
          <cell r="W223"/>
          <cell r="X223"/>
          <cell r="Y223"/>
          <cell r="Z223"/>
          <cell r="AA223"/>
          <cell r="AB223"/>
          <cell r="AC223"/>
          <cell r="AD223"/>
          <cell r="AE223"/>
        </row>
        <row r="224">
          <cell r="G224"/>
          <cell r="H224"/>
          <cell r="I224"/>
          <cell r="J224"/>
          <cell r="K224"/>
          <cell r="L224"/>
          <cell r="M224"/>
          <cell r="N224"/>
          <cell r="O224"/>
          <cell r="P224"/>
          <cell r="Q224"/>
          <cell r="R224"/>
          <cell r="S224"/>
          <cell r="T224"/>
          <cell r="U224"/>
          <cell r="V224"/>
          <cell r="W224"/>
          <cell r="X224"/>
          <cell r="Y224"/>
          <cell r="Z224"/>
          <cell r="AA224"/>
          <cell r="AB224"/>
          <cell r="AC224"/>
          <cell r="AD224"/>
          <cell r="AE224"/>
        </row>
        <row r="225">
          <cell r="G225"/>
          <cell r="H225"/>
          <cell r="I225"/>
          <cell r="J225"/>
          <cell r="K225"/>
          <cell r="L225"/>
          <cell r="M225"/>
          <cell r="N225"/>
          <cell r="O225"/>
          <cell r="P225"/>
          <cell r="Q225"/>
          <cell r="R225"/>
          <cell r="S225"/>
          <cell r="T225"/>
          <cell r="U225"/>
          <cell r="V225"/>
          <cell r="W225"/>
          <cell r="X225"/>
          <cell r="Y225"/>
          <cell r="Z225"/>
          <cell r="AA225"/>
          <cell r="AB225"/>
          <cell r="AC225"/>
          <cell r="AD225"/>
          <cell r="AE225"/>
        </row>
        <row r="226">
          <cell r="G226"/>
          <cell r="H226"/>
          <cell r="I226"/>
          <cell r="J226"/>
          <cell r="K226"/>
          <cell r="L226"/>
          <cell r="M226"/>
          <cell r="N226"/>
          <cell r="O226"/>
          <cell r="P226"/>
          <cell r="Q226"/>
          <cell r="R226"/>
          <cell r="S226"/>
          <cell r="T226"/>
          <cell r="U226"/>
          <cell r="V226"/>
          <cell r="W226"/>
          <cell r="X226"/>
          <cell r="Y226"/>
          <cell r="Z226"/>
          <cell r="AA226"/>
          <cell r="AB226"/>
          <cell r="AC226"/>
          <cell r="AD226"/>
          <cell r="AE226"/>
        </row>
        <row r="227">
          <cell r="G227"/>
          <cell r="H227"/>
          <cell r="I227"/>
          <cell r="J227"/>
          <cell r="K227"/>
          <cell r="L227"/>
          <cell r="M227"/>
          <cell r="N227"/>
          <cell r="O227"/>
          <cell r="P227"/>
          <cell r="Q227"/>
          <cell r="R227"/>
          <cell r="S227"/>
          <cell r="T227"/>
          <cell r="U227"/>
          <cell r="V227"/>
          <cell r="W227"/>
          <cell r="X227"/>
          <cell r="Y227"/>
          <cell r="Z227"/>
          <cell r="AA227"/>
          <cell r="AB227"/>
          <cell r="AC227"/>
          <cell r="AD227"/>
          <cell r="AE227"/>
        </row>
        <row r="228">
          <cell r="G228"/>
          <cell r="H228"/>
          <cell r="I228"/>
          <cell r="J228"/>
          <cell r="K228"/>
          <cell r="L228"/>
          <cell r="M228"/>
          <cell r="N228"/>
          <cell r="O228"/>
          <cell r="P228"/>
          <cell r="Q228"/>
          <cell r="R228"/>
          <cell r="S228"/>
          <cell r="T228"/>
          <cell r="U228"/>
          <cell r="V228"/>
          <cell r="W228"/>
          <cell r="X228"/>
          <cell r="Y228"/>
          <cell r="Z228"/>
          <cell r="AA228"/>
          <cell r="AB228"/>
          <cell r="AC228"/>
          <cell r="AD228"/>
          <cell r="AE228"/>
        </row>
        <row r="229">
          <cell r="G229"/>
          <cell r="H229"/>
          <cell r="I229"/>
          <cell r="J229"/>
          <cell r="K229"/>
          <cell r="L229"/>
          <cell r="M229"/>
          <cell r="N229"/>
          <cell r="O229"/>
          <cell r="P229"/>
          <cell r="Q229"/>
          <cell r="R229"/>
          <cell r="S229"/>
          <cell r="T229"/>
          <cell r="U229"/>
          <cell r="V229"/>
          <cell r="W229"/>
          <cell r="X229"/>
          <cell r="Y229"/>
          <cell r="Z229"/>
          <cell r="AA229"/>
          <cell r="AB229"/>
          <cell r="AC229"/>
          <cell r="AD229"/>
          <cell r="AE229"/>
        </row>
        <row r="230">
          <cell r="G230"/>
          <cell r="H230"/>
          <cell r="I230"/>
          <cell r="J230"/>
          <cell r="K230"/>
          <cell r="L230"/>
          <cell r="M230"/>
          <cell r="N230"/>
          <cell r="O230"/>
          <cell r="P230"/>
          <cell r="Q230"/>
          <cell r="R230"/>
          <cell r="S230"/>
          <cell r="T230"/>
          <cell r="U230"/>
          <cell r="V230"/>
          <cell r="W230"/>
          <cell r="X230"/>
          <cell r="Y230"/>
          <cell r="Z230"/>
          <cell r="AA230"/>
          <cell r="AB230"/>
          <cell r="AC230"/>
          <cell r="AD230"/>
          <cell r="AE230"/>
        </row>
        <row r="231">
          <cell r="G231"/>
          <cell r="H231"/>
          <cell r="I231"/>
          <cell r="J231"/>
          <cell r="K231"/>
          <cell r="L231"/>
          <cell r="M231"/>
          <cell r="N231"/>
          <cell r="O231"/>
          <cell r="P231"/>
          <cell r="Q231"/>
          <cell r="R231"/>
          <cell r="S231"/>
          <cell r="T231"/>
          <cell r="U231"/>
          <cell r="V231"/>
          <cell r="W231"/>
          <cell r="X231"/>
          <cell r="Y231"/>
          <cell r="Z231"/>
          <cell r="AA231"/>
          <cell r="AB231"/>
          <cell r="AC231"/>
          <cell r="AD231"/>
          <cell r="AE231"/>
        </row>
        <row r="232">
          <cell r="G232"/>
          <cell r="H232"/>
          <cell r="I232"/>
          <cell r="J232"/>
          <cell r="K232"/>
          <cell r="L232"/>
          <cell r="M232"/>
          <cell r="N232"/>
          <cell r="O232"/>
          <cell r="P232"/>
          <cell r="Q232"/>
          <cell r="R232"/>
          <cell r="S232"/>
          <cell r="T232"/>
          <cell r="U232"/>
          <cell r="V232"/>
          <cell r="W232"/>
          <cell r="X232"/>
          <cell r="Y232"/>
          <cell r="Z232"/>
          <cell r="AA232"/>
          <cell r="AB232"/>
          <cell r="AC232"/>
          <cell r="AD232"/>
          <cell r="AE232"/>
        </row>
        <row r="233">
          <cell r="G233"/>
          <cell r="H233"/>
          <cell r="I233"/>
          <cell r="J233"/>
          <cell r="K233"/>
          <cell r="L233"/>
          <cell r="M233"/>
          <cell r="N233"/>
          <cell r="O233"/>
          <cell r="P233"/>
          <cell r="Q233"/>
          <cell r="R233"/>
          <cell r="S233"/>
          <cell r="T233"/>
          <cell r="U233"/>
          <cell r="V233"/>
          <cell r="W233"/>
          <cell r="X233"/>
          <cell r="Y233"/>
          <cell r="Z233"/>
          <cell r="AA233"/>
          <cell r="AB233"/>
          <cell r="AC233"/>
          <cell r="AD233"/>
          <cell r="AE233"/>
        </row>
        <row r="234">
          <cell r="G234"/>
          <cell r="H234"/>
          <cell r="I234"/>
          <cell r="J234"/>
          <cell r="K234"/>
          <cell r="L234"/>
          <cell r="M234"/>
          <cell r="N234"/>
          <cell r="O234"/>
          <cell r="P234"/>
          <cell r="Q234"/>
          <cell r="R234"/>
          <cell r="S234"/>
          <cell r="T234"/>
          <cell r="U234"/>
          <cell r="V234"/>
          <cell r="W234"/>
          <cell r="X234"/>
          <cell r="Y234"/>
          <cell r="Z234"/>
          <cell r="AA234"/>
          <cell r="AB234"/>
          <cell r="AC234"/>
          <cell r="AD234"/>
          <cell r="AE234"/>
        </row>
        <row r="235">
          <cell r="G235"/>
          <cell r="H235"/>
          <cell r="I235"/>
          <cell r="J235"/>
          <cell r="K235"/>
          <cell r="L235"/>
          <cell r="M235"/>
          <cell r="N235"/>
          <cell r="O235"/>
          <cell r="P235"/>
          <cell r="Q235"/>
          <cell r="R235"/>
          <cell r="S235"/>
          <cell r="T235"/>
          <cell r="U235"/>
          <cell r="V235"/>
          <cell r="W235"/>
          <cell r="X235"/>
          <cell r="Y235"/>
          <cell r="Z235"/>
          <cell r="AA235"/>
          <cell r="AB235"/>
          <cell r="AC235"/>
          <cell r="AD235"/>
          <cell r="AE235"/>
        </row>
        <row r="236">
          <cell r="G236"/>
          <cell r="H236"/>
          <cell r="I236"/>
          <cell r="J236"/>
          <cell r="K236"/>
          <cell r="L236"/>
          <cell r="M236"/>
          <cell r="N236"/>
          <cell r="O236"/>
          <cell r="P236"/>
          <cell r="Q236"/>
          <cell r="R236"/>
          <cell r="S236"/>
          <cell r="T236"/>
          <cell r="U236"/>
          <cell r="V236"/>
          <cell r="W236"/>
          <cell r="X236"/>
          <cell r="Y236"/>
          <cell r="Z236"/>
          <cell r="AA236"/>
          <cell r="AB236"/>
          <cell r="AC236"/>
          <cell r="AD236"/>
          <cell r="AE236"/>
        </row>
        <row r="237">
          <cell r="G237"/>
          <cell r="H237"/>
          <cell r="I237"/>
          <cell r="J237"/>
          <cell r="K237"/>
          <cell r="L237"/>
          <cell r="M237"/>
          <cell r="N237"/>
          <cell r="O237"/>
          <cell r="P237"/>
          <cell r="Q237"/>
          <cell r="R237"/>
          <cell r="S237"/>
          <cell r="T237"/>
          <cell r="U237"/>
          <cell r="V237"/>
          <cell r="W237"/>
          <cell r="X237"/>
          <cell r="Y237"/>
          <cell r="Z237"/>
          <cell r="AA237"/>
          <cell r="AB237"/>
          <cell r="AC237"/>
          <cell r="AD237"/>
          <cell r="AE237"/>
        </row>
        <row r="238">
          <cell r="G238"/>
          <cell r="H238"/>
          <cell r="I238"/>
          <cell r="J238"/>
          <cell r="K238"/>
          <cell r="L238"/>
          <cell r="M238"/>
          <cell r="N238"/>
          <cell r="O238"/>
          <cell r="P238"/>
          <cell r="Q238"/>
          <cell r="R238"/>
          <cell r="S238"/>
          <cell r="T238"/>
          <cell r="U238"/>
          <cell r="V238"/>
          <cell r="W238"/>
          <cell r="X238"/>
          <cell r="Y238"/>
          <cell r="Z238"/>
          <cell r="AA238"/>
          <cell r="AB238"/>
          <cell r="AC238"/>
          <cell r="AD238"/>
          <cell r="AE238"/>
        </row>
        <row r="239">
          <cell r="G239"/>
          <cell r="H239"/>
          <cell r="I239"/>
          <cell r="J239"/>
          <cell r="K239"/>
          <cell r="L239"/>
          <cell r="M239"/>
          <cell r="N239"/>
          <cell r="O239"/>
          <cell r="P239"/>
          <cell r="Q239"/>
          <cell r="R239"/>
          <cell r="S239"/>
          <cell r="T239"/>
          <cell r="U239"/>
          <cell r="V239"/>
          <cell r="W239"/>
          <cell r="X239"/>
          <cell r="Y239"/>
          <cell r="Z239"/>
          <cell r="AA239"/>
          <cell r="AB239"/>
          <cell r="AC239"/>
          <cell r="AD239"/>
          <cell r="AE239"/>
        </row>
        <row r="240">
          <cell r="G240"/>
          <cell r="H240"/>
          <cell r="I240"/>
          <cell r="J240"/>
          <cell r="K240"/>
          <cell r="L240"/>
          <cell r="M240"/>
          <cell r="N240"/>
          <cell r="O240"/>
          <cell r="P240"/>
          <cell r="Q240"/>
          <cell r="R240"/>
          <cell r="S240"/>
          <cell r="T240"/>
          <cell r="U240"/>
          <cell r="V240"/>
          <cell r="W240"/>
          <cell r="X240"/>
          <cell r="Y240"/>
          <cell r="Z240"/>
          <cell r="AA240"/>
          <cell r="AB240"/>
          <cell r="AC240"/>
          <cell r="AD240"/>
          <cell r="AE240"/>
        </row>
        <row r="241">
          <cell r="G241"/>
          <cell r="H241"/>
          <cell r="I241"/>
          <cell r="J241"/>
          <cell r="K241"/>
          <cell r="L241"/>
          <cell r="M241"/>
          <cell r="N241"/>
          <cell r="O241"/>
          <cell r="P241"/>
          <cell r="Q241"/>
          <cell r="R241"/>
          <cell r="S241"/>
          <cell r="T241"/>
          <cell r="U241"/>
          <cell r="V241"/>
          <cell r="W241"/>
          <cell r="X241"/>
          <cell r="Y241"/>
          <cell r="Z241"/>
          <cell r="AA241"/>
          <cell r="AB241"/>
          <cell r="AC241"/>
          <cell r="AD241"/>
          <cell r="AE241"/>
        </row>
        <row r="242">
          <cell r="G242"/>
          <cell r="H242"/>
          <cell r="I242"/>
          <cell r="J242"/>
          <cell r="K242"/>
          <cell r="L242"/>
          <cell r="M242"/>
          <cell r="N242"/>
          <cell r="O242"/>
          <cell r="P242"/>
          <cell r="Q242"/>
          <cell r="R242"/>
          <cell r="S242"/>
          <cell r="T242"/>
          <cell r="U242"/>
          <cell r="V242"/>
          <cell r="W242"/>
          <cell r="X242"/>
          <cell r="Y242"/>
          <cell r="Z242"/>
          <cell r="AA242"/>
          <cell r="AB242"/>
          <cell r="AC242"/>
          <cell r="AD242"/>
          <cell r="AE242"/>
        </row>
        <row r="243">
          <cell r="G243"/>
          <cell r="H243"/>
          <cell r="I243"/>
          <cell r="J243"/>
          <cell r="K243"/>
          <cell r="L243"/>
          <cell r="M243"/>
          <cell r="N243"/>
          <cell r="O243"/>
          <cell r="P243"/>
          <cell r="Q243"/>
          <cell r="R243"/>
          <cell r="S243"/>
          <cell r="T243"/>
          <cell r="U243"/>
          <cell r="V243"/>
          <cell r="W243"/>
          <cell r="X243"/>
          <cell r="Y243"/>
          <cell r="Z243"/>
          <cell r="AA243"/>
          <cell r="AB243"/>
          <cell r="AC243"/>
          <cell r="AD243"/>
          <cell r="AE243"/>
        </row>
        <row r="244">
          <cell r="G244"/>
          <cell r="H244"/>
          <cell r="I244"/>
          <cell r="J244"/>
          <cell r="K244"/>
          <cell r="L244"/>
          <cell r="M244"/>
          <cell r="N244"/>
          <cell r="O244"/>
          <cell r="P244"/>
          <cell r="Q244"/>
          <cell r="R244"/>
          <cell r="S244"/>
          <cell r="T244"/>
          <cell r="U244"/>
          <cell r="V244"/>
          <cell r="W244"/>
          <cell r="X244"/>
          <cell r="Y244"/>
          <cell r="Z244"/>
          <cell r="AA244"/>
          <cell r="AB244"/>
          <cell r="AC244"/>
          <cell r="AD244"/>
          <cell r="AE244"/>
        </row>
        <row r="245">
          <cell r="G245"/>
          <cell r="H245"/>
          <cell r="I245"/>
          <cell r="J245"/>
          <cell r="K245"/>
          <cell r="L245"/>
          <cell r="M245"/>
          <cell r="N245"/>
          <cell r="O245"/>
          <cell r="P245"/>
          <cell r="Q245"/>
          <cell r="R245"/>
          <cell r="S245"/>
          <cell r="T245"/>
          <cell r="U245"/>
          <cell r="V245"/>
          <cell r="W245"/>
          <cell r="X245"/>
          <cell r="Y245"/>
          <cell r="Z245"/>
          <cell r="AA245"/>
          <cell r="AB245"/>
          <cell r="AC245"/>
          <cell r="AD245"/>
          <cell r="AE245"/>
        </row>
        <row r="246">
          <cell r="G246"/>
          <cell r="H246"/>
          <cell r="I246"/>
          <cell r="J246"/>
          <cell r="K246"/>
          <cell r="L246"/>
          <cell r="M246"/>
          <cell r="N246"/>
          <cell r="O246"/>
          <cell r="P246"/>
          <cell r="Q246"/>
          <cell r="R246"/>
          <cell r="S246"/>
          <cell r="T246"/>
          <cell r="U246"/>
          <cell r="V246"/>
          <cell r="W246"/>
          <cell r="X246"/>
          <cell r="Y246"/>
          <cell r="Z246"/>
          <cell r="AA246"/>
          <cell r="AB246"/>
          <cell r="AC246"/>
          <cell r="AD246"/>
          <cell r="AE246"/>
        </row>
        <row r="247">
          <cell r="G247"/>
          <cell r="H247"/>
          <cell r="I247"/>
          <cell r="J247"/>
          <cell r="K247"/>
          <cell r="L247"/>
          <cell r="M247"/>
          <cell r="N247"/>
          <cell r="O247"/>
          <cell r="P247"/>
          <cell r="Q247"/>
          <cell r="R247"/>
          <cell r="S247"/>
          <cell r="T247"/>
          <cell r="U247"/>
          <cell r="V247"/>
          <cell r="W247"/>
          <cell r="X247"/>
          <cell r="Y247"/>
          <cell r="Z247"/>
          <cell r="AA247"/>
          <cell r="AB247"/>
          <cell r="AC247"/>
          <cell r="AD247"/>
          <cell r="AE247"/>
        </row>
        <row r="248">
          <cell r="G248"/>
          <cell r="H248"/>
          <cell r="I248"/>
          <cell r="J248"/>
          <cell r="K248"/>
          <cell r="L248"/>
          <cell r="M248"/>
          <cell r="N248"/>
          <cell r="O248"/>
          <cell r="P248"/>
          <cell r="Q248"/>
          <cell r="R248"/>
          <cell r="S248"/>
          <cell r="T248"/>
          <cell r="U248"/>
          <cell r="V248"/>
          <cell r="W248"/>
          <cell r="X248"/>
          <cell r="Y248"/>
          <cell r="Z248"/>
          <cell r="AA248"/>
          <cell r="AB248"/>
          <cell r="AC248"/>
          <cell r="AD248"/>
          <cell r="AE248"/>
        </row>
        <row r="249">
          <cell r="G249"/>
          <cell r="H249"/>
          <cell r="I249"/>
          <cell r="J249"/>
          <cell r="K249"/>
          <cell r="L249"/>
          <cell r="M249"/>
          <cell r="N249"/>
          <cell r="O249"/>
          <cell r="P249"/>
          <cell r="Q249"/>
          <cell r="R249"/>
          <cell r="S249"/>
          <cell r="T249"/>
          <cell r="U249"/>
          <cell r="V249"/>
          <cell r="W249"/>
          <cell r="X249"/>
          <cell r="Y249"/>
          <cell r="Z249"/>
          <cell r="AA249"/>
          <cell r="AB249"/>
          <cell r="AC249"/>
          <cell r="AD249"/>
          <cell r="AE249"/>
        </row>
        <row r="250">
          <cell r="G250"/>
          <cell r="H250"/>
          <cell r="I250"/>
          <cell r="J250"/>
          <cell r="K250"/>
          <cell r="L250"/>
          <cell r="M250"/>
          <cell r="N250"/>
          <cell r="O250"/>
          <cell r="P250"/>
          <cell r="Q250"/>
          <cell r="R250"/>
          <cell r="S250"/>
          <cell r="T250"/>
          <cell r="U250"/>
          <cell r="V250"/>
          <cell r="W250"/>
          <cell r="X250"/>
          <cell r="Y250"/>
          <cell r="Z250"/>
          <cell r="AA250"/>
          <cell r="AB250"/>
          <cell r="AC250"/>
          <cell r="AD250"/>
          <cell r="AE250"/>
        </row>
        <row r="251">
          <cell r="G251"/>
          <cell r="H251"/>
          <cell r="I251"/>
          <cell r="J251"/>
          <cell r="K251"/>
          <cell r="L251"/>
          <cell r="M251"/>
          <cell r="N251"/>
          <cell r="O251"/>
          <cell r="P251"/>
          <cell r="Q251"/>
          <cell r="R251"/>
          <cell r="S251"/>
          <cell r="T251"/>
          <cell r="U251"/>
          <cell r="V251"/>
          <cell r="W251"/>
          <cell r="X251"/>
          <cell r="Y251"/>
          <cell r="Z251"/>
          <cell r="AA251"/>
          <cell r="AB251"/>
          <cell r="AC251"/>
          <cell r="AD251"/>
          <cell r="AE251"/>
        </row>
        <row r="252">
          <cell r="G252"/>
          <cell r="H252"/>
          <cell r="I252"/>
          <cell r="J252"/>
          <cell r="K252"/>
          <cell r="L252"/>
          <cell r="M252"/>
          <cell r="N252"/>
          <cell r="O252"/>
          <cell r="P252"/>
          <cell r="Q252"/>
          <cell r="R252"/>
          <cell r="S252"/>
          <cell r="T252"/>
          <cell r="U252"/>
          <cell r="V252"/>
          <cell r="W252"/>
          <cell r="X252"/>
          <cell r="Y252"/>
          <cell r="Z252"/>
          <cell r="AA252"/>
          <cell r="AB252"/>
          <cell r="AC252"/>
          <cell r="AD252"/>
          <cell r="AE252"/>
        </row>
        <row r="253">
          <cell r="G253"/>
          <cell r="H253"/>
          <cell r="I253"/>
          <cell r="J253"/>
          <cell r="K253"/>
          <cell r="L253"/>
          <cell r="M253"/>
          <cell r="N253"/>
          <cell r="O253"/>
          <cell r="P253"/>
          <cell r="Q253"/>
          <cell r="R253"/>
          <cell r="S253"/>
          <cell r="T253"/>
          <cell r="U253"/>
          <cell r="V253"/>
          <cell r="W253"/>
          <cell r="X253"/>
          <cell r="Y253"/>
          <cell r="Z253"/>
          <cell r="AA253"/>
          <cell r="AB253"/>
          <cell r="AC253"/>
          <cell r="AD253"/>
          <cell r="AE253"/>
        </row>
        <row r="254">
          <cell r="G254"/>
          <cell r="H254"/>
          <cell r="I254"/>
          <cell r="J254"/>
          <cell r="K254"/>
          <cell r="L254"/>
          <cell r="M254"/>
          <cell r="N254"/>
          <cell r="O254"/>
          <cell r="P254"/>
          <cell r="Q254"/>
          <cell r="R254"/>
          <cell r="S254"/>
          <cell r="T254"/>
          <cell r="U254"/>
          <cell r="V254"/>
          <cell r="W254"/>
          <cell r="X254"/>
          <cell r="Y254"/>
          <cell r="Z254"/>
          <cell r="AA254"/>
          <cell r="AB254"/>
          <cell r="AC254"/>
          <cell r="AD254"/>
          <cell r="AE254"/>
        </row>
        <row r="255">
          <cell r="G255"/>
          <cell r="H255"/>
          <cell r="I255"/>
          <cell r="J255"/>
          <cell r="K255"/>
          <cell r="L255"/>
          <cell r="M255"/>
          <cell r="N255"/>
          <cell r="O255"/>
          <cell r="P255"/>
          <cell r="Q255"/>
          <cell r="R255"/>
          <cell r="S255"/>
          <cell r="T255"/>
          <cell r="U255"/>
          <cell r="V255"/>
          <cell r="W255"/>
          <cell r="X255"/>
          <cell r="Y255"/>
          <cell r="Z255"/>
          <cell r="AA255"/>
          <cell r="AB255"/>
          <cell r="AC255"/>
          <cell r="AD255"/>
          <cell r="AE255"/>
        </row>
        <row r="256">
          <cell r="G256"/>
          <cell r="H256"/>
          <cell r="I256"/>
          <cell r="J256"/>
          <cell r="K256"/>
          <cell r="L256"/>
          <cell r="M256"/>
          <cell r="N256"/>
          <cell r="O256"/>
          <cell r="P256"/>
          <cell r="Q256"/>
          <cell r="R256"/>
          <cell r="S256"/>
          <cell r="T256"/>
          <cell r="U256"/>
          <cell r="V256"/>
          <cell r="W256"/>
          <cell r="X256"/>
          <cell r="Y256"/>
          <cell r="Z256"/>
          <cell r="AA256"/>
          <cell r="AB256"/>
          <cell r="AC256"/>
          <cell r="AD256"/>
          <cell r="AE256"/>
        </row>
        <row r="257">
          <cell r="G257"/>
          <cell r="H257"/>
          <cell r="I257"/>
          <cell r="J257"/>
          <cell r="K257"/>
          <cell r="L257"/>
          <cell r="M257"/>
          <cell r="N257"/>
          <cell r="O257"/>
          <cell r="P257"/>
          <cell r="Q257"/>
          <cell r="R257"/>
          <cell r="S257"/>
          <cell r="T257"/>
          <cell r="U257"/>
          <cell r="V257"/>
          <cell r="W257"/>
          <cell r="X257"/>
          <cell r="Y257"/>
          <cell r="Z257"/>
          <cell r="AA257"/>
          <cell r="AB257"/>
          <cell r="AC257"/>
          <cell r="AD257"/>
          <cell r="AE257"/>
        </row>
        <row r="258">
          <cell r="G258"/>
          <cell r="H258"/>
          <cell r="I258"/>
          <cell r="J258"/>
          <cell r="K258"/>
          <cell r="L258"/>
          <cell r="M258"/>
          <cell r="N258"/>
          <cell r="O258"/>
          <cell r="P258"/>
          <cell r="Q258"/>
          <cell r="R258"/>
          <cell r="S258"/>
          <cell r="T258"/>
          <cell r="U258"/>
          <cell r="V258"/>
          <cell r="W258"/>
          <cell r="X258"/>
          <cell r="Y258"/>
          <cell r="Z258"/>
          <cell r="AA258"/>
          <cell r="AB258"/>
          <cell r="AC258"/>
          <cell r="AD258"/>
          <cell r="AE258"/>
        </row>
        <row r="259">
          <cell r="G259"/>
          <cell r="H259"/>
          <cell r="I259"/>
          <cell r="J259"/>
          <cell r="K259"/>
          <cell r="L259"/>
          <cell r="M259"/>
          <cell r="N259"/>
          <cell r="O259"/>
          <cell r="P259"/>
          <cell r="Q259"/>
          <cell r="R259"/>
          <cell r="S259"/>
          <cell r="T259"/>
          <cell r="U259"/>
          <cell r="V259"/>
          <cell r="W259"/>
          <cell r="X259"/>
          <cell r="Y259"/>
          <cell r="Z259"/>
          <cell r="AA259"/>
          <cell r="AB259"/>
          <cell r="AC259"/>
          <cell r="AD259"/>
          <cell r="AE259"/>
        </row>
        <row r="260">
          <cell r="G260"/>
          <cell r="H260"/>
          <cell r="I260"/>
          <cell r="J260"/>
          <cell r="K260"/>
          <cell r="L260"/>
          <cell r="M260"/>
          <cell r="N260"/>
          <cell r="O260"/>
          <cell r="P260"/>
          <cell r="Q260"/>
          <cell r="R260"/>
          <cell r="S260"/>
          <cell r="T260"/>
          <cell r="U260"/>
          <cell r="V260"/>
          <cell r="W260"/>
          <cell r="X260"/>
          <cell r="Y260"/>
          <cell r="Z260"/>
          <cell r="AA260"/>
          <cell r="AB260"/>
          <cell r="AC260"/>
          <cell r="AD260"/>
          <cell r="AE260"/>
        </row>
        <row r="261">
          <cell r="G261"/>
          <cell r="H261"/>
          <cell r="I261"/>
          <cell r="J261"/>
          <cell r="K261"/>
          <cell r="L261"/>
          <cell r="M261"/>
          <cell r="N261"/>
          <cell r="O261"/>
          <cell r="P261"/>
          <cell r="Q261"/>
          <cell r="R261"/>
          <cell r="S261"/>
          <cell r="T261"/>
          <cell r="U261"/>
          <cell r="V261"/>
          <cell r="W261"/>
          <cell r="X261"/>
          <cell r="Y261"/>
          <cell r="Z261"/>
          <cell r="AA261"/>
          <cell r="AB261"/>
          <cell r="AC261"/>
          <cell r="AD261"/>
          <cell r="AE261"/>
        </row>
        <row r="262">
          <cell r="G262"/>
          <cell r="H262"/>
          <cell r="I262"/>
          <cell r="J262"/>
          <cell r="K262"/>
          <cell r="L262"/>
          <cell r="M262"/>
          <cell r="N262"/>
          <cell r="O262"/>
          <cell r="P262"/>
          <cell r="Q262"/>
          <cell r="R262"/>
          <cell r="S262"/>
          <cell r="T262"/>
          <cell r="U262"/>
          <cell r="V262"/>
          <cell r="W262"/>
          <cell r="X262"/>
          <cell r="Y262"/>
          <cell r="Z262"/>
          <cell r="AA262"/>
          <cell r="AB262"/>
          <cell r="AC262"/>
          <cell r="AD262"/>
          <cell r="AE262"/>
        </row>
        <row r="263">
          <cell r="G263"/>
          <cell r="H263"/>
          <cell r="I263"/>
          <cell r="J263"/>
          <cell r="K263"/>
          <cell r="L263"/>
          <cell r="M263"/>
          <cell r="N263"/>
          <cell r="O263"/>
          <cell r="P263"/>
          <cell r="Q263"/>
          <cell r="R263"/>
          <cell r="S263"/>
          <cell r="T263"/>
          <cell r="U263"/>
          <cell r="V263"/>
          <cell r="W263"/>
          <cell r="X263"/>
          <cell r="Y263"/>
          <cell r="Z263"/>
          <cell r="AA263"/>
          <cell r="AB263"/>
          <cell r="AC263"/>
          <cell r="AD263"/>
          <cell r="AE263"/>
        </row>
        <row r="264">
          <cell r="G264"/>
          <cell r="H264"/>
          <cell r="I264"/>
          <cell r="J264"/>
          <cell r="K264"/>
          <cell r="L264"/>
          <cell r="M264"/>
          <cell r="N264"/>
          <cell r="O264"/>
          <cell r="P264"/>
          <cell r="Q264"/>
          <cell r="R264"/>
          <cell r="S264"/>
          <cell r="T264"/>
          <cell r="U264"/>
          <cell r="V264"/>
          <cell r="W264"/>
          <cell r="X264"/>
          <cell r="Y264"/>
          <cell r="Z264"/>
          <cell r="AA264"/>
          <cell r="AB264"/>
          <cell r="AC264"/>
          <cell r="AD264"/>
          <cell r="AE264"/>
        </row>
        <row r="265">
          <cell r="G265"/>
          <cell r="H265"/>
          <cell r="I265"/>
          <cell r="J265"/>
          <cell r="K265"/>
          <cell r="L265"/>
          <cell r="M265"/>
          <cell r="N265"/>
          <cell r="O265"/>
          <cell r="P265"/>
          <cell r="Q265"/>
          <cell r="R265"/>
          <cell r="S265"/>
          <cell r="T265"/>
          <cell r="U265"/>
          <cell r="V265"/>
          <cell r="W265"/>
          <cell r="X265"/>
          <cell r="Y265"/>
          <cell r="Z265"/>
          <cell r="AA265"/>
          <cell r="AB265"/>
          <cell r="AC265"/>
          <cell r="AD265"/>
          <cell r="AE265"/>
        </row>
        <row r="266">
          <cell r="G266"/>
          <cell r="H266"/>
          <cell r="I266"/>
          <cell r="J266"/>
          <cell r="K266"/>
          <cell r="L266"/>
          <cell r="M266"/>
          <cell r="N266"/>
          <cell r="O266"/>
          <cell r="P266"/>
          <cell r="Q266"/>
          <cell r="R266"/>
          <cell r="S266"/>
          <cell r="T266"/>
          <cell r="U266"/>
          <cell r="V266"/>
          <cell r="W266"/>
          <cell r="X266"/>
          <cell r="Y266"/>
          <cell r="Z266"/>
          <cell r="AA266"/>
          <cell r="AB266"/>
          <cell r="AC266"/>
          <cell r="AD266"/>
          <cell r="AE266"/>
        </row>
        <row r="267">
          <cell r="G267"/>
          <cell r="H267"/>
          <cell r="I267"/>
          <cell r="J267"/>
          <cell r="K267"/>
          <cell r="L267"/>
          <cell r="M267"/>
          <cell r="N267"/>
          <cell r="O267"/>
          <cell r="P267"/>
          <cell r="Q267"/>
          <cell r="R267"/>
          <cell r="S267"/>
          <cell r="T267"/>
          <cell r="U267"/>
          <cell r="V267"/>
          <cell r="W267"/>
          <cell r="X267"/>
          <cell r="Y267"/>
          <cell r="Z267"/>
          <cell r="AA267"/>
          <cell r="AB267"/>
          <cell r="AC267"/>
          <cell r="AD267"/>
          <cell r="AE267"/>
        </row>
        <row r="268">
          <cell r="G268"/>
          <cell r="H268"/>
          <cell r="I268"/>
          <cell r="J268"/>
          <cell r="K268"/>
          <cell r="L268"/>
          <cell r="M268"/>
          <cell r="N268"/>
          <cell r="O268"/>
          <cell r="P268"/>
          <cell r="Q268"/>
          <cell r="R268"/>
          <cell r="S268"/>
          <cell r="T268"/>
          <cell r="U268"/>
          <cell r="V268"/>
          <cell r="W268"/>
          <cell r="X268"/>
          <cell r="Y268"/>
          <cell r="Z268"/>
          <cell r="AA268"/>
          <cell r="AB268"/>
          <cell r="AC268"/>
          <cell r="AD268"/>
          <cell r="AE268"/>
        </row>
        <row r="269">
          <cell r="G269"/>
          <cell r="H269"/>
          <cell r="I269"/>
          <cell r="J269"/>
          <cell r="K269"/>
          <cell r="L269"/>
          <cell r="M269"/>
          <cell r="N269"/>
          <cell r="O269"/>
          <cell r="P269"/>
          <cell r="Q269"/>
          <cell r="R269"/>
          <cell r="S269"/>
          <cell r="T269"/>
          <cell r="U269"/>
          <cell r="V269"/>
          <cell r="W269"/>
          <cell r="X269"/>
          <cell r="Y269"/>
          <cell r="Z269"/>
          <cell r="AA269"/>
          <cell r="AB269"/>
          <cell r="AC269"/>
          <cell r="AD269"/>
          <cell r="AE269"/>
        </row>
        <row r="270">
          <cell r="G270"/>
          <cell r="H270"/>
          <cell r="I270"/>
          <cell r="J270"/>
          <cell r="K270"/>
          <cell r="L270"/>
          <cell r="M270"/>
          <cell r="N270"/>
          <cell r="O270"/>
          <cell r="P270"/>
          <cell r="Q270"/>
          <cell r="R270"/>
          <cell r="S270"/>
          <cell r="T270"/>
          <cell r="U270"/>
          <cell r="V270"/>
          <cell r="W270"/>
          <cell r="X270"/>
          <cell r="Y270"/>
          <cell r="Z270"/>
          <cell r="AA270"/>
          <cell r="AB270"/>
          <cell r="AC270"/>
          <cell r="AD270"/>
          <cell r="AE270"/>
        </row>
        <row r="271">
          <cell r="G271"/>
          <cell r="H271"/>
          <cell r="I271"/>
          <cell r="J271"/>
          <cell r="K271"/>
          <cell r="L271"/>
          <cell r="M271"/>
          <cell r="N271"/>
          <cell r="O271"/>
          <cell r="P271"/>
          <cell r="Q271"/>
          <cell r="R271"/>
          <cell r="S271"/>
          <cell r="T271"/>
          <cell r="U271"/>
          <cell r="V271"/>
          <cell r="W271"/>
          <cell r="X271"/>
          <cell r="Y271"/>
          <cell r="Z271"/>
          <cell r="AA271"/>
          <cell r="AB271"/>
          <cell r="AC271"/>
          <cell r="AD271"/>
          <cell r="AE271"/>
        </row>
        <row r="272">
          <cell r="G272"/>
          <cell r="H272"/>
          <cell r="I272"/>
          <cell r="J272"/>
          <cell r="K272"/>
          <cell r="L272"/>
          <cell r="M272"/>
          <cell r="N272"/>
          <cell r="O272"/>
          <cell r="P272"/>
          <cell r="Q272"/>
          <cell r="R272"/>
          <cell r="S272"/>
          <cell r="T272"/>
          <cell r="U272"/>
          <cell r="V272"/>
          <cell r="W272"/>
          <cell r="X272"/>
          <cell r="Y272"/>
          <cell r="Z272"/>
          <cell r="AA272"/>
          <cell r="AB272"/>
          <cell r="AC272"/>
          <cell r="AD272"/>
          <cell r="AE272"/>
        </row>
        <row r="273">
          <cell r="G273"/>
          <cell r="H273"/>
          <cell r="I273"/>
          <cell r="J273"/>
          <cell r="K273"/>
          <cell r="L273"/>
          <cell r="M273"/>
          <cell r="N273"/>
          <cell r="O273"/>
          <cell r="P273"/>
          <cell r="Q273"/>
          <cell r="R273"/>
          <cell r="S273"/>
          <cell r="T273"/>
          <cell r="U273"/>
          <cell r="V273"/>
          <cell r="W273"/>
          <cell r="X273"/>
          <cell r="Y273"/>
          <cell r="Z273"/>
          <cell r="AA273"/>
          <cell r="AB273"/>
          <cell r="AC273"/>
          <cell r="AD273"/>
          <cell r="AE273"/>
        </row>
        <row r="274">
          <cell r="G274"/>
          <cell r="H274"/>
          <cell r="I274"/>
          <cell r="J274"/>
          <cell r="K274"/>
          <cell r="L274"/>
          <cell r="M274"/>
          <cell r="N274"/>
          <cell r="O274"/>
          <cell r="P274"/>
          <cell r="Q274"/>
          <cell r="R274"/>
          <cell r="S274"/>
          <cell r="T274"/>
          <cell r="U274"/>
          <cell r="V274"/>
          <cell r="W274"/>
          <cell r="X274"/>
          <cell r="Y274"/>
          <cell r="Z274"/>
          <cell r="AA274"/>
          <cell r="AB274"/>
          <cell r="AC274"/>
          <cell r="AD274"/>
          <cell r="AE274"/>
        </row>
        <row r="275">
          <cell r="G275"/>
          <cell r="H275"/>
          <cell r="I275"/>
          <cell r="J275"/>
          <cell r="K275"/>
          <cell r="L275"/>
          <cell r="M275"/>
          <cell r="N275"/>
          <cell r="O275"/>
          <cell r="P275"/>
          <cell r="Q275"/>
          <cell r="R275"/>
          <cell r="S275"/>
          <cell r="T275"/>
          <cell r="U275"/>
          <cell r="V275"/>
          <cell r="W275"/>
          <cell r="X275"/>
          <cell r="Y275"/>
          <cell r="Z275"/>
          <cell r="AA275"/>
          <cell r="AB275"/>
          <cell r="AC275"/>
          <cell r="AD275"/>
          <cell r="AE275"/>
        </row>
        <row r="276">
          <cell r="G276"/>
          <cell r="H276"/>
          <cell r="I276"/>
          <cell r="J276"/>
          <cell r="K276"/>
          <cell r="L276"/>
          <cell r="M276"/>
          <cell r="N276"/>
          <cell r="O276"/>
          <cell r="P276"/>
          <cell r="Q276"/>
          <cell r="R276"/>
          <cell r="S276"/>
          <cell r="T276"/>
          <cell r="U276"/>
          <cell r="V276"/>
          <cell r="W276"/>
          <cell r="X276"/>
          <cell r="Y276"/>
          <cell r="Z276"/>
          <cell r="AA276"/>
          <cell r="AB276"/>
          <cell r="AC276"/>
          <cell r="AD276"/>
          <cell r="AE276"/>
        </row>
        <row r="277">
          <cell r="G277"/>
          <cell r="H277"/>
          <cell r="I277"/>
          <cell r="J277"/>
          <cell r="K277"/>
          <cell r="L277"/>
          <cell r="M277"/>
          <cell r="N277"/>
          <cell r="O277"/>
          <cell r="P277"/>
          <cell r="Q277"/>
          <cell r="R277"/>
          <cell r="S277"/>
          <cell r="T277"/>
          <cell r="U277"/>
          <cell r="V277"/>
          <cell r="W277"/>
          <cell r="X277"/>
          <cell r="Y277"/>
          <cell r="Z277"/>
          <cell r="AA277"/>
          <cell r="AB277"/>
          <cell r="AC277"/>
          <cell r="AD277"/>
          <cell r="AE277"/>
        </row>
        <row r="278">
          <cell r="G278"/>
          <cell r="H278"/>
          <cell r="I278"/>
          <cell r="J278"/>
          <cell r="K278"/>
          <cell r="L278"/>
          <cell r="M278"/>
          <cell r="N278"/>
          <cell r="O278"/>
          <cell r="P278"/>
          <cell r="Q278"/>
          <cell r="R278"/>
          <cell r="S278"/>
          <cell r="T278"/>
          <cell r="U278"/>
          <cell r="V278"/>
          <cell r="W278"/>
          <cell r="X278"/>
          <cell r="Y278"/>
          <cell r="Z278"/>
          <cell r="AA278"/>
          <cell r="AB278"/>
          <cell r="AC278"/>
          <cell r="AD278"/>
          <cell r="AE278"/>
        </row>
        <row r="279">
          <cell r="G279"/>
          <cell r="H279"/>
          <cell r="I279"/>
          <cell r="J279"/>
          <cell r="K279"/>
          <cell r="L279"/>
          <cell r="M279"/>
          <cell r="N279"/>
          <cell r="O279"/>
          <cell r="P279"/>
          <cell r="Q279"/>
          <cell r="R279"/>
          <cell r="S279"/>
          <cell r="T279"/>
          <cell r="U279"/>
          <cell r="V279"/>
          <cell r="W279"/>
          <cell r="X279"/>
          <cell r="Y279"/>
          <cell r="Z279"/>
          <cell r="AA279"/>
          <cell r="AB279"/>
          <cell r="AC279"/>
          <cell r="AD279"/>
          <cell r="AE279"/>
        </row>
        <row r="280">
          <cell r="G280"/>
          <cell r="H280"/>
          <cell r="I280"/>
          <cell r="J280"/>
          <cell r="K280"/>
          <cell r="L280"/>
          <cell r="M280"/>
          <cell r="N280"/>
          <cell r="O280"/>
          <cell r="P280"/>
          <cell r="Q280"/>
          <cell r="R280"/>
          <cell r="S280"/>
          <cell r="T280"/>
          <cell r="U280"/>
          <cell r="V280"/>
          <cell r="W280"/>
          <cell r="X280"/>
          <cell r="Y280"/>
          <cell r="Z280"/>
          <cell r="AA280"/>
          <cell r="AB280"/>
          <cell r="AC280"/>
          <cell r="AD280"/>
          <cell r="AE280"/>
        </row>
        <row r="281">
          <cell r="G281"/>
          <cell r="H281"/>
          <cell r="I281"/>
          <cell r="J281"/>
          <cell r="K281"/>
          <cell r="L281"/>
          <cell r="M281"/>
          <cell r="N281"/>
          <cell r="O281"/>
          <cell r="P281"/>
          <cell r="Q281"/>
          <cell r="R281"/>
          <cell r="S281"/>
          <cell r="T281"/>
          <cell r="U281"/>
          <cell r="V281"/>
          <cell r="W281"/>
          <cell r="X281"/>
          <cell r="Y281"/>
          <cell r="Z281"/>
          <cell r="AA281"/>
          <cell r="AB281"/>
          <cell r="AC281"/>
          <cell r="AD281"/>
          <cell r="AE281"/>
        </row>
        <row r="282">
          <cell r="G282"/>
          <cell r="H282"/>
          <cell r="I282"/>
          <cell r="J282"/>
          <cell r="K282"/>
          <cell r="L282"/>
          <cell r="M282"/>
          <cell r="N282"/>
          <cell r="O282"/>
          <cell r="P282"/>
          <cell r="Q282"/>
          <cell r="R282"/>
          <cell r="S282"/>
          <cell r="T282"/>
          <cell r="U282"/>
          <cell r="V282"/>
          <cell r="W282"/>
          <cell r="X282"/>
          <cell r="Y282"/>
          <cell r="Z282"/>
          <cell r="AA282"/>
          <cell r="AB282"/>
          <cell r="AC282"/>
          <cell r="AD282"/>
          <cell r="AE282"/>
        </row>
        <row r="283">
          <cell r="G283"/>
          <cell r="H283"/>
          <cell r="I283"/>
          <cell r="J283"/>
          <cell r="K283"/>
          <cell r="L283"/>
          <cell r="M283"/>
          <cell r="N283"/>
          <cell r="O283"/>
          <cell r="P283"/>
          <cell r="Q283"/>
          <cell r="R283"/>
          <cell r="S283"/>
          <cell r="T283"/>
          <cell r="U283"/>
          <cell r="V283"/>
          <cell r="W283"/>
          <cell r="X283"/>
          <cell r="Y283"/>
          <cell r="Z283"/>
          <cell r="AA283"/>
          <cell r="AB283"/>
          <cell r="AC283"/>
          <cell r="AD283"/>
          <cell r="AE283"/>
        </row>
        <row r="284">
          <cell r="G284"/>
          <cell r="H284"/>
          <cell r="I284"/>
          <cell r="J284"/>
          <cell r="K284"/>
          <cell r="L284"/>
          <cell r="M284"/>
          <cell r="N284"/>
          <cell r="O284"/>
          <cell r="P284"/>
          <cell r="Q284"/>
          <cell r="R284"/>
          <cell r="S284"/>
          <cell r="T284"/>
          <cell r="U284"/>
          <cell r="V284"/>
          <cell r="W284"/>
          <cell r="X284"/>
          <cell r="Y284"/>
          <cell r="Z284"/>
          <cell r="AA284"/>
          <cell r="AB284"/>
          <cell r="AC284"/>
          <cell r="AD284"/>
          <cell r="AE284"/>
        </row>
        <row r="285">
          <cell r="G285"/>
          <cell r="H285"/>
          <cell r="I285"/>
          <cell r="J285"/>
          <cell r="K285"/>
          <cell r="L285"/>
          <cell r="M285"/>
          <cell r="N285"/>
          <cell r="O285"/>
          <cell r="P285"/>
          <cell r="Q285"/>
          <cell r="R285"/>
          <cell r="S285"/>
          <cell r="T285"/>
          <cell r="U285"/>
          <cell r="V285"/>
          <cell r="W285"/>
          <cell r="X285"/>
          <cell r="Y285"/>
          <cell r="Z285"/>
          <cell r="AA285"/>
          <cell r="AB285"/>
          <cell r="AC285"/>
          <cell r="AD285"/>
          <cell r="AE285"/>
        </row>
        <row r="286">
          <cell r="G286"/>
          <cell r="H286"/>
          <cell r="I286"/>
          <cell r="J286"/>
          <cell r="K286"/>
          <cell r="L286"/>
          <cell r="M286"/>
          <cell r="N286"/>
          <cell r="O286"/>
          <cell r="P286"/>
          <cell r="Q286"/>
          <cell r="R286"/>
          <cell r="S286"/>
          <cell r="T286"/>
          <cell r="U286"/>
          <cell r="V286"/>
          <cell r="W286"/>
          <cell r="X286"/>
          <cell r="Y286"/>
          <cell r="Z286"/>
          <cell r="AA286"/>
          <cell r="AB286"/>
          <cell r="AC286"/>
          <cell r="AD286"/>
          <cell r="AE286"/>
        </row>
        <row r="287">
          <cell r="G287"/>
          <cell r="H287"/>
          <cell r="I287"/>
          <cell r="J287"/>
          <cell r="K287"/>
          <cell r="L287"/>
          <cell r="M287"/>
          <cell r="N287"/>
          <cell r="O287"/>
          <cell r="P287"/>
          <cell r="Q287"/>
          <cell r="R287"/>
          <cell r="S287"/>
          <cell r="T287"/>
          <cell r="U287"/>
          <cell r="V287"/>
          <cell r="W287"/>
          <cell r="X287"/>
          <cell r="Y287"/>
          <cell r="Z287"/>
          <cell r="AA287"/>
          <cell r="AB287"/>
          <cell r="AC287"/>
          <cell r="AD287"/>
          <cell r="AE287"/>
        </row>
        <row r="288">
          <cell r="G288"/>
          <cell r="H288"/>
          <cell r="I288"/>
          <cell r="J288"/>
          <cell r="K288"/>
          <cell r="L288"/>
          <cell r="M288"/>
          <cell r="N288"/>
          <cell r="O288"/>
          <cell r="P288"/>
          <cell r="Q288"/>
          <cell r="R288"/>
          <cell r="S288"/>
          <cell r="T288"/>
          <cell r="U288"/>
          <cell r="V288"/>
          <cell r="W288"/>
          <cell r="X288"/>
          <cell r="Y288"/>
          <cell r="Z288"/>
          <cell r="AA288"/>
          <cell r="AB288"/>
          <cell r="AC288"/>
          <cell r="AD288"/>
          <cell r="AE288"/>
        </row>
        <row r="289">
          <cell r="G289"/>
          <cell r="H289"/>
          <cell r="I289"/>
          <cell r="J289"/>
          <cell r="K289"/>
          <cell r="L289"/>
          <cell r="M289"/>
          <cell r="N289"/>
          <cell r="O289"/>
          <cell r="P289"/>
          <cell r="Q289"/>
          <cell r="R289"/>
          <cell r="S289"/>
          <cell r="T289"/>
          <cell r="U289"/>
          <cell r="V289"/>
          <cell r="W289"/>
          <cell r="X289"/>
          <cell r="Y289"/>
          <cell r="Z289"/>
          <cell r="AA289"/>
          <cell r="AB289"/>
          <cell r="AC289"/>
          <cell r="AD289"/>
          <cell r="AE289"/>
        </row>
        <row r="290">
          <cell r="G290"/>
          <cell r="H290"/>
          <cell r="I290"/>
          <cell r="J290"/>
          <cell r="K290"/>
          <cell r="L290"/>
          <cell r="M290"/>
          <cell r="N290"/>
          <cell r="O290"/>
          <cell r="P290"/>
          <cell r="Q290"/>
          <cell r="R290"/>
          <cell r="S290"/>
          <cell r="T290"/>
          <cell r="U290"/>
          <cell r="V290"/>
          <cell r="W290"/>
          <cell r="X290"/>
          <cell r="Y290"/>
          <cell r="Z290"/>
          <cell r="AA290"/>
          <cell r="AB290"/>
          <cell r="AC290"/>
          <cell r="AD290"/>
          <cell r="AE290"/>
        </row>
        <row r="291">
          <cell r="G291"/>
          <cell r="H291"/>
          <cell r="I291"/>
          <cell r="J291"/>
          <cell r="K291"/>
          <cell r="L291"/>
          <cell r="M291"/>
          <cell r="N291"/>
          <cell r="O291"/>
          <cell r="P291"/>
          <cell r="Q291"/>
          <cell r="R291"/>
          <cell r="S291"/>
          <cell r="T291"/>
          <cell r="U291"/>
          <cell r="V291"/>
          <cell r="W291"/>
          <cell r="X291"/>
          <cell r="Y291"/>
          <cell r="Z291"/>
          <cell r="AA291"/>
          <cell r="AB291"/>
          <cell r="AC291"/>
          <cell r="AD291"/>
          <cell r="AE291"/>
        </row>
        <row r="292">
          <cell r="G292"/>
          <cell r="H292"/>
          <cell r="I292"/>
          <cell r="J292"/>
          <cell r="K292"/>
          <cell r="L292"/>
          <cell r="M292"/>
          <cell r="N292"/>
          <cell r="O292"/>
          <cell r="P292"/>
          <cell r="Q292"/>
          <cell r="R292"/>
          <cell r="S292"/>
          <cell r="T292"/>
          <cell r="U292"/>
          <cell r="V292"/>
          <cell r="W292"/>
          <cell r="X292"/>
          <cell r="Y292"/>
          <cell r="Z292"/>
          <cell r="AA292"/>
          <cell r="AB292"/>
          <cell r="AC292"/>
          <cell r="AD292"/>
          <cell r="AE292"/>
        </row>
        <row r="293">
          <cell r="G293"/>
          <cell r="H293"/>
          <cell r="I293"/>
          <cell r="J293"/>
          <cell r="K293"/>
          <cell r="L293"/>
          <cell r="M293"/>
          <cell r="N293"/>
          <cell r="O293"/>
          <cell r="P293"/>
          <cell r="Q293"/>
          <cell r="R293"/>
          <cell r="S293"/>
          <cell r="T293"/>
          <cell r="U293"/>
          <cell r="V293"/>
          <cell r="W293"/>
          <cell r="X293"/>
          <cell r="Y293"/>
          <cell r="Z293"/>
          <cell r="AA293"/>
          <cell r="AB293"/>
          <cell r="AC293"/>
          <cell r="AD293"/>
          <cell r="AE293"/>
        </row>
        <row r="294">
          <cell r="G294"/>
          <cell r="H294"/>
          <cell r="I294"/>
          <cell r="J294"/>
          <cell r="K294"/>
          <cell r="L294"/>
          <cell r="M294"/>
          <cell r="N294"/>
          <cell r="O294"/>
          <cell r="P294"/>
          <cell r="Q294"/>
          <cell r="R294"/>
          <cell r="S294"/>
          <cell r="T294"/>
          <cell r="U294"/>
          <cell r="V294"/>
          <cell r="W294"/>
          <cell r="X294"/>
          <cell r="Y294"/>
          <cell r="Z294"/>
          <cell r="AA294"/>
          <cell r="AB294"/>
          <cell r="AC294"/>
          <cell r="AD294"/>
          <cell r="AE294"/>
        </row>
        <row r="295">
          <cell r="G295"/>
          <cell r="H295"/>
          <cell r="I295"/>
          <cell r="J295"/>
          <cell r="K295"/>
          <cell r="L295"/>
          <cell r="M295"/>
          <cell r="N295"/>
          <cell r="O295"/>
          <cell r="P295"/>
          <cell r="Q295"/>
          <cell r="R295"/>
          <cell r="S295"/>
          <cell r="T295"/>
          <cell r="U295"/>
          <cell r="V295"/>
          <cell r="W295"/>
          <cell r="X295"/>
          <cell r="Y295"/>
          <cell r="Z295"/>
          <cell r="AA295"/>
          <cell r="AB295"/>
          <cell r="AC295"/>
          <cell r="AD295"/>
          <cell r="AE295"/>
        </row>
        <row r="296">
          <cell r="G296"/>
          <cell r="H296"/>
          <cell r="I296"/>
          <cell r="J296"/>
          <cell r="K296"/>
          <cell r="L296"/>
          <cell r="M296"/>
          <cell r="N296"/>
          <cell r="O296"/>
          <cell r="P296"/>
          <cell r="Q296"/>
          <cell r="R296"/>
          <cell r="S296"/>
          <cell r="T296"/>
          <cell r="U296"/>
          <cell r="V296"/>
          <cell r="W296"/>
          <cell r="X296"/>
          <cell r="Y296"/>
          <cell r="Z296"/>
          <cell r="AA296"/>
          <cell r="AB296"/>
          <cell r="AC296"/>
          <cell r="AD296"/>
          <cell r="AE296"/>
        </row>
        <row r="297">
          <cell r="G297"/>
          <cell r="H297"/>
          <cell r="I297"/>
          <cell r="J297"/>
          <cell r="K297"/>
          <cell r="L297"/>
          <cell r="M297"/>
          <cell r="N297"/>
          <cell r="O297"/>
          <cell r="P297"/>
          <cell r="Q297"/>
          <cell r="R297"/>
          <cell r="S297"/>
          <cell r="T297"/>
          <cell r="U297"/>
          <cell r="V297"/>
          <cell r="W297"/>
          <cell r="X297"/>
          <cell r="Y297"/>
          <cell r="Z297"/>
          <cell r="AA297"/>
          <cell r="AB297"/>
          <cell r="AC297"/>
          <cell r="AD297"/>
          <cell r="AE297"/>
        </row>
        <row r="298">
          <cell r="G298"/>
          <cell r="H298"/>
          <cell r="I298"/>
          <cell r="J298"/>
          <cell r="K298"/>
          <cell r="L298"/>
          <cell r="M298"/>
          <cell r="N298"/>
          <cell r="O298"/>
          <cell r="P298"/>
          <cell r="Q298"/>
          <cell r="R298"/>
          <cell r="S298"/>
          <cell r="T298"/>
          <cell r="U298"/>
          <cell r="V298"/>
          <cell r="W298"/>
          <cell r="X298"/>
          <cell r="Y298"/>
          <cell r="Z298"/>
          <cell r="AA298"/>
          <cell r="AB298"/>
          <cell r="AC298"/>
          <cell r="AD298"/>
          <cell r="AE298"/>
        </row>
        <row r="299">
          <cell r="G299"/>
          <cell r="H299"/>
          <cell r="I299"/>
          <cell r="J299"/>
          <cell r="K299"/>
          <cell r="L299"/>
          <cell r="M299"/>
          <cell r="N299"/>
          <cell r="O299"/>
          <cell r="P299"/>
          <cell r="Q299"/>
          <cell r="R299"/>
          <cell r="S299"/>
          <cell r="T299"/>
          <cell r="U299"/>
          <cell r="V299"/>
          <cell r="W299"/>
          <cell r="X299"/>
          <cell r="Y299"/>
          <cell r="Z299"/>
          <cell r="AA299"/>
          <cell r="AB299"/>
          <cell r="AC299"/>
          <cell r="AD299"/>
          <cell r="AE299"/>
        </row>
        <row r="300">
          <cell r="G300"/>
          <cell r="H300"/>
          <cell r="I300"/>
          <cell r="J300"/>
          <cell r="K300"/>
          <cell r="L300"/>
          <cell r="M300"/>
          <cell r="N300"/>
          <cell r="O300"/>
          <cell r="P300"/>
          <cell r="Q300"/>
          <cell r="R300"/>
          <cell r="S300"/>
          <cell r="T300"/>
          <cell r="U300"/>
          <cell r="V300"/>
          <cell r="W300"/>
          <cell r="X300"/>
          <cell r="Y300"/>
          <cell r="Z300"/>
          <cell r="AA300"/>
          <cell r="AB300"/>
          <cell r="AC300"/>
          <cell r="AD300"/>
          <cell r="AE300"/>
        </row>
        <row r="301">
          <cell r="G301"/>
          <cell r="H301"/>
          <cell r="I301"/>
          <cell r="J301"/>
          <cell r="K301"/>
          <cell r="L301"/>
          <cell r="M301"/>
          <cell r="N301"/>
          <cell r="O301"/>
          <cell r="P301"/>
          <cell r="Q301"/>
          <cell r="R301"/>
          <cell r="S301"/>
          <cell r="T301"/>
          <cell r="U301"/>
          <cell r="V301"/>
          <cell r="W301"/>
          <cell r="X301"/>
          <cell r="Y301"/>
          <cell r="Z301"/>
          <cell r="AA301"/>
          <cell r="AB301"/>
          <cell r="AC301"/>
          <cell r="AD301"/>
          <cell r="AE301"/>
        </row>
        <row r="302">
          <cell r="G302"/>
          <cell r="H302"/>
          <cell r="I302"/>
          <cell r="J302"/>
          <cell r="K302"/>
          <cell r="L302"/>
          <cell r="M302"/>
          <cell r="N302"/>
          <cell r="O302"/>
          <cell r="P302"/>
          <cell r="Q302"/>
          <cell r="R302"/>
          <cell r="S302"/>
          <cell r="T302"/>
          <cell r="U302"/>
          <cell r="V302"/>
          <cell r="W302"/>
          <cell r="X302"/>
          <cell r="Y302"/>
          <cell r="Z302"/>
          <cell r="AA302"/>
          <cell r="AB302"/>
          <cell r="AC302"/>
          <cell r="AD302"/>
          <cell r="AE302"/>
        </row>
        <row r="303">
          <cell r="G303"/>
          <cell r="H303"/>
          <cell r="I303"/>
          <cell r="J303"/>
          <cell r="K303"/>
          <cell r="L303"/>
          <cell r="M303"/>
          <cell r="N303"/>
          <cell r="O303"/>
          <cell r="P303"/>
          <cell r="Q303"/>
          <cell r="R303"/>
          <cell r="S303"/>
          <cell r="T303"/>
          <cell r="U303"/>
          <cell r="V303"/>
          <cell r="W303"/>
          <cell r="X303"/>
          <cell r="Y303"/>
          <cell r="Z303"/>
          <cell r="AA303"/>
          <cell r="AB303"/>
          <cell r="AC303"/>
          <cell r="AD303"/>
          <cell r="AE303"/>
        </row>
        <row r="304">
          <cell r="G304"/>
          <cell r="H304"/>
          <cell r="I304"/>
          <cell r="J304"/>
          <cell r="K304"/>
          <cell r="L304"/>
          <cell r="M304"/>
          <cell r="N304"/>
          <cell r="O304"/>
          <cell r="P304"/>
          <cell r="Q304"/>
          <cell r="R304"/>
          <cell r="S304"/>
          <cell r="T304"/>
          <cell r="U304"/>
          <cell r="V304"/>
          <cell r="W304"/>
          <cell r="X304"/>
          <cell r="Y304"/>
          <cell r="Z304"/>
          <cell r="AA304"/>
          <cell r="AB304"/>
          <cell r="AC304"/>
          <cell r="AD304"/>
          <cell r="AE304"/>
        </row>
        <row r="305">
          <cell r="G305"/>
          <cell r="H305"/>
          <cell r="I305"/>
          <cell r="J305"/>
          <cell r="K305"/>
          <cell r="L305"/>
          <cell r="M305"/>
          <cell r="N305"/>
          <cell r="O305"/>
          <cell r="P305"/>
          <cell r="Q305"/>
          <cell r="R305"/>
          <cell r="S305"/>
          <cell r="T305"/>
          <cell r="U305"/>
          <cell r="V305"/>
          <cell r="W305"/>
          <cell r="X305"/>
          <cell r="Y305"/>
          <cell r="Z305"/>
          <cell r="AA305"/>
          <cell r="AB305"/>
          <cell r="AC305"/>
          <cell r="AD305"/>
          <cell r="AE305"/>
        </row>
        <row r="306">
          <cell r="G306"/>
          <cell r="H306"/>
          <cell r="I306"/>
          <cell r="J306"/>
          <cell r="K306"/>
          <cell r="L306"/>
          <cell r="M306"/>
          <cell r="N306"/>
          <cell r="O306"/>
          <cell r="P306"/>
          <cell r="Q306"/>
          <cell r="R306"/>
          <cell r="S306"/>
          <cell r="T306"/>
          <cell r="U306"/>
          <cell r="V306"/>
          <cell r="W306"/>
          <cell r="X306"/>
          <cell r="Y306"/>
          <cell r="Z306"/>
          <cell r="AA306"/>
          <cell r="AB306"/>
          <cell r="AC306"/>
          <cell r="AD306"/>
          <cell r="AE306"/>
        </row>
        <row r="307">
          <cell r="G307"/>
          <cell r="H307"/>
          <cell r="I307"/>
          <cell r="J307"/>
          <cell r="K307"/>
          <cell r="L307"/>
          <cell r="M307"/>
          <cell r="N307"/>
          <cell r="O307"/>
          <cell r="P307"/>
          <cell r="Q307"/>
          <cell r="R307"/>
          <cell r="S307"/>
          <cell r="T307"/>
          <cell r="U307"/>
          <cell r="V307"/>
          <cell r="W307"/>
          <cell r="X307"/>
          <cell r="Y307"/>
          <cell r="Z307"/>
          <cell r="AA307"/>
          <cell r="AB307"/>
          <cell r="AC307"/>
          <cell r="AD307"/>
          <cell r="AE307"/>
        </row>
        <row r="308">
          <cell r="G308"/>
          <cell r="H308"/>
          <cell r="I308"/>
          <cell r="J308"/>
          <cell r="K308"/>
          <cell r="L308"/>
          <cell r="M308"/>
          <cell r="N308"/>
          <cell r="O308"/>
          <cell r="P308"/>
          <cell r="Q308"/>
          <cell r="R308"/>
          <cell r="S308"/>
          <cell r="T308"/>
          <cell r="U308"/>
          <cell r="V308"/>
          <cell r="W308"/>
          <cell r="X308"/>
          <cell r="Y308"/>
          <cell r="Z308"/>
          <cell r="AA308"/>
          <cell r="AB308"/>
          <cell r="AC308"/>
          <cell r="AD308"/>
          <cell r="AE308"/>
        </row>
        <row r="309">
          <cell r="G309"/>
          <cell r="H309"/>
          <cell r="I309"/>
          <cell r="J309"/>
          <cell r="K309"/>
          <cell r="L309"/>
          <cell r="M309"/>
          <cell r="N309"/>
          <cell r="O309"/>
          <cell r="P309"/>
          <cell r="Q309"/>
          <cell r="R309"/>
          <cell r="S309"/>
          <cell r="T309"/>
          <cell r="U309"/>
          <cell r="V309"/>
          <cell r="W309"/>
          <cell r="X309"/>
          <cell r="Y309"/>
          <cell r="Z309"/>
          <cell r="AA309"/>
          <cell r="AB309"/>
          <cell r="AC309"/>
          <cell r="AD309"/>
          <cell r="AE309"/>
        </row>
        <row r="310">
          <cell r="G310"/>
          <cell r="H310"/>
          <cell r="I310"/>
          <cell r="J310"/>
          <cell r="K310"/>
          <cell r="L310"/>
          <cell r="M310"/>
          <cell r="N310"/>
          <cell r="O310"/>
          <cell r="P310"/>
          <cell r="Q310"/>
          <cell r="R310"/>
          <cell r="S310"/>
          <cell r="T310"/>
          <cell r="U310"/>
          <cell r="V310"/>
          <cell r="W310"/>
          <cell r="X310"/>
          <cell r="Y310"/>
          <cell r="Z310"/>
          <cell r="AA310"/>
          <cell r="AB310"/>
          <cell r="AC310"/>
          <cell r="AD310"/>
          <cell r="AE310"/>
        </row>
        <row r="311">
          <cell r="G311"/>
          <cell r="H311"/>
          <cell r="I311"/>
          <cell r="J311"/>
          <cell r="K311"/>
          <cell r="L311"/>
          <cell r="M311"/>
          <cell r="N311"/>
          <cell r="O311"/>
          <cell r="P311"/>
          <cell r="Q311"/>
          <cell r="R311"/>
          <cell r="S311"/>
          <cell r="T311"/>
          <cell r="U311"/>
          <cell r="V311"/>
          <cell r="W311"/>
          <cell r="X311"/>
          <cell r="Y311"/>
          <cell r="Z311"/>
          <cell r="AA311"/>
          <cell r="AB311"/>
          <cell r="AC311"/>
          <cell r="AD311"/>
          <cell r="AE311"/>
        </row>
        <row r="312">
          <cell r="G312"/>
          <cell r="H312"/>
          <cell r="I312"/>
          <cell r="J312"/>
          <cell r="K312"/>
          <cell r="L312"/>
          <cell r="M312"/>
          <cell r="N312"/>
          <cell r="O312"/>
          <cell r="P312"/>
          <cell r="Q312"/>
          <cell r="R312"/>
          <cell r="S312"/>
          <cell r="T312"/>
          <cell r="U312"/>
          <cell r="V312"/>
          <cell r="W312"/>
          <cell r="X312"/>
          <cell r="Y312"/>
          <cell r="Z312"/>
          <cell r="AA312"/>
          <cell r="AB312"/>
          <cell r="AC312"/>
          <cell r="AD312"/>
          <cell r="AE312"/>
        </row>
        <row r="313">
          <cell r="G313"/>
          <cell r="H313"/>
          <cell r="I313"/>
          <cell r="J313"/>
          <cell r="K313"/>
          <cell r="L313"/>
          <cell r="M313"/>
          <cell r="N313"/>
          <cell r="O313"/>
          <cell r="P313"/>
          <cell r="Q313"/>
          <cell r="R313"/>
          <cell r="S313"/>
          <cell r="T313"/>
          <cell r="U313"/>
          <cell r="V313"/>
          <cell r="W313"/>
          <cell r="X313"/>
          <cell r="Y313"/>
          <cell r="Z313"/>
          <cell r="AA313"/>
          <cell r="AB313"/>
          <cell r="AC313"/>
          <cell r="AD313"/>
          <cell r="AE313"/>
        </row>
        <row r="314">
          <cell r="G314"/>
          <cell r="H314"/>
          <cell r="I314"/>
          <cell r="J314"/>
          <cell r="K314"/>
          <cell r="L314"/>
          <cell r="M314"/>
          <cell r="N314"/>
          <cell r="O314"/>
          <cell r="P314"/>
          <cell r="Q314"/>
          <cell r="R314"/>
          <cell r="S314"/>
          <cell r="T314"/>
          <cell r="U314"/>
          <cell r="V314"/>
          <cell r="W314"/>
          <cell r="X314"/>
          <cell r="Y314"/>
          <cell r="Z314"/>
          <cell r="AA314"/>
          <cell r="AB314"/>
          <cell r="AC314"/>
          <cell r="AD314"/>
          <cell r="AE314"/>
        </row>
        <row r="315">
          <cell r="G315"/>
          <cell r="H315"/>
          <cell r="I315"/>
          <cell r="J315"/>
          <cell r="K315"/>
          <cell r="L315"/>
          <cell r="M315"/>
          <cell r="N315"/>
          <cell r="O315"/>
          <cell r="P315"/>
          <cell r="Q315"/>
          <cell r="R315"/>
          <cell r="S315"/>
          <cell r="T315"/>
          <cell r="U315"/>
          <cell r="V315"/>
          <cell r="W315"/>
          <cell r="X315"/>
          <cell r="Y315"/>
          <cell r="Z315"/>
          <cell r="AA315"/>
          <cell r="AB315"/>
          <cell r="AC315"/>
          <cell r="AD315"/>
          <cell r="AE315"/>
        </row>
        <row r="316">
          <cell r="G316"/>
          <cell r="H316"/>
          <cell r="I316"/>
          <cell r="J316"/>
          <cell r="K316"/>
          <cell r="L316"/>
          <cell r="M316"/>
          <cell r="N316"/>
          <cell r="O316"/>
          <cell r="P316"/>
          <cell r="Q316"/>
          <cell r="R316"/>
          <cell r="S316"/>
          <cell r="T316"/>
          <cell r="U316"/>
          <cell r="V316"/>
          <cell r="W316"/>
          <cell r="X316"/>
          <cell r="Y316"/>
          <cell r="Z316"/>
          <cell r="AA316"/>
          <cell r="AB316"/>
          <cell r="AC316"/>
          <cell r="AD316"/>
          <cell r="AE316"/>
        </row>
        <row r="317">
          <cell r="G317"/>
          <cell r="H317"/>
          <cell r="I317"/>
          <cell r="J317"/>
          <cell r="K317"/>
          <cell r="L317"/>
          <cell r="M317"/>
          <cell r="N317"/>
          <cell r="O317"/>
          <cell r="P317"/>
          <cell r="Q317"/>
          <cell r="R317"/>
          <cell r="S317"/>
          <cell r="T317"/>
          <cell r="U317"/>
          <cell r="V317"/>
          <cell r="W317"/>
          <cell r="X317"/>
          <cell r="Y317"/>
          <cell r="Z317"/>
          <cell r="AA317"/>
          <cell r="AB317"/>
          <cell r="AC317"/>
          <cell r="AD317"/>
          <cell r="AE317"/>
        </row>
        <row r="318">
          <cell r="G318"/>
          <cell r="H318"/>
          <cell r="I318"/>
          <cell r="J318"/>
          <cell r="K318"/>
          <cell r="L318"/>
          <cell r="M318"/>
          <cell r="N318"/>
          <cell r="O318"/>
          <cell r="P318"/>
          <cell r="Q318"/>
          <cell r="R318"/>
          <cell r="S318"/>
          <cell r="T318"/>
          <cell r="U318"/>
          <cell r="V318"/>
          <cell r="W318"/>
          <cell r="X318"/>
          <cell r="Y318"/>
          <cell r="Z318"/>
          <cell r="AA318"/>
          <cell r="AB318"/>
          <cell r="AC318"/>
          <cell r="AD318"/>
          <cell r="AE318"/>
        </row>
        <row r="319">
          <cell r="G319"/>
          <cell r="H319"/>
          <cell r="I319"/>
          <cell r="J319"/>
          <cell r="K319"/>
          <cell r="L319"/>
          <cell r="M319"/>
          <cell r="N319"/>
          <cell r="O319"/>
          <cell r="P319"/>
          <cell r="Q319"/>
          <cell r="R319"/>
          <cell r="S319"/>
          <cell r="T319"/>
          <cell r="U319"/>
          <cell r="V319"/>
          <cell r="W319"/>
          <cell r="X319"/>
          <cell r="Y319"/>
          <cell r="Z319"/>
          <cell r="AA319"/>
          <cell r="AB319"/>
          <cell r="AC319"/>
          <cell r="AD319"/>
          <cell r="AE319"/>
        </row>
        <row r="320">
          <cell r="G320"/>
          <cell r="H320"/>
          <cell r="I320"/>
          <cell r="J320"/>
          <cell r="K320"/>
          <cell r="L320"/>
          <cell r="M320"/>
          <cell r="N320"/>
          <cell r="O320"/>
          <cell r="P320"/>
          <cell r="Q320"/>
          <cell r="R320"/>
          <cell r="S320"/>
          <cell r="T320"/>
          <cell r="U320"/>
          <cell r="V320"/>
          <cell r="W320"/>
          <cell r="X320"/>
          <cell r="Y320"/>
          <cell r="Z320"/>
          <cell r="AA320"/>
          <cell r="AB320"/>
          <cell r="AC320"/>
          <cell r="AD320"/>
          <cell r="AE320"/>
        </row>
        <row r="321">
          <cell r="G321"/>
          <cell r="H321"/>
          <cell r="I321"/>
          <cell r="J321"/>
          <cell r="K321"/>
          <cell r="L321"/>
          <cell r="M321"/>
          <cell r="N321"/>
          <cell r="O321"/>
          <cell r="P321"/>
          <cell r="Q321"/>
          <cell r="R321"/>
          <cell r="S321"/>
          <cell r="T321"/>
          <cell r="U321"/>
          <cell r="V321"/>
          <cell r="W321"/>
          <cell r="X321"/>
          <cell r="Y321"/>
          <cell r="Z321"/>
          <cell r="AA321"/>
          <cell r="AB321"/>
          <cell r="AC321"/>
          <cell r="AD321"/>
          <cell r="AE321"/>
        </row>
        <row r="322">
          <cell r="G322"/>
          <cell r="H322"/>
          <cell r="I322"/>
          <cell r="J322"/>
          <cell r="K322"/>
          <cell r="L322"/>
          <cell r="M322"/>
          <cell r="N322"/>
          <cell r="O322"/>
          <cell r="P322"/>
          <cell r="Q322"/>
          <cell r="R322"/>
          <cell r="S322"/>
          <cell r="T322"/>
          <cell r="U322"/>
          <cell r="V322"/>
          <cell r="W322"/>
          <cell r="X322"/>
          <cell r="Y322"/>
          <cell r="Z322"/>
          <cell r="AA322"/>
          <cell r="AB322"/>
          <cell r="AC322"/>
          <cell r="AD322"/>
          <cell r="AE322"/>
        </row>
        <row r="323">
          <cell r="G323"/>
          <cell r="H323"/>
          <cell r="I323"/>
          <cell r="J323"/>
          <cell r="K323"/>
          <cell r="L323"/>
          <cell r="M323"/>
          <cell r="N323"/>
          <cell r="O323"/>
          <cell r="P323"/>
          <cell r="Q323"/>
          <cell r="R323"/>
          <cell r="S323"/>
          <cell r="T323"/>
          <cell r="U323"/>
          <cell r="V323"/>
          <cell r="W323"/>
          <cell r="X323"/>
          <cell r="Y323"/>
          <cell r="Z323"/>
          <cell r="AA323"/>
          <cell r="AB323"/>
          <cell r="AC323"/>
          <cell r="AD323"/>
          <cell r="AE323"/>
        </row>
        <row r="324">
          <cell r="G324"/>
          <cell r="H324"/>
          <cell r="I324"/>
          <cell r="J324"/>
          <cell r="K324"/>
          <cell r="L324"/>
          <cell r="M324"/>
          <cell r="N324"/>
          <cell r="O324"/>
          <cell r="P324"/>
          <cell r="Q324"/>
          <cell r="R324"/>
          <cell r="S324"/>
          <cell r="T324"/>
          <cell r="U324"/>
          <cell r="V324"/>
          <cell r="W324"/>
          <cell r="X324"/>
          <cell r="Y324"/>
          <cell r="Z324"/>
          <cell r="AA324"/>
          <cell r="AB324"/>
          <cell r="AC324"/>
          <cell r="AD324"/>
          <cell r="AE324"/>
        </row>
        <row r="325">
          <cell r="G325"/>
          <cell r="H325"/>
          <cell r="I325"/>
          <cell r="J325"/>
          <cell r="K325"/>
          <cell r="L325"/>
          <cell r="M325"/>
          <cell r="N325"/>
          <cell r="O325"/>
          <cell r="P325"/>
          <cell r="Q325"/>
          <cell r="R325"/>
          <cell r="S325"/>
          <cell r="T325"/>
          <cell r="U325"/>
          <cell r="V325"/>
          <cell r="W325"/>
          <cell r="X325"/>
          <cell r="Y325"/>
          <cell r="Z325"/>
          <cell r="AA325"/>
          <cell r="AB325"/>
          <cell r="AC325"/>
          <cell r="AD325"/>
          <cell r="AE325"/>
        </row>
        <row r="326">
          <cell r="G326"/>
          <cell r="H326"/>
          <cell r="I326"/>
          <cell r="J326"/>
          <cell r="K326"/>
          <cell r="L326"/>
          <cell r="M326"/>
          <cell r="N326"/>
          <cell r="O326"/>
          <cell r="P326"/>
          <cell r="Q326"/>
          <cell r="R326"/>
          <cell r="S326"/>
          <cell r="T326"/>
          <cell r="U326"/>
          <cell r="V326"/>
          <cell r="W326"/>
          <cell r="X326"/>
          <cell r="Y326"/>
          <cell r="Z326"/>
          <cell r="AA326"/>
          <cell r="AB326"/>
          <cell r="AC326"/>
          <cell r="AD326"/>
          <cell r="AE326"/>
        </row>
        <row r="327">
          <cell r="G327"/>
          <cell r="H327"/>
          <cell r="I327"/>
          <cell r="J327"/>
          <cell r="K327"/>
          <cell r="L327"/>
          <cell r="M327"/>
          <cell r="N327"/>
          <cell r="O327"/>
          <cell r="P327"/>
          <cell r="Q327"/>
          <cell r="R327"/>
          <cell r="S327"/>
          <cell r="T327"/>
          <cell r="U327"/>
          <cell r="V327"/>
          <cell r="W327"/>
          <cell r="X327"/>
          <cell r="Y327"/>
          <cell r="Z327"/>
          <cell r="AA327"/>
          <cell r="AB327"/>
          <cell r="AC327"/>
          <cell r="AD327"/>
          <cell r="AE327"/>
        </row>
        <row r="328">
          <cell r="G328"/>
          <cell r="H328"/>
          <cell r="I328"/>
          <cell r="J328"/>
          <cell r="K328"/>
          <cell r="L328"/>
          <cell r="M328"/>
          <cell r="N328"/>
          <cell r="O328"/>
          <cell r="P328"/>
          <cell r="Q328"/>
          <cell r="R328"/>
          <cell r="S328"/>
          <cell r="T328"/>
          <cell r="U328"/>
          <cell r="V328"/>
          <cell r="W328"/>
          <cell r="X328"/>
          <cell r="Y328"/>
          <cell r="Z328"/>
          <cell r="AA328"/>
          <cell r="AB328"/>
          <cell r="AC328"/>
          <cell r="AD328"/>
          <cell r="AE328"/>
        </row>
        <row r="329">
          <cell r="G329"/>
          <cell r="H329"/>
          <cell r="I329"/>
          <cell r="J329"/>
          <cell r="K329"/>
          <cell r="L329"/>
          <cell r="M329"/>
          <cell r="N329"/>
          <cell r="O329"/>
          <cell r="P329"/>
          <cell r="Q329"/>
          <cell r="R329"/>
          <cell r="S329"/>
          <cell r="T329"/>
          <cell r="U329"/>
          <cell r="V329"/>
          <cell r="W329"/>
          <cell r="X329"/>
          <cell r="Y329"/>
          <cell r="Z329"/>
          <cell r="AA329"/>
          <cell r="AB329"/>
          <cell r="AC329"/>
          <cell r="AD329"/>
          <cell r="AE329"/>
        </row>
        <row r="330">
          <cell r="G330"/>
          <cell r="H330"/>
          <cell r="I330"/>
          <cell r="J330"/>
          <cell r="K330"/>
          <cell r="L330"/>
          <cell r="M330"/>
          <cell r="N330"/>
          <cell r="O330"/>
          <cell r="P330"/>
          <cell r="Q330"/>
          <cell r="R330"/>
          <cell r="S330"/>
          <cell r="T330"/>
          <cell r="U330"/>
          <cell r="V330"/>
          <cell r="W330"/>
          <cell r="X330"/>
          <cell r="Y330"/>
          <cell r="Z330"/>
          <cell r="AA330"/>
          <cell r="AB330"/>
          <cell r="AC330"/>
          <cell r="AD330"/>
          <cell r="AE330"/>
        </row>
        <row r="331">
          <cell r="G331"/>
          <cell r="H331"/>
          <cell r="I331"/>
          <cell r="J331"/>
          <cell r="K331"/>
          <cell r="L331"/>
          <cell r="M331"/>
          <cell r="N331"/>
          <cell r="O331"/>
          <cell r="P331"/>
          <cell r="Q331"/>
          <cell r="R331"/>
          <cell r="S331"/>
          <cell r="T331"/>
          <cell r="U331"/>
          <cell r="V331"/>
          <cell r="W331"/>
          <cell r="X331"/>
          <cell r="Y331"/>
          <cell r="Z331"/>
          <cell r="AA331"/>
          <cell r="AB331"/>
          <cell r="AC331"/>
          <cell r="AD331"/>
          <cell r="AE331"/>
        </row>
        <row r="332">
          <cell r="G332"/>
          <cell r="H332"/>
          <cell r="I332"/>
          <cell r="J332"/>
          <cell r="K332"/>
          <cell r="L332"/>
          <cell r="M332"/>
          <cell r="N332"/>
          <cell r="O332"/>
          <cell r="P332"/>
          <cell r="Q332"/>
          <cell r="R332"/>
          <cell r="S332"/>
          <cell r="T332"/>
          <cell r="U332"/>
          <cell r="V332"/>
          <cell r="W332"/>
          <cell r="X332"/>
          <cell r="Y332"/>
          <cell r="Z332"/>
          <cell r="AA332"/>
          <cell r="AB332"/>
          <cell r="AC332"/>
          <cell r="AD332"/>
          <cell r="AE332"/>
        </row>
        <row r="333">
          <cell r="G333"/>
          <cell r="H333"/>
          <cell r="I333"/>
          <cell r="J333"/>
          <cell r="K333"/>
          <cell r="L333"/>
          <cell r="M333"/>
          <cell r="N333"/>
          <cell r="O333"/>
          <cell r="P333"/>
          <cell r="Q333"/>
          <cell r="R333"/>
          <cell r="S333"/>
          <cell r="T333"/>
          <cell r="U333"/>
          <cell r="V333"/>
          <cell r="W333"/>
          <cell r="X333"/>
          <cell r="Y333"/>
          <cell r="Z333"/>
          <cell r="AA333"/>
          <cell r="AB333"/>
          <cell r="AC333"/>
          <cell r="AD333"/>
          <cell r="AE333"/>
        </row>
        <row r="334">
          <cell r="G334"/>
          <cell r="H334"/>
          <cell r="I334"/>
          <cell r="J334"/>
          <cell r="K334"/>
          <cell r="L334"/>
          <cell r="M334"/>
          <cell r="N334"/>
          <cell r="O334"/>
          <cell r="P334"/>
          <cell r="Q334"/>
          <cell r="R334"/>
          <cell r="S334"/>
          <cell r="T334"/>
          <cell r="U334"/>
          <cell r="V334"/>
          <cell r="W334"/>
          <cell r="X334"/>
          <cell r="Y334"/>
          <cell r="Z334"/>
          <cell r="AA334"/>
          <cell r="AB334"/>
          <cell r="AC334"/>
          <cell r="AD334"/>
          <cell r="AE334"/>
        </row>
        <row r="335">
          <cell r="G335"/>
          <cell r="H335"/>
          <cell r="I335"/>
          <cell r="J335"/>
          <cell r="K335"/>
          <cell r="L335"/>
          <cell r="M335"/>
          <cell r="N335"/>
          <cell r="O335"/>
          <cell r="P335"/>
          <cell r="Q335"/>
          <cell r="R335"/>
          <cell r="S335"/>
          <cell r="T335"/>
          <cell r="U335"/>
          <cell r="V335"/>
          <cell r="W335"/>
          <cell r="X335"/>
          <cell r="Y335"/>
          <cell r="Z335"/>
          <cell r="AA335"/>
          <cell r="AB335"/>
          <cell r="AC335"/>
          <cell r="AD335"/>
          <cell r="AE335"/>
        </row>
        <row r="336">
          <cell r="G336"/>
          <cell r="H336"/>
          <cell r="I336"/>
          <cell r="J336"/>
          <cell r="K336"/>
          <cell r="L336"/>
          <cell r="M336"/>
          <cell r="N336"/>
          <cell r="O336"/>
          <cell r="P336"/>
          <cell r="Q336"/>
          <cell r="R336"/>
          <cell r="S336"/>
          <cell r="T336"/>
          <cell r="U336"/>
          <cell r="V336"/>
          <cell r="W336"/>
          <cell r="X336"/>
          <cell r="Y336"/>
          <cell r="Z336"/>
          <cell r="AA336"/>
          <cell r="AB336"/>
          <cell r="AC336"/>
          <cell r="AD336"/>
          <cell r="AE336"/>
        </row>
        <row r="337">
          <cell r="G337"/>
          <cell r="H337"/>
          <cell r="I337"/>
          <cell r="J337"/>
          <cell r="K337"/>
          <cell r="L337"/>
          <cell r="M337"/>
          <cell r="N337"/>
          <cell r="O337"/>
          <cell r="P337"/>
          <cell r="Q337"/>
          <cell r="R337"/>
          <cell r="S337"/>
          <cell r="T337"/>
          <cell r="U337"/>
          <cell r="V337"/>
          <cell r="W337"/>
          <cell r="X337"/>
          <cell r="Y337"/>
          <cell r="Z337"/>
          <cell r="AA337"/>
          <cell r="AB337"/>
          <cell r="AC337"/>
          <cell r="AD337"/>
          <cell r="AE337"/>
        </row>
        <row r="338">
          <cell r="G338"/>
          <cell r="H338"/>
          <cell r="I338"/>
          <cell r="J338"/>
          <cell r="K338"/>
          <cell r="L338"/>
          <cell r="M338"/>
          <cell r="N338"/>
          <cell r="O338"/>
          <cell r="P338"/>
          <cell r="Q338"/>
          <cell r="R338"/>
          <cell r="S338"/>
          <cell r="T338"/>
          <cell r="U338"/>
          <cell r="V338"/>
          <cell r="W338"/>
          <cell r="X338"/>
          <cell r="Y338"/>
          <cell r="Z338"/>
          <cell r="AA338"/>
          <cell r="AB338"/>
          <cell r="AC338"/>
          <cell r="AD338"/>
          <cell r="AE338"/>
        </row>
        <row r="339">
          <cell r="G339"/>
          <cell r="H339"/>
          <cell r="I339"/>
          <cell r="J339"/>
          <cell r="K339"/>
          <cell r="L339"/>
          <cell r="M339"/>
          <cell r="N339"/>
          <cell r="O339"/>
          <cell r="P339"/>
          <cell r="Q339"/>
          <cell r="R339"/>
          <cell r="S339"/>
          <cell r="T339"/>
          <cell r="U339"/>
          <cell r="V339"/>
          <cell r="W339"/>
          <cell r="X339"/>
          <cell r="Y339"/>
          <cell r="Z339"/>
          <cell r="AA339"/>
          <cell r="AB339"/>
          <cell r="AC339"/>
          <cell r="AD339"/>
          <cell r="AE339"/>
        </row>
        <row r="340">
          <cell r="G340"/>
          <cell r="H340"/>
          <cell r="I340"/>
          <cell r="J340"/>
          <cell r="K340"/>
          <cell r="L340"/>
          <cell r="M340"/>
          <cell r="N340"/>
          <cell r="O340"/>
          <cell r="P340"/>
          <cell r="Q340"/>
          <cell r="R340"/>
          <cell r="S340"/>
          <cell r="T340"/>
          <cell r="U340"/>
          <cell r="V340"/>
          <cell r="W340"/>
          <cell r="X340"/>
          <cell r="Y340"/>
          <cell r="Z340"/>
          <cell r="AA340"/>
          <cell r="AB340"/>
          <cell r="AC340"/>
          <cell r="AD340"/>
          <cell r="AE340"/>
        </row>
        <row r="341">
          <cell r="G341"/>
          <cell r="H341"/>
          <cell r="I341"/>
          <cell r="J341"/>
          <cell r="K341"/>
          <cell r="L341"/>
          <cell r="M341"/>
          <cell r="N341"/>
          <cell r="O341"/>
          <cell r="P341"/>
          <cell r="Q341"/>
          <cell r="R341"/>
          <cell r="S341"/>
          <cell r="T341"/>
          <cell r="U341"/>
          <cell r="V341"/>
          <cell r="W341"/>
          <cell r="X341"/>
          <cell r="Y341"/>
          <cell r="Z341"/>
          <cell r="AA341"/>
          <cell r="AB341"/>
          <cell r="AC341"/>
          <cell r="AD341"/>
          <cell r="AE341"/>
        </row>
        <row r="342">
          <cell r="G342"/>
          <cell r="H342"/>
          <cell r="I342"/>
          <cell r="J342"/>
          <cell r="K342"/>
          <cell r="L342"/>
          <cell r="M342"/>
          <cell r="N342"/>
          <cell r="O342"/>
          <cell r="P342"/>
          <cell r="Q342"/>
          <cell r="R342"/>
          <cell r="S342"/>
          <cell r="T342"/>
          <cell r="U342"/>
          <cell r="V342"/>
          <cell r="W342"/>
          <cell r="X342"/>
          <cell r="Y342"/>
          <cell r="Z342"/>
          <cell r="AA342"/>
          <cell r="AB342"/>
          <cell r="AC342"/>
          <cell r="AD342"/>
          <cell r="AE342"/>
        </row>
        <row r="343">
          <cell r="G343"/>
          <cell r="H343"/>
          <cell r="I343"/>
          <cell r="J343"/>
          <cell r="K343"/>
          <cell r="L343"/>
          <cell r="M343"/>
          <cell r="N343"/>
          <cell r="O343"/>
          <cell r="P343"/>
          <cell r="Q343"/>
          <cell r="R343"/>
          <cell r="S343"/>
          <cell r="T343"/>
          <cell r="U343"/>
          <cell r="V343"/>
          <cell r="W343"/>
          <cell r="X343"/>
          <cell r="Y343"/>
          <cell r="Z343"/>
          <cell r="AA343"/>
          <cell r="AB343"/>
          <cell r="AC343"/>
          <cell r="AD343"/>
          <cell r="AE343"/>
        </row>
        <row r="344">
          <cell r="G344"/>
          <cell r="H344"/>
          <cell r="I344"/>
          <cell r="J344"/>
          <cell r="K344"/>
          <cell r="L344"/>
          <cell r="M344"/>
          <cell r="N344"/>
          <cell r="O344"/>
          <cell r="P344"/>
          <cell r="Q344"/>
          <cell r="R344"/>
          <cell r="S344"/>
          <cell r="T344"/>
          <cell r="U344"/>
          <cell r="V344"/>
          <cell r="W344"/>
          <cell r="X344"/>
          <cell r="Y344"/>
          <cell r="Z344"/>
          <cell r="AA344"/>
          <cell r="AB344"/>
          <cell r="AC344"/>
          <cell r="AD344"/>
          <cell r="AE344"/>
        </row>
        <row r="345">
          <cell r="G345"/>
          <cell r="H345"/>
          <cell r="I345"/>
          <cell r="J345"/>
          <cell r="K345"/>
          <cell r="L345"/>
          <cell r="M345"/>
          <cell r="N345"/>
          <cell r="O345"/>
          <cell r="P345"/>
          <cell r="Q345"/>
          <cell r="R345"/>
          <cell r="S345"/>
          <cell r="T345"/>
          <cell r="U345"/>
          <cell r="V345"/>
          <cell r="W345"/>
          <cell r="X345"/>
          <cell r="Y345"/>
          <cell r="Z345"/>
          <cell r="AA345"/>
          <cell r="AB345"/>
          <cell r="AC345"/>
          <cell r="AD345"/>
          <cell r="AE345"/>
        </row>
        <row r="346">
          <cell r="G346"/>
          <cell r="H346"/>
          <cell r="I346"/>
          <cell r="J346"/>
          <cell r="K346"/>
          <cell r="L346"/>
          <cell r="M346"/>
          <cell r="N346"/>
          <cell r="O346"/>
          <cell r="P346"/>
          <cell r="Q346"/>
          <cell r="R346"/>
          <cell r="S346"/>
          <cell r="T346"/>
          <cell r="U346"/>
          <cell r="V346"/>
          <cell r="W346"/>
          <cell r="X346"/>
          <cell r="Y346"/>
          <cell r="Z346"/>
          <cell r="AA346"/>
          <cell r="AB346"/>
          <cell r="AC346"/>
          <cell r="AD346"/>
          <cell r="AE346"/>
        </row>
        <row r="347">
          <cell r="G347"/>
          <cell r="H347"/>
          <cell r="I347"/>
          <cell r="J347"/>
          <cell r="K347"/>
          <cell r="L347"/>
          <cell r="M347"/>
          <cell r="N347"/>
          <cell r="O347"/>
          <cell r="P347"/>
          <cell r="Q347"/>
          <cell r="R347"/>
          <cell r="S347"/>
          <cell r="T347"/>
          <cell r="U347"/>
          <cell r="V347"/>
          <cell r="W347"/>
          <cell r="X347"/>
          <cell r="Y347"/>
          <cell r="Z347"/>
          <cell r="AA347"/>
          <cell r="AB347"/>
          <cell r="AC347"/>
          <cell r="AD347"/>
          <cell r="AE347"/>
        </row>
        <row r="348">
          <cell r="G348"/>
          <cell r="H348"/>
          <cell r="I348"/>
          <cell r="J348"/>
          <cell r="K348"/>
          <cell r="L348"/>
          <cell r="M348"/>
          <cell r="N348"/>
          <cell r="O348"/>
          <cell r="P348"/>
          <cell r="Q348"/>
          <cell r="R348"/>
          <cell r="S348"/>
          <cell r="T348"/>
          <cell r="U348"/>
          <cell r="V348"/>
          <cell r="W348"/>
          <cell r="X348"/>
          <cell r="Y348"/>
          <cell r="Z348"/>
          <cell r="AA348"/>
          <cell r="AB348"/>
          <cell r="AC348"/>
          <cell r="AD348"/>
          <cell r="AE348"/>
        </row>
        <row r="349">
          <cell r="G349"/>
          <cell r="H349"/>
          <cell r="I349"/>
          <cell r="J349"/>
          <cell r="K349"/>
          <cell r="L349"/>
          <cell r="M349"/>
          <cell r="N349"/>
          <cell r="O349"/>
          <cell r="P349"/>
          <cell r="Q349"/>
          <cell r="R349"/>
          <cell r="S349"/>
          <cell r="T349"/>
          <cell r="U349"/>
          <cell r="V349"/>
          <cell r="W349"/>
          <cell r="X349"/>
          <cell r="Y349"/>
          <cell r="Z349"/>
          <cell r="AA349"/>
          <cell r="AB349"/>
          <cell r="AC349"/>
          <cell r="AD349"/>
          <cell r="AE349"/>
        </row>
        <row r="350">
          <cell r="G350"/>
          <cell r="H350"/>
          <cell r="I350"/>
          <cell r="J350"/>
          <cell r="K350"/>
          <cell r="L350"/>
          <cell r="M350"/>
          <cell r="N350"/>
          <cell r="O350"/>
          <cell r="P350"/>
          <cell r="Q350"/>
          <cell r="R350"/>
          <cell r="S350"/>
          <cell r="T350"/>
          <cell r="U350"/>
          <cell r="V350"/>
          <cell r="W350"/>
          <cell r="X350"/>
          <cell r="Y350"/>
          <cell r="Z350"/>
          <cell r="AA350"/>
          <cell r="AB350"/>
          <cell r="AC350"/>
          <cell r="AD350"/>
          <cell r="AE350"/>
        </row>
        <row r="351">
          <cell r="G351"/>
          <cell r="H351"/>
          <cell r="I351"/>
          <cell r="J351"/>
          <cell r="K351"/>
          <cell r="L351"/>
          <cell r="M351"/>
          <cell r="N351"/>
          <cell r="O351"/>
          <cell r="P351"/>
          <cell r="Q351"/>
          <cell r="R351"/>
          <cell r="S351"/>
          <cell r="T351"/>
          <cell r="U351"/>
          <cell r="V351"/>
          <cell r="W351"/>
          <cell r="X351"/>
          <cell r="Y351"/>
          <cell r="Z351"/>
          <cell r="AA351"/>
          <cell r="AB351"/>
          <cell r="AC351"/>
          <cell r="AD351"/>
          <cell r="AE351"/>
        </row>
        <row r="352">
          <cell r="G352"/>
          <cell r="H352"/>
          <cell r="I352"/>
          <cell r="J352"/>
          <cell r="K352"/>
          <cell r="L352"/>
          <cell r="M352"/>
          <cell r="N352"/>
          <cell r="O352"/>
          <cell r="P352"/>
          <cell r="Q352"/>
          <cell r="R352"/>
          <cell r="S352"/>
          <cell r="T352"/>
          <cell r="U352"/>
          <cell r="V352"/>
          <cell r="W352"/>
          <cell r="X352"/>
          <cell r="Y352"/>
          <cell r="Z352"/>
          <cell r="AA352"/>
          <cell r="AB352"/>
          <cell r="AC352"/>
          <cell r="AD352"/>
          <cell r="AE352"/>
        </row>
        <row r="353">
          <cell r="G353"/>
          <cell r="H353"/>
          <cell r="I353"/>
          <cell r="J353"/>
          <cell r="K353"/>
          <cell r="L353"/>
          <cell r="M353"/>
          <cell r="N353"/>
          <cell r="O353"/>
          <cell r="P353"/>
          <cell r="Q353"/>
          <cell r="R353"/>
          <cell r="S353"/>
          <cell r="T353"/>
          <cell r="U353"/>
          <cell r="V353"/>
          <cell r="W353"/>
          <cell r="X353"/>
          <cell r="Y353"/>
          <cell r="Z353"/>
          <cell r="AA353"/>
          <cell r="AB353"/>
          <cell r="AC353"/>
          <cell r="AD353"/>
          <cell r="AE353"/>
        </row>
        <row r="354">
          <cell r="G354"/>
          <cell r="H354"/>
          <cell r="I354"/>
          <cell r="J354"/>
          <cell r="K354"/>
          <cell r="L354"/>
          <cell r="M354"/>
          <cell r="N354"/>
          <cell r="O354"/>
          <cell r="P354"/>
          <cell r="Q354"/>
          <cell r="R354"/>
          <cell r="S354"/>
          <cell r="T354"/>
          <cell r="U354"/>
          <cell r="V354"/>
          <cell r="W354"/>
          <cell r="X354"/>
          <cell r="Y354"/>
          <cell r="Z354"/>
          <cell r="AA354"/>
          <cell r="AB354"/>
          <cell r="AC354"/>
          <cell r="AD354"/>
          <cell r="AE354"/>
        </row>
        <row r="355">
          <cell r="G355"/>
          <cell r="H355"/>
          <cell r="I355"/>
          <cell r="J355"/>
          <cell r="K355"/>
          <cell r="L355"/>
          <cell r="M355"/>
          <cell r="N355"/>
          <cell r="O355"/>
          <cell r="P355"/>
          <cell r="Q355"/>
          <cell r="R355"/>
          <cell r="S355"/>
          <cell r="T355"/>
          <cell r="U355"/>
          <cell r="V355"/>
          <cell r="W355"/>
          <cell r="X355"/>
          <cell r="Y355"/>
          <cell r="Z355"/>
          <cell r="AA355"/>
          <cell r="AB355"/>
          <cell r="AC355"/>
          <cell r="AD355"/>
          <cell r="AE355"/>
        </row>
        <row r="356">
          <cell r="G356"/>
          <cell r="H356"/>
          <cell r="I356"/>
          <cell r="J356"/>
          <cell r="K356"/>
          <cell r="L356"/>
          <cell r="M356"/>
          <cell r="N356"/>
          <cell r="O356"/>
          <cell r="P356"/>
          <cell r="Q356"/>
          <cell r="R356"/>
          <cell r="S356"/>
          <cell r="T356"/>
          <cell r="U356"/>
          <cell r="V356"/>
          <cell r="W356"/>
          <cell r="X356"/>
          <cell r="Y356"/>
          <cell r="Z356"/>
          <cell r="AA356"/>
          <cell r="AB356"/>
          <cell r="AC356"/>
          <cell r="AD356"/>
          <cell r="AE356"/>
        </row>
        <row r="357">
          <cell r="G357"/>
          <cell r="H357"/>
          <cell r="I357"/>
          <cell r="J357"/>
          <cell r="K357"/>
          <cell r="L357"/>
          <cell r="M357"/>
          <cell r="N357"/>
          <cell r="O357"/>
          <cell r="P357"/>
          <cell r="Q357"/>
          <cell r="R357"/>
          <cell r="S357"/>
          <cell r="T357"/>
          <cell r="U357"/>
          <cell r="V357"/>
          <cell r="W357"/>
          <cell r="X357"/>
          <cell r="Y357"/>
          <cell r="Z357"/>
          <cell r="AA357"/>
          <cell r="AB357"/>
          <cell r="AC357"/>
          <cell r="AD357"/>
          <cell r="AE357"/>
        </row>
        <row r="358">
          <cell r="G358"/>
          <cell r="H358"/>
          <cell r="I358"/>
          <cell r="J358"/>
          <cell r="K358"/>
          <cell r="L358"/>
          <cell r="M358"/>
          <cell r="N358"/>
          <cell r="O358"/>
          <cell r="P358"/>
          <cell r="Q358"/>
          <cell r="R358"/>
          <cell r="S358"/>
          <cell r="T358"/>
          <cell r="U358"/>
          <cell r="V358"/>
          <cell r="W358"/>
          <cell r="X358"/>
          <cell r="Y358"/>
          <cell r="Z358"/>
          <cell r="AA358"/>
          <cell r="AB358"/>
          <cell r="AC358"/>
          <cell r="AD358"/>
          <cell r="AE358"/>
        </row>
        <row r="359">
          <cell r="G359"/>
          <cell r="H359"/>
          <cell r="I359"/>
          <cell r="J359"/>
          <cell r="K359"/>
          <cell r="L359"/>
          <cell r="M359"/>
          <cell r="N359"/>
          <cell r="O359"/>
          <cell r="P359"/>
          <cell r="Q359"/>
          <cell r="R359"/>
          <cell r="S359"/>
          <cell r="T359"/>
          <cell r="U359"/>
          <cell r="V359"/>
          <cell r="W359"/>
          <cell r="X359"/>
          <cell r="Y359"/>
          <cell r="Z359"/>
          <cell r="AA359"/>
          <cell r="AB359"/>
          <cell r="AC359"/>
          <cell r="AD359"/>
          <cell r="AE359"/>
        </row>
        <row r="360">
          <cell r="G360"/>
          <cell r="H360"/>
          <cell r="I360"/>
          <cell r="J360"/>
          <cell r="K360"/>
          <cell r="L360"/>
          <cell r="M360"/>
          <cell r="N360"/>
          <cell r="O360"/>
          <cell r="P360"/>
          <cell r="Q360"/>
          <cell r="R360"/>
          <cell r="S360"/>
          <cell r="T360"/>
          <cell r="U360"/>
          <cell r="V360"/>
          <cell r="W360"/>
          <cell r="X360"/>
          <cell r="Y360"/>
          <cell r="Z360"/>
          <cell r="AA360"/>
          <cell r="AB360"/>
          <cell r="AC360"/>
          <cell r="AD360"/>
          <cell r="AE360"/>
        </row>
        <row r="361">
          <cell r="G361"/>
          <cell r="H361"/>
          <cell r="I361"/>
          <cell r="J361"/>
          <cell r="K361"/>
          <cell r="L361"/>
          <cell r="M361"/>
          <cell r="N361"/>
          <cell r="O361"/>
          <cell r="P361"/>
          <cell r="Q361"/>
          <cell r="R361"/>
          <cell r="S361"/>
          <cell r="T361"/>
          <cell r="U361"/>
          <cell r="V361"/>
          <cell r="W361"/>
          <cell r="X361"/>
          <cell r="Y361"/>
          <cell r="Z361"/>
          <cell r="AA361"/>
          <cell r="AB361"/>
          <cell r="AC361"/>
          <cell r="AD361"/>
          <cell r="AE361"/>
        </row>
        <row r="362">
          <cell r="G362"/>
          <cell r="H362"/>
          <cell r="I362"/>
          <cell r="J362"/>
          <cell r="K362"/>
          <cell r="L362"/>
          <cell r="M362"/>
          <cell r="N362"/>
          <cell r="O362"/>
          <cell r="P362"/>
          <cell r="Q362"/>
          <cell r="R362"/>
          <cell r="S362"/>
          <cell r="T362"/>
          <cell r="U362"/>
          <cell r="V362"/>
          <cell r="W362"/>
          <cell r="X362"/>
          <cell r="Y362"/>
          <cell r="Z362"/>
          <cell r="AA362"/>
          <cell r="AB362"/>
          <cell r="AC362"/>
          <cell r="AD362"/>
          <cell r="AE362"/>
        </row>
        <row r="363">
          <cell r="G363"/>
          <cell r="H363"/>
          <cell r="I363"/>
          <cell r="J363"/>
          <cell r="K363"/>
          <cell r="L363"/>
          <cell r="M363"/>
          <cell r="N363"/>
          <cell r="O363"/>
          <cell r="P363"/>
          <cell r="Q363"/>
          <cell r="R363"/>
          <cell r="S363"/>
          <cell r="T363"/>
          <cell r="U363"/>
          <cell r="V363"/>
          <cell r="W363"/>
          <cell r="X363"/>
          <cell r="Y363"/>
          <cell r="Z363"/>
          <cell r="AA363"/>
          <cell r="AB363"/>
          <cell r="AC363"/>
          <cell r="AD363"/>
          <cell r="AE363"/>
        </row>
        <row r="364">
          <cell r="G364"/>
          <cell r="H364"/>
          <cell r="I364"/>
          <cell r="J364"/>
          <cell r="K364"/>
          <cell r="L364"/>
          <cell r="M364"/>
          <cell r="N364"/>
          <cell r="O364"/>
          <cell r="P364"/>
          <cell r="Q364"/>
          <cell r="R364"/>
          <cell r="S364"/>
          <cell r="T364"/>
          <cell r="U364"/>
          <cell r="V364"/>
          <cell r="W364"/>
          <cell r="X364"/>
          <cell r="Y364"/>
          <cell r="Z364"/>
          <cell r="AA364"/>
          <cell r="AB364"/>
          <cell r="AC364"/>
          <cell r="AD364"/>
          <cell r="AE364"/>
        </row>
        <row r="365">
          <cell r="G365"/>
          <cell r="H365"/>
          <cell r="I365"/>
          <cell r="J365"/>
          <cell r="K365"/>
          <cell r="L365"/>
          <cell r="M365"/>
          <cell r="N365"/>
          <cell r="O365"/>
          <cell r="P365"/>
          <cell r="Q365"/>
          <cell r="R365"/>
          <cell r="S365"/>
          <cell r="T365"/>
          <cell r="U365"/>
          <cell r="V365"/>
          <cell r="W365"/>
          <cell r="X365"/>
          <cell r="Y365"/>
          <cell r="Z365"/>
          <cell r="AA365"/>
          <cell r="AB365"/>
          <cell r="AC365"/>
          <cell r="AD365"/>
          <cell r="AE365"/>
        </row>
        <row r="366">
          <cell r="G366"/>
          <cell r="H366"/>
          <cell r="I366"/>
          <cell r="J366"/>
          <cell r="K366"/>
          <cell r="L366"/>
          <cell r="M366"/>
          <cell r="N366"/>
          <cell r="O366"/>
          <cell r="P366"/>
          <cell r="Q366"/>
          <cell r="R366"/>
          <cell r="S366"/>
          <cell r="T366"/>
          <cell r="U366"/>
          <cell r="V366"/>
          <cell r="W366"/>
          <cell r="X366"/>
          <cell r="Y366"/>
          <cell r="Z366"/>
          <cell r="AA366"/>
          <cell r="AB366"/>
          <cell r="AC366"/>
          <cell r="AD366"/>
          <cell r="AE366"/>
        </row>
        <row r="367">
          <cell r="G367"/>
          <cell r="H367"/>
          <cell r="I367"/>
          <cell r="J367"/>
          <cell r="K367"/>
          <cell r="L367"/>
          <cell r="M367"/>
          <cell r="N367"/>
          <cell r="O367"/>
          <cell r="P367"/>
          <cell r="Q367"/>
          <cell r="R367"/>
          <cell r="S367"/>
          <cell r="T367"/>
          <cell r="U367"/>
          <cell r="V367"/>
          <cell r="W367"/>
          <cell r="X367"/>
          <cell r="Y367"/>
          <cell r="Z367"/>
          <cell r="AA367"/>
          <cell r="AB367"/>
          <cell r="AC367"/>
          <cell r="AD367"/>
          <cell r="AE367"/>
        </row>
        <row r="368">
          <cell r="G368"/>
          <cell r="H368"/>
          <cell r="I368"/>
          <cell r="J368"/>
          <cell r="K368"/>
          <cell r="L368"/>
          <cell r="M368"/>
          <cell r="N368"/>
          <cell r="O368"/>
          <cell r="P368"/>
          <cell r="Q368"/>
          <cell r="R368"/>
          <cell r="S368"/>
          <cell r="T368"/>
          <cell r="U368"/>
          <cell r="V368"/>
          <cell r="W368"/>
          <cell r="X368"/>
          <cell r="Y368"/>
          <cell r="Z368"/>
          <cell r="AA368"/>
          <cell r="AB368"/>
          <cell r="AC368"/>
          <cell r="AD368"/>
          <cell r="AE368"/>
        </row>
        <row r="369">
          <cell r="G369"/>
          <cell r="H369"/>
          <cell r="I369"/>
          <cell r="J369"/>
          <cell r="K369"/>
          <cell r="L369"/>
          <cell r="M369"/>
          <cell r="N369"/>
          <cell r="O369"/>
          <cell r="P369"/>
          <cell r="Q369"/>
          <cell r="R369"/>
          <cell r="S369"/>
          <cell r="T369"/>
          <cell r="U369"/>
          <cell r="V369"/>
          <cell r="W369"/>
          <cell r="X369"/>
          <cell r="Y369"/>
          <cell r="Z369"/>
          <cell r="AA369"/>
          <cell r="AB369"/>
          <cell r="AC369"/>
          <cell r="AD369"/>
          <cell r="AE369"/>
        </row>
        <row r="370">
          <cell r="G370"/>
          <cell r="H370"/>
          <cell r="I370"/>
          <cell r="J370"/>
          <cell r="K370"/>
          <cell r="L370"/>
          <cell r="M370"/>
          <cell r="N370"/>
          <cell r="O370"/>
          <cell r="P370"/>
          <cell r="Q370"/>
          <cell r="R370"/>
          <cell r="S370"/>
          <cell r="T370"/>
          <cell r="U370"/>
          <cell r="V370"/>
          <cell r="W370"/>
          <cell r="X370"/>
          <cell r="Y370"/>
          <cell r="Z370"/>
          <cell r="AA370"/>
          <cell r="AB370"/>
          <cell r="AC370"/>
          <cell r="AD370"/>
          <cell r="AE370"/>
        </row>
        <row r="371">
          <cell r="G371"/>
          <cell r="H371"/>
          <cell r="I371"/>
          <cell r="J371"/>
          <cell r="K371"/>
          <cell r="L371"/>
          <cell r="M371"/>
          <cell r="N371"/>
          <cell r="O371"/>
          <cell r="P371"/>
          <cell r="Q371"/>
          <cell r="R371"/>
          <cell r="S371"/>
          <cell r="T371"/>
          <cell r="U371"/>
          <cell r="V371"/>
          <cell r="W371"/>
          <cell r="X371"/>
          <cell r="Y371"/>
          <cell r="Z371"/>
          <cell r="AA371"/>
          <cell r="AB371"/>
          <cell r="AC371"/>
          <cell r="AD371"/>
          <cell r="AE371"/>
        </row>
        <row r="372">
          <cell r="G372"/>
          <cell r="H372"/>
          <cell r="I372"/>
          <cell r="J372"/>
          <cell r="K372"/>
          <cell r="L372"/>
          <cell r="M372"/>
          <cell r="N372"/>
          <cell r="O372"/>
          <cell r="P372"/>
          <cell r="Q372"/>
          <cell r="R372"/>
          <cell r="S372"/>
          <cell r="T372"/>
          <cell r="U372"/>
          <cell r="V372"/>
          <cell r="W372"/>
          <cell r="X372"/>
          <cell r="Y372"/>
          <cell r="Z372"/>
          <cell r="AA372"/>
          <cell r="AB372"/>
          <cell r="AC372"/>
          <cell r="AD372"/>
          <cell r="AE372"/>
        </row>
        <row r="373">
          <cell r="G373"/>
          <cell r="H373"/>
          <cell r="I373"/>
          <cell r="J373"/>
          <cell r="K373"/>
          <cell r="L373"/>
          <cell r="M373"/>
          <cell r="N373"/>
          <cell r="O373"/>
          <cell r="P373"/>
          <cell r="Q373"/>
          <cell r="R373"/>
          <cell r="S373"/>
          <cell r="T373"/>
          <cell r="U373"/>
          <cell r="V373"/>
          <cell r="W373"/>
          <cell r="X373"/>
          <cell r="Y373"/>
          <cell r="Z373"/>
          <cell r="AA373"/>
          <cell r="AB373"/>
          <cell r="AC373"/>
          <cell r="AD373"/>
          <cell r="AE373"/>
        </row>
        <row r="374">
          <cell r="G374"/>
          <cell r="H374"/>
          <cell r="I374"/>
          <cell r="J374"/>
          <cell r="K374"/>
          <cell r="L374"/>
          <cell r="M374"/>
          <cell r="N374"/>
          <cell r="O374"/>
          <cell r="P374"/>
          <cell r="Q374"/>
          <cell r="R374"/>
          <cell r="S374"/>
          <cell r="T374"/>
          <cell r="U374"/>
          <cell r="V374"/>
          <cell r="W374"/>
          <cell r="X374"/>
          <cell r="Y374"/>
          <cell r="Z374"/>
          <cell r="AA374"/>
          <cell r="AB374"/>
          <cell r="AC374"/>
          <cell r="AD374"/>
          <cell r="AE374"/>
        </row>
        <row r="375">
          <cell r="G375"/>
          <cell r="H375"/>
          <cell r="I375"/>
          <cell r="J375"/>
          <cell r="K375"/>
          <cell r="L375"/>
          <cell r="M375"/>
          <cell r="N375"/>
          <cell r="O375"/>
          <cell r="P375"/>
          <cell r="Q375"/>
          <cell r="R375"/>
          <cell r="S375"/>
          <cell r="T375"/>
          <cell r="U375"/>
          <cell r="V375"/>
          <cell r="W375"/>
          <cell r="X375"/>
          <cell r="Y375"/>
          <cell r="Z375"/>
          <cell r="AA375"/>
          <cell r="AB375"/>
          <cell r="AC375"/>
          <cell r="AD375"/>
          <cell r="AE375"/>
        </row>
        <row r="376">
          <cell r="G376"/>
          <cell r="H376"/>
          <cell r="I376"/>
          <cell r="J376"/>
          <cell r="K376"/>
          <cell r="L376"/>
          <cell r="M376"/>
          <cell r="N376"/>
          <cell r="O376"/>
          <cell r="P376"/>
          <cell r="Q376"/>
          <cell r="R376"/>
          <cell r="S376"/>
          <cell r="T376"/>
          <cell r="U376"/>
          <cell r="V376"/>
          <cell r="W376"/>
          <cell r="X376"/>
          <cell r="Y376"/>
          <cell r="Z376"/>
          <cell r="AA376"/>
          <cell r="AB376"/>
          <cell r="AC376"/>
          <cell r="AD376"/>
          <cell r="AE376"/>
        </row>
        <row r="377">
          <cell r="G377"/>
          <cell r="H377"/>
          <cell r="I377"/>
          <cell r="J377"/>
          <cell r="K377"/>
          <cell r="L377"/>
          <cell r="M377"/>
          <cell r="N377"/>
          <cell r="O377"/>
          <cell r="P377"/>
          <cell r="Q377"/>
          <cell r="R377"/>
          <cell r="S377"/>
          <cell r="T377"/>
          <cell r="U377"/>
          <cell r="V377"/>
          <cell r="W377"/>
          <cell r="X377"/>
          <cell r="Y377"/>
          <cell r="Z377"/>
          <cell r="AA377"/>
          <cell r="AB377"/>
          <cell r="AC377"/>
          <cell r="AD377"/>
          <cell r="AE377"/>
        </row>
        <row r="378">
          <cell r="G378"/>
          <cell r="H378"/>
          <cell r="I378"/>
          <cell r="J378"/>
          <cell r="K378"/>
          <cell r="L378"/>
          <cell r="M378"/>
          <cell r="N378"/>
          <cell r="O378"/>
          <cell r="P378"/>
          <cell r="Q378"/>
          <cell r="R378"/>
          <cell r="S378"/>
          <cell r="T378"/>
          <cell r="U378"/>
          <cell r="V378"/>
          <cell r="W378"/>
          <cell r="X378"/>
          <cell r="Y378"/>
          <cell r="Z378"/>
          <cell r="AA378"/>
          <cell r="AB378"/>
          <cell r="AC378"/>
          <cell r="AD378"/>
          <cell r="AE378"/>
        </row>
        <row r="379">
          <cell r="G379"/>
          <cell r="H379"/>
          <cell r="I379"/>
          <cell r="J379"/>
          <cell r="K379"/>
          <cell r="L379"/>
          <cell r="M379"/>
          <cell r="N379"/>
          <cell r="O379"/>
          <cell r="P379"/>
          <cell r="Q379"/>
          <cell r="R379"/>
          <cell r="S379"/>
          <cell r="T379"/>
          <cell r="U379"/>
          <cell r="V379"/>
          <cell r="W379"/>
          <cell r="X379"/>
          <cell r="Y379"/>
          <cell r="Z379"/>
          <cell r="AA379"/>
          <cell r="AB379"/>
          <cell r="AC379"/>
          <cell r="AD379"/>
          <cell r="AE379"/>
        </row>
        <row r="380">
          <cell r="G380"/>
          <cell r="H380"/>
          <cell r="I380"/>
          <cell r="J380"/>
          <cell r="K380"/>
          <cell r="L380"/>
          <cell r="M380"/>
          <cell r="N380"/>
          <cell r="O380"/>
          <cell r="P380"/>
          <cell r="Q380"/>
          <cell r="R380"/>
          <cell r="S380"/>
          <cell r="T380"/>
          <cell r="U380"/>
          <cell r="V380"/>
          <cell r="W380"/>
          <cell r="X380"/>
          <cell r="Y380"/>
          <cell r="Z380"/>
          <cell r="AA380"/>
          <cell r="AB380"/>
          <cell r="AC380"/>
          <cell r="AD380"/>
          <cell r="AE380"/>
        </row>
        <row r="381">
          <cell r="G381"/>
          <cell r="H381"/>
          <cell r="I381"/>
          <cell r="J381"/>
          <cell r="K381"/>
          <cell r="L381"/>
          <cell r="M381"/>
          <cell r="N381"/>
          <cell r="O381"/>
          <cell r="P381"/>
          <cell r="Q381"/>
          <cell r="R381"/>
          <cell r="S381"/>
          <cell r="T381"/>
          <cell r="U381"/>
          <cell r="V381"/>
          <cell r="W381"/>
          <cell r="X381"/>
          <cell r="Y381"/>
          <cell r="Z381"/>
          <cell r="AA381"/>
          <cell r="AB381"/>
          <cell r="AC381"/>
          <cell r="AD381"/>
          <cell r="AE381"/>
        </row>
        <row r="382">
          <cell r="G382"/>
          <cell r="H382"/>
          <cell r="I382"/>
          <cell r="J382"/>
          <cell r="K382"/>
          <cell r="L382"/>
          <cell r="M382"/>
          <cell r="N382"/>
          <cell r="O382"/>
          <cell r="P382"/>
          <cell r="Q382"/>
          <cell r="R382"/>
          <cell r="S382"/>
          <cell r="T382"/>
          <cell r="U382"/>
          <cell r="V382"/>
          <cell r="W382"/>
          <cell r="X382"/>
          <cell r="Y382"/>
          <cell r="Z382"/>
          <cell r="AA382"/>
          <cell r="AB382"/>
          <cell r="AC382"/>
          <cell r="AD382"/>
          <cell r="AE382"/>
        </row>
        <row r="383">
          <cell r="G383"/>
          <cell r="H383"/>
          <cell r="I383"/>
          <cell r="J383"/>
          <cell r="K383"/>
          <cell r="L383"/>
          <cell r="M383"/>
          <cell r="N383"/>
          <cell r="O383"/>
          <cell r="P383"/>
          <cell r="Q383"/>
          <cell r="R383"/>
          <cell r="S383"/>
          <cell r="T383"/>
          <cell r="U383"/>
          <cell r="V383"/>
          <cell r="W383"/>
          <cell r="X383"/>
          <cell r="Y383"/>
          <cell r="Z383"/>
          <cell r="AA383"/>
          <cell r="AB383"/>
          <cell r="AC383"/>
          <cell r="AD383"/>
          <cell r="AE383"/>
        </row>
        <row r="384">
          <cell r="G384"/>
          <cell r="H384"/>
          <cell r="I384"/>
          <cell r="J384"/>
          <cell r="K384"/>
          <cell r="L384"/>
          <cell r="M384"/>
          <cell r="N384"/>
          <cell r="O384"/>
          <cell r="P384"/>
          <cell r="Q384"/>
          <cell r="R384"/>
          <cell r="S384"/>
          <cell r="T384"/>
          <cell r="U384"/>
          <cell r="V384"/>
          <cell r="W384"/>
          <cell r="X384"/>
          <cell r="Y384"/>
          <cell r="Z384"/>
          <cell r="AA384"/>
          <cell r="AB384"/>
          <cell r="AC384"/>
          <cell r="AD384"/>
          <cell r="AE384"/>
        </row>
        <row r="385">
          <cell r="G385"/>
          <cell r="H385"/>
          <cell r="I385"/>
          <cell r="J385"/>
          <cell r="K385"/>
          <cell r="L385"/>
          <cell r="M385"/>
          <cell r="N385"/>
          <cell r="O385"/>
          <cell r="P385"/>
          <cell r="Q385"/>
          <cell r="R385"/>
          <cell r="S385"/>
          <cell r="T385"/>
          <cell r="U385"/>
          <cell r="V385"/>
          <cell r="W385"/>
          <cell r="X385"/>
          <cell r="Y385"/>
          <cell r="Z385"/>
          <cell r="AA385"/>
          <cell r="AB385"/>
          <cell r="AC385"/>
          <cell r="AD385"/>
          <cell r="AE385"/>
        </row>
        <row r="386">
          <cell r="G386"/>
          <cell r="H386"/>
          <cell r="I386"/>
          <cell r="J386"/>
          <cell r="K386"/>
          <cell r="L386"/>
          <cell r="M386"/>
          <cell r="N386"/>
          <cell r="O386"/>
          <cell r="P386"/>
          <cell r="Q386"/>
          <cell r="R386"/>
          <cell r="S386"/>
          <cell r="T386"/>
          <cell r="U386"/>
          <cell r="V386"/>
          <cell r="W386"/>
          <cell r="X386"/>
          <cell r="Y386"/>
          <cell r="Z386"/>
          <cell r="AA386"/>
          <cell r="AB386"/>
          <cell r="AC386"/>
          <cell r="AD386"/>
          <cell r="AE386"/>
        </row>
        <row r="387">
          <cell r="G387"/>
          <cell r="H387"/>
          <cell r="I387"/>
          <cell r="J387"/>
          <cell r="K387"/>
          <cell r="L387"/>
          <cell r="M387"/>
          <cell r="N387"/>
          <cell r="O387"/>
          <cell r="P387"/>
          <cell r="Q387"/>
          <cell r="R387"/>
          <cell r="S387"/>
          <cell r="T387"/>
          <cell r="U387"/>
          <cell r="V387"/>
          <cell r="W387"/>
          <cell r="X387"/>
          <cell r="Y387"/>
          <cell r="Z387"/>
          <cell r="AA387"/>
          <cell r="AB387"/>
          <cell r="AC387"/>
          <cell r="AD387"/>
          <cell r="AE387"/>
        </row>
        <row r="388">
          <cell r="G388"/>
          <cell r="H388"/>
          <cell r="I388"/>
          <cell r="J388"/>
          <cell r="K388"/>
          <cell r="L388"/>
          <cell r="M388"/>
          <cell r="N388"/>
          <cell r="O388"/>
          <cell r="P388"/>
          <cell r="Q388"/>
          <cell r="R388"/>
          <cell r="S388"/>
          <cell r="T388"/>
          <cell r="U388"/>
          <cell r="V388"/>
          <cell r="W388"/>
          <cell r="X388"/>
          <cell r="Y388"/>
          <cell r="Z388"/>
          <cell r="AA388"/>
          <cell r="AB388"/>
          <cell r="AC388"/>
          <cell r="AD388"/>
          <cell r="AE388"/>
        </row>
        <row r="389">
          <cell r="G389"/>
          <cell r="H389"/>
          <cell r="I389"/>
          <cell r="J389"/>
          <cell r="K389"/>
          <cell r="L389"/>
          <cell r="M389"/>
          <cell r="N389"/>
          <cell r="O389"/>
          <cell r="P389"/>
          <cell r="Q389"/>
          <cell r="R389"/>
          <cell r="S389"/>
          <cell r="T389"/>
          <cell r="U389"/>
          <cell r="V389"/>
          <cell r="W389"/>
          <cell r="X389"/>
          <cell r="Y389"/>
          <cell r="Z389"/>
          <cell r="AA389"/>
          <cell r="AB389"/>
          <cell r="AC389"/>
          <cell r="AD389"/>
          <cell r="AE389"/>
        </row>
        <row r="390">
          <cell r="G390"/>
          <cell r="H390"/>
          <cell r="I390"/>
          <cell r="J390"/>
          <cell r="K390"/>
          <cell r="L390"/>
          <cell r="M390"/>
          <cell r="N390"/>
          <cell r="O390"/>
          <cell r="P390"/>
          <cell r="Q390"/>
          <cell r="R390"/>
          <cell r="S390"/>
          <cell r="T390"/>
          <cell r="U390"/>
          <cell r="V390"/>
          <cell r="W390"/>
          <cell r="X390"/>
          <cell r="Y390"/>
          <cell r="Z390"/>
          <cell r="AA390"/>
          <cell r="AB390"/>
          <cell r="AC390"/>
          <cell r="AD390"/>
          <cell r="AE390"/>
        </row>
        <row r="391">
          <cell r="G391"/>
          <cell r="H391"/>
          <cell r="I391"/>
          <cell r="J391"/>
          <cell r="K391"/>
          <cell r="L391"/>
          <cell r="M391"/>
          <cell r="N391"/>
          <cell r="O391"/>
          <cell r="P391"/>
          <cell r="Q391"/>
          <cell r="R391"/>
          <cell r="S391"/>
          <cell r="T391"/>
          <cell r="U391"/>
          <cell r="V391"/>
          <cell r="W391"/>
          <cell r="X391"/>
          <cell r="Y391"/>
          <cell r="Z391"/>
          <cell r="AA391"/>
          <cell r="AB391"/>
          <cell r="AC391"/>
          <cell r="AD391"/>
          <cell r="AE391"/>
        </row>
        <row r="392">
          <cell r="G392"/>
          <cell r="H392"/>
          <cell r="I392"/>
          <cell r="J392"/>
          <cell r="K392"/>
          <cell r="L392"/>
          <cell r="M392"/>
          <cell r="N392"/>
          <cell r="O392"/>
          <cell r="P392"/>
          <cell r="Q392"/>
          <cell r="R392"/>
          <cell r="S392"/>
          <cell r="T392"/>
          <cell r="U392"/>
          <cell r="V392"/>
          <cell r="W392"/>
          <cell r="X392"/>
          <cell r="Y392"/>
          <cell r="Z392"/>
          <cell r="AA392"/>
          <cell r="AB392"/>
          <cell r="AC392"/>
          <cell r="AD392"/>
          <cell r="AE392"/>
        </row>
        <row r="393">
          <cell r="G393"/>
          <cell r="H393"/>
          <cell r="I393"/>
          <cell r="J393"/>
          <cell r="K393"/>
          <cell r="L393"/>
          <cell r="M393"/>
          <cell r="N393"/>
          <cell r="O393"/>
          <cell r="P393"/>
          <cell r="Q393"/>
          <cell r="R393"/>
          <cell r="S393"/>
          <cell r="T393"/>
          <cell r="U393"/>
          <cell r="V393"/>
          <cell r="W393"/>
          <cell r="X393"/>
          <cell r="Y393"/>
          <cell r="Z393"/>
          <cell r="AA393"/>
          <cell r="AB393"/>
          <cell r="AC393"/>
          <cell r="AD393"/>
          <cell r="AE393"/>
        </row>
        <row r="394">
          <cell r="G394"/>
          <cell r="H394"/>
          <cell r="I394"/>
          <cell r="J394"/>
          <cell r="K394"/>
          <cell r="L394"/>
          <cell r="M394"/>
          <cell r="N394"/>
          <cell r="O394"/>
          <cell r="P394"/>
          <cell r="Q394"/>
          <cell r="R394"/>
          <cell r="S394"/>
          <cell r="T394"/>
          <cell r="U394"/>
          <cell r="V394"/>
          <cell r="W394"/>
          <cell r="X394"/>
          <cell r="Y394"/>
          <cell r="Z394"/>
          <cell r="AA394"/>
          <cell r="AB394"/>
          <cell r="AC394"/>
          <cell r="AD394"/>
          <cell r="AE394"/>
        </row>
        <row r="395">
          <cell r="G395"/>
          <cell r="H395"/>
          <cell r="I395"/>
          <cell r="J395"/>
          <cell r="K395"/>
          <cell r="L395"/>
          <cell r="M395"/>
          <cell r="N395"/>
          <cell r="O395"/>
          <cell r="P395"/>
          <cell r="Q395"/>
          <cell r="R395"/>
          <cell r="S395"/>
          <cell r="T395"/>
          <cell r="U395"/>
          <cell r="V395"/>
          <cell r="W395"/>
          <cell r="X395"/>
          <cell r="Y395"/>
          <cell r="Z395"/>
          <cell r="AA395"/>
          <cell r="AB395"/>
          <cell r="AC395"/>
          <cell r="AD395"/>
          <cell r="AE395"/>
        </row>
        <row r="396">
          <cell r="G396"/>
          <cell r="H396"/>
          <cell r="I396"/>
          <cell r="J396"/>
          <cell r="K396"/>
          <cell r="L396"/>
          <cell r="M396"/>
          <cell r="N396"/>
          <cell r="O396"/>
          <cell r="P396"/>
          <cell r="Q396"/>
          <cell r="R396"/>
          <cell r="S396"/>
          <cell r="T396"/>
          <cell r="U396"/>
          <cell r="V396"/>
          <cell r="W396"/>
          <cell r="X396"/>
          <cell r="Y396"/>
          <cell r="Z396"/>
          <cell r="AA396"/>
          <cell r="AB396"/>
          <cell r="AC396"/>
          <cell r="AD396"/>
          <cell r="AE396"/>
        </row>
        <row r="397">
          <cell r="G397"/>
          <cell r="H397"/>
          <cell r="I397"/>
          <cell r="J397"/>
          <cell r="K397"/>
          <cell r="L397"/>
          <cell r="M397"/>
          <cell r="N397"/>
          <cell r="O397"/>
          <cell r="P397"/>
          <cell r="Q397"/>
          <cell r="R397"/>
          <cell r="S397"/>
          <cell r="T397"/>
          <cell r="U397"/>
          <cell r="V397"/>
          <cell r="W397"/>
          <cell r="X397"/>
          <cell r="Y397"/>
          <cell r="Z397"/>
          <cell r="AA397"/>
          <cell r="AB397"/>
          <cell r="AC397"/>
          <cell r="AD397"/>
          <cell r="AE397"/>
        </row>
        <row r="398">
          <cell r="G398"/>
          <cell r="H398"/>
          <cell r="I398"/>
          <cell r="J398"/>
          <cell r="K398"/>
          <cell r="L398"/>
          <cell r="M398"/>
          <cell r="N398"/>
          <cell r="O398"/>
          <cell r="P398"/>
          <cell r="Q398"/>
          <cell r="R398"/>
          <cell r="S398"/>
          <cell r="T398"/>
          <cell r="U398"/>
          <cell r="V398"/>
          <cell r="W398"/>
          <cell r="X398"/>
          <cell r="Y398"/>
          <cell r="Z398"/>
          <cell r="AA398"/>
          <cell r="AB398"/>
          <cell r="AC398"/>
          <cell r="AD398"/>
          <cell r="AE398"/>
        </row>
        <row r="399">
          <cell r="G399"/>
          <cell r="H399"/>
          <cell r="I399"/>
          <cell r="J399"/>
          <cell r="K399"/>
          <cell r="L399"/>
          <cell r="M399"/>
          <cell r="N399"/>
          <cell r="O399"/>
          <cell r="P399"/>
          <cell r="Q399"/>
          <cell r="R399"/>
          <cell r="S399"/>
          <cell r="T399"/>
          <cell r="U399"/>
          <cell r="V399"/>
          <cell r="W399"/>
          <cell r="X399"/>
          <cell r="Y399"/>
          <cell r="Z399"/>
          <cell r="AA399"/>
          <cell r="AB399"/>
          <cell r="AC399"/>
          <cell r="AD399"/>
          <cell r="AE399"/>
        </row>
        <row r="400">
          <cell r="G400"/>
          <cell r="H400"/>
          <cell r="I400"/>
          <cell r="J400"/>
          <cell r="K400"/>
          <cell r="L400"/>
          <cell r="M400"/>
          <cell r="N400"/>
          <cell r="O400"/>
          <cell r="P400"/>
          <cell r="Q400"/>
          <cell r="R400"/>
          <cell r="S400"/>
          <cell r="T400"/>
          <cell r="U400"/>
          <cell r="V400"/>
          <cell r="W400"/>
          <cell r="X400"/>
          <cell r="Y400"/>
          <cell r="Z400"/>
          <cell r="AA400"/>
          <cell r="AB400"/>
          <cell r="AC400"/>
          <cell r="AD400"/>
          <cell r="AE400"/>
        </row>
        <row r="401">
          <cell r="G401"/>
          <cell r="H401"/>
          <cell r="I401"/>
          <cell r="J401"/>
          <cell r="K401"/>
          <cell r="L401"/>
          <cell r="M401"/>
          <cell r="N401"/>
          <cell r="O401"/>
          <cell r="P401"/>
          <cell r="Q401"/>
          <cell r="R401"/>
          <cell r="S401"/>
          <cell r="T401"/>
          <cell r="U401"/>
          <cell r="V401"/>
          <cell r="W401"/>
          <cell r="X401"/>
          <cell r="Y401"/>
          <cell r="Z401"/>
          <cell r="AA401"/>
          <cell r="AB401"/>
          <cell r="AC401"/>
          <cell r="AD401"/>
          <cell r="AE401"/>
        </row>
        <row r="402">
          <cell r="G402"/>
          <cell r="H402"/>
          <cell r="I402"/>
          <cell r="J402"/>
          <cell r="K402"/>
          <cell r="L402"/>
          <cell r="M402"/>
          <cell r="N402"/>
          <cell r="O402"/>
          <cell r="P402"/>
          <cell r="Q402"/>
          <cell r="R402"/>
          <cell r="S402"/>
          <cell r="T402"/>
          <cell r="U402"/>
          <cell r="V402"/>
          <cell r="W402"/>
          <cell r="X402"/>
          <cell r="Y402"/>
          <cell r="Z402"/>
          <cell r="AA402"/>
          <cell r="AB402"/>
          <cell r="AC402"/>
          <cell r="AD402"/>
          <cell r="AE402"/>
        </row>
        <row r="403">
          <cell r="G403"/>
          <cell r="H403"/>
          <cell r="I403"/>
          <cell r="J403"/>
          <cell r="K403"/>
          <cell r="L403"/>
          <cell r="M403"/>
          <cell r="N403"/>
          <cell r="O403"/>
          <cell r="P403"/>
          <cell r="Q403"/>
          <cell r="R403"/>
          <cell r="S403"/>
          <cell r="T403"/>
          <cell r="U403"/>
          <cell r="V403"/>
          <cell r="W403"/>
          <cell r="X403"/>
          <cell r="Y403"/>
          <cell r="Z403"/>
          <cell r="AA403"/>
          <cell r="AB403"/>
          <cell r="AC403"/>
          <cell r="AD403"/>
          <cell r="AE403"/>
        </row>
        <row r="404">
          <cell r="G404"/>
          <cell r="H404"/>
          <cell r="I404"/>
          <cell r="J404"/>
          <cell r="K404"/>
          <cell r="L404"/>
          <cell r="M404"/>
          <cell r="N404"/>
          <cell r="O404"/>
          <cell r="P404"/>
          <cell r="Q404"/>
          <cell r="R404"/>
          <cell r="S404"/>
          <cell r="T404"/>
          <cell r="U404"/>
          <cell r="V404"/>
          <cell r="W404"/>
          <cell r="X404"/>
          <cell r="Y404"/>
          <cell r="Z404"/>
          <cell r="AA404"/>
          <cell r="AB404"/>
          <cell r="AC404"/>
          <cell r="AD404"/>
          <cell r="AE404"/>
        </row>
        <row r="405">
          <cell r="G405"/>
          <cell r="H405"/>
          <cell r="I405"/>
          <cell r="J405"/>
          <cell r="K405"/>
          <cell r="L405"/>
          <cell r="M405"/>
          <cell r="N405"/>
          <cell r="O405"/>
          <cell r="P405"/>
          <cell r="Q405"/>
          <cell r="R405"/>
          <cell r="S405"/>
          <cell r="T405"/>
          <cell r="U405"/>
          <cell r="V405"/>
          <cell r="W405"/>
          <cell r="X405"/>
          <cell r="Y405"/>
          <cell r="Z405"/>
          <cell r="AA405"/>
          <cell r="AB405"/>
          <cell r="AC405"/>
          <cell r="AD405"/>
          <cell r="AE405"/>
        </row>
        <row r="406">
          <cell r="G406"/>
          <cell r="H406"/>
          <cell r="I406"/>
          <cell r="J406"/>
          <cell r="K406"/>
          <cell r="L406"/>
          <cell r="M406"/>
          <cell r="N406"/>
          <cell r="O406"/>
          <cell r="P406"/>
          <cell r="Q406"/>
          <cell r="R406"/>
          <cell r="S406"/>
          <cell r="T406"/>
          <cell r="U406"/>
          <cell r="V406"/>
          <cell r="W406"/>
          <cell r="X406"/>
          <cell r="Y406"/>
          <cell r="Z406"/>
          <cell r="AA406"/>
          <cell r="AB406"/>
          <cell r="AC406"/>
          <cell r="AD406"/>
          <cell r="AE406"/>
        </row>
        <row r="407">
          <cell r="G407"/>
          <cell r="H407"/>
          <cell r="I407"/>
          <cell r="J407"/>
          <cell r="K407"/>
          <cell r="L407"/>
          <cell r="M407"/>
          <cell r="N407"/>
          <cell r="O407"/>
          <cell r="P407"/>
          <cell r="Q407"/>
          <cell r="R407"/>
          <cell r="S407"/>
          <cell r="T407"/>
          <cell r="U407"/>
          <cell r="V407"/>
          <cell r="W407"/>
          <cell r="X407"/>
          <cell r="Y407"/>
          <cell r="Z407"/>
          <cell r="AA407"/>
          <cell r="AB407"/>
          <cell r="AC407"/>
          <cell r="AD407"/>
          <cell r="AE407"/>
        </row>
        <row r="408">
          <cell r="G408"/>
          <cell r="H408"/>
          <cell r="I408"/>
          <cell r="J408"/>
          <cell r="K408"/>
          <cell r="L408"/>
          <cell r="M408"/>
          <cell r="N408"/>
          <cell r="O408"/>
          <cell r="P408"/>
          <cell r="Q408"/>
          <cell r="R408"/>
          <cell r="S408"/>
          <cell r="T408"/>
          <cell r="U408"/>
          <cell r="V408"/>
          <cell r="W408"/>
          <cell r="X408"/>
          <cell r="Y408"/>
          <cell r="Z408"/>
          <cell r="AA408"/>
          <cell r="AB408"/>
          <cell r="AC408"/>
          <cell r="AD408"/>
          <cell r="AE408"/>
        </row>
        <row r="409">
          <cell r="G409"/>
          <cell r="H409"/>
          <cell r="I409"/>
          <cell r="J409"/>
          <cell r="K409"/>
          <cell r="L409"/>
          <cell r="M409"/>
          <cell r="N409"/>
          <cell r="O409"/>
          <cell r="P409"/>
          <cell r="Q409"/>
          <cell r="R409"/>
          <cell r="S409"/>
          <cell r="T409"/>
          <cell r="U409"/>
          <cell r="V409"/>
          <cell r="W409"/>
          <cell r="X409"/>
          <cell r="Y409"/>
          <cell r="Z409"/>
          <cell r="AA409"/>
          <cell r="AB409"/>
          <cell r="AC409"/>
          <cell r="AD409"/>
          <cell r="AE409"/>
        </row>
        <row r="410">
          <cell r="G410"/>
          <cell r="H410"/>
          <cell r="I410"/>
          <cell r="J410"/>
          <cell r="K410"/>
          <cell r="L410"/>
          <cell r="M410"/>
          <cell r="N410"/>
          <cell r="O410"/>
          <cell r="P410"/>
          <cell r="Q410"/>
          <cell r="R410"/>
          <cell r="S410"/>
          <cell r="T410"/>
          <cell r="U410"/>
          <cell r="V410"/>
          <cell r="W410"/>
          <cell r="X410"/>
          <cell r="Y410"/>
          <cell r="Z410"/>
          <cell r="AA410"/>
          <cell r="AB410"/>
          <cell r="AC410"/>
          <cell r="AD410"/>
          <cell r="AE410"/>
        </row>
        <row r="411">
          <cell r="G411"/>
          <cell r="H411"/>
          <cell r="I411"/>
          <cell r="J411"/>
          <cell r="K411"/>
          <cell r="L411"/>
          <cell r="M411"/>
          <cell r="N411"/>
          <cell r="O411"/>
          <cell r="P411"/>
          <cell r="Q411"/>
          <cell r="R411"/>
          <cell r="S411"/>
          <cell r="T411"/>
          <cell r="U411"/>
          <cell r="V411"/>
          <cell r="W411"/>
          <cell r="X411"/>
          <cell r="Y411"/>
          <cell r="Z411"/>
          <cell r="AA411"/>
          <cell r="AB411"/>
          <cell r="AC411"/>
          <cell r="AD411"/>
          <cell r="AE411"/>
        </row>
        <row r="412">
          <cell r="G412"/>
          <cell r="H412"/>
          <cell r="I412"/>
          <cell r="J412"/>
          <cell r="K412"/>
          <cell r="L412"/>
          <cell r="M412"/>
          <cell r="N412"/>
          <cell r="O412"/>
          <cell r="P412"/>
          <cell r="Q412"/>
          <cell r="R412"/>
          <cell r="S412"/>
          <cell r="T412"/>
          <cell r="U412"/>
          <cell r="V412"/>
          <cell r="W412"/>
          <cell r="X412"/>
          <cell r="Y412"/>
          <cell r="Z412"/>
          <cell r="AA412"/>
          <cell r="AB412"/>
          <cell r="AC412"/>
          <cell r="AD412"/>
          <cell r="AE412"/>
        </row>
        <row r="413">
          <cell r="G413"/>
          <cell r="H413"/>
          <cell r="I413"/>
          <cell r="J413"/>
          <cell r="K413"/>
          <cell r="L413"/>
          <cell r="M413"/>
          <cell r="N413"/>
          <cell r="O413"/>
          <cell r="P413"/>
          <cell r="Q413"/>
          <cell r="R413"/>
          <cell r="S413"/>
          <cell r="T413"/>
          <cell r="U413"/>
          <cell r="V413"/>
          <cell r="W413"/>
          <cell r="X413"/>
          <cell r="Y413"/>
          <cell r="Z413"/>
          <cell r="AA413"/>
          <cell r="AB413"/>
          <cell r="AC413"/>
          <cell r="AD413"/>
          <cell r="AE413"/>
        </row>
        <row r="414">
          <cell r="G414"/>
          <cell r="H414"/>
          <cell r="I414"/>
          <cell r="J414"/>
          <cell r="K414"/>
          <cell r="L414"/>
          <cell r="M414"/>
          <cell r="N414"/>
          <cell r="O414"/>
          <cell r="P414"/>
          <cell r="Q414"/>
          <cell r="R414"/>
          <cell r="S414"/>
          <cell r="T414"/>
          <cell r="U414"/>
          <cell r="V414"/>
          <cell r="W414"/>
          <cell r="X414"/>
          <cell r="Y414"/>
          <cell r="Z414"/>
          <cell r="AA414"/>
          <cell r="AB414"/>
          <cell r="AC414"/>
          <cell r="AD414"/>
          <cell r="AE414"/>
        </row>
        <row r="415">
          <cell r="G415"/>
          <cell r="H415"/>
          <cell r="I415"/>
          <cell r="J415"/>
          <cell r="K415"/>
          <cell r="L415"/>
          <cell r="M415"/>
          <cell r="N415"/>
          <cell r="O415"/>
          <cell r="P415"/>
          <cell r="Q415"/>
          <cell r="R415"/>
          <cell r="S415"/>
          <cell r="T415"/>
          <cell r="U415"/>
          <cell r="V415"/>
          <cell r="W415"/>
          <cell r="X415"/>
          <cell r="Y415"/>
          <cell r="Z415"/>
          <cell r="AA415"/>
          <cell r="AB415"/>
          <cell r="AC415"/>
          <cell r="AD415"/>
          <cell r="AE415"/>
        </row>
        <row r="416">
          <cell r="G416"/>
          <cell r="H416"/>
          <cell r="I416"/>
          <cell r="J416"/>
          <cell r="K416"/>
          <cell r="L416"/>
          <cell r="M416"/>
          <cell r="N416"/>
          <cell r="O416"/>
          <cell r="P416"/>
          <cell r="Q416"/>
          <cell r="R416"/>
          <cell r="S416"/>
          <cell r="T416"/>
          <cell r="U416"/>
          <cell r="V416"/>
          <cell r="W416"/>
          <cell r="X416"/>
          <cell r="Y416"/>
          <cell r="Z416"/>
          <cell r="AA416"/>
          <cell r="AB416"/>
          <cell r="AC416"/>
          <cell r="AD416"/>
          <cell r="AE416"/>
        </row>
        <row r="417">
          <cell r="G417"/>
          <cell r="H417"/>
          <cell r="I417"/>
          <cell r="J417"/>
          <cell r="K417"/>
          <cell r="L417"/>
          <cell r="M417"/>
          <cell r="N417"/>
          <cell r="O417"/>
          <cell r="P417"/>
          <cell r="Q417"/>
          <cell r="R417"/>
          <cell r="S417"/>
          <cell r="T417"/>
          <cell r="U417"/>
          <cell r="V417"/>
          <cell r="W417"/>
          <cell r="X417"/>
          <cell r="Y417"/>
          <cell r="Z417"/>
          <cell r="AA417"/>
          <cell r="AB417"/>
          <cell r="AC417"/>
          <cell r="AD417"/>
          <cell r="AE417"/>
        </row>
        <row r="418">
          <cell r="G418"/>
          <cell r="H418"/>
          <cell r="I418"/>
          <cell r="J418"/>
          <cell r="K418"/>
          <cell r="L418"/>
          <cell r="M418"/>
          <cell r="N418"/>
          <cell r="O418"/>
          <cell r="P418"/>
          <cell r="Q418"/>
          <cell r="R418"/>
          <cell r="S418"/>
          <cell r="T418"/>
          <cell r="U418"/>
          <cell r="V418"/>
          <cell r="W418"/>
          <cell r="X418"/>
          <cell r="Y418"/>
          <cell r="Z418"/>
          <cell r="AA418"/>
          <cell r="AB418"/>
          <cell r="AC418"/>
          <cell r="AD418"/>
          <cell r="AE418"/>
        </row>
        <row r="419">
          <cell r="G419"/>
          <cell r="H419"/>
          <cell r="I419"/>
          <cell r="J419"/>
          <cell r="K419"/>
          <cell r="L419"/>
          <cell r="M419"/>
          <cell r="N419"/>
          <cell r="O419"/>
          <cell r="P419"/>
          <cell r="Q419"/>
          <cell r="R419"/>
          <cell r="S419"/>
          <cell r="T419"/>
          <cell r="U419"/>
          <cell r="V419"/>
          <cell r="W419"/>
          <cell r="X419"/>
          <cell r="Y419"/>
          <cell r="Z419"/>
          <cell r="AA419"/>
          <cell r="AB419"/>
          <cell r="AC419"/>
          <cell r="AD419"/>
          <cell r="AE419"/>
        </row>
        <row r="420">
          <cell r="G420"/>
          <cell r="H420"/>
          <cell r="I420"/>
          <cell r="J420"/>
          <cell r="K420"/>
          <cell r="L420"/>
          <cell r="M420"/>
          <cell r="N420"/>
          <cell r="O420"/>
          <cell r="P420"/>
          <cell r="Q420"/>
          <cell r="R420"/>
          <cell r="S420"/>
          <cell r="T420"/>
          <cell r="U420"/>
          <cell r="V420"/>
          <cell r="W420"/>
          <cell r="X420"/>
          <cell r="Y420"/>
          <cell r="Z420"/>
          <cell r="AA420"/>
          <cell r="AB420"/>
          <cell r="AC420"/>
          <cell r="AD420"/>
          <cell r="AE420"/>
        </row>
        <row r="421">
          <cell r="G421"/>
          <cell r="H421"/>
          <cell r="I421"/>
          <cell r="J421"/>
          <cell r="K421"/>
          <cell r="L421"/>
          <cell r="M421"/>
          <cell r="N421"/>
          <cell r="O421"/>
          <cell r="P421"/>
          <cell r="Q421"/>
          <cell r="R421"/>
          <cell r="S421"/>
          <cell r="T421"/>
          <cell r="U421"/>
          <cell r="V421"/>
          <cell r="W421"/>
          <cell r="X421"/>
          <cell r="Y421"/>
          <cell r="Z421"/>
          <cell r="AA421"/>
          <cell r="AB421"/>
          <cell r="AC421"/>
          <cell r="AD421"/>
          <cell r="AE421"/>
        </row>
        <row r="422">
          <cell r="G422"/>
          <cell r="H422"/>
          <cell r="I422"/>
          <cell r="J422"/>
          <cell r="K422"/>
          <cell r="L422"/>
          <cell r="M422"/>
          <cell r="N422"/>
          <cell r="O422"/>
          <cell r="P422"/>
          <cell r="Q422"/>
          <cell r="R422"/>
          <cell r="S422"/>
          <cell r="T422"/>
          <cell r="U422"/>
          <cell r="V422"/>
          <cell r="W422"/>
          <cell r="X422"/>
          <cell r="Y422"/>
          <cell r="Z422"/>
          <cell r="AA422"/>
          <cell r="AB422"/>
          <cell r="AC422"/>
          <cell r="AD422"/>
          <cell r="AE422"/>
        </row>
        <row r="423">
          <cell r="G423"/>
          <cell r="H423"/>
          <cell r="I423"/>
          <cell r="J423"/>
          <cell r="K423"/>
          <cell r="L423"/>
          <cell r="M423"/>
          <cell r="N423"/>
          <cell r="O423"/>
          <cell r="P423"/>
          <cell r="Q423"/>
          <cell r="R423"/>
          <cell r="S423"/>
          <cell r="T423"/>
          <cell r="U423"/>
          <cell r="V423"/>
          <cell r="W423"/>
          <cell r="X423"/>
          <cell r="Y423"/>
          <cell r="Z423"/>
          <cell r="AA423"/>
          <cell r="AB423"/>
          <cell r="AC423"/>
          <cell r="AD423"/>
          <cell r="AE423"/>
        </row>
        <row r="424">
          <cell r="G424"/>
          <cell r="H424"/>
          <cell r="I424"/>
          <cell r="J424"/>
          <cell r="K424"/>
          <cell r="L424"/>
          <cell r="M424"/>
          <cell r="N424"/>
          <cell r="O424"/>
          <cell r="P424"/>
          <cell r="Q424"/>
          <cell r="R424"/>
          <cell r="S424"/>
          <cell r="T424"/>
          <cell r="U424"/>
          <cell r="V424"/>
          <cell r="W424"/>
          <cell r="X424"/>
          <cell r="Y424"/>
          <cell r="Z424"/>
          <cell r="AA424"/>
          <cell r="AB424"/>
          <cell r="AC424"/>
          <cell r="AD424"/>
          <cell r="AE424"/>
        </row>
        <row r="425">
          <cell r="G425"/>
          <cell r="H425"/>
          <cell r="I425"/>
          <cell r="J425"/>
          <cell r="K425"/>
          <cell r="L425"/>
          <cell r="M425"/>
          <cell r="N425"/>
          <cell r="O425"/>
          <cell r="P425"/>
          <cell r="Q425"/>
          <cell r="R425"/>
          <cell r="S425"/>
          <cell r="T425"/>
          <cell r="U425"/>
          <cell r="V425"/>
          <cell r="W425"/>
          <cell r="X425"/>
          <cell r="Y425"/>
          <cell r="Z425"/>
          <cell r="AA425"/>
          <cell r="AB425"/>
          <cell r="AC425"/>
          <cell r="AD425"/>
          <cell r="AE425"/>
        </row>
        <row r="426">
          <cell r="G426"/>
          <cell r="H426"/>
          <cell r="I426"/>
          <cell r="J426"/>
          <cell r="K426"/>
          <cell r="L426"/>
          <cell r="M426"/>
          <cell r="N426"/>
          <cell r="O426"/>
          <cell r="P426"/>
          <cell r="Q426"/>
          <cell r="R426"/>
          <cell r="S426"/>
          <cell r="T426"/>
          <cell r="U426"/>
          <cell r="V426"/>
          <cell r="W426"/>
          <cell r="X426"/>
          <cell r="Y426"/>
          <cell r="Z426"/>
          <cell r="AA426"/>
          <cell r="AB426"/>
          <cell r="AC426"/>
          <cell r="AD426"/>
          <cell r="AE426"/>
        </row>
        <row r="427">
          <cell r="G427"/>
          <cell r="H427"/>
          <cell r="I427"/>
          <cell r="J427"/>
          <cell r="K427"/>
          <cell r="L427"/>
          <cell r="M427"/>
          <cell r="N427"/>
          <cell r="O427"/>
          <cell r="P427"/>
          <cell r="Q427"/>
          <cell r="R427"/>
          <cell r="S427"/>
          <cell r="T427"/>
          <cell r="U427"/>
          <cell r="V427"/>
          <cell r="W427"/>
          <cell r="X427"/>
          <cell r="Y427"/>
          <cell r="Z427"/>
          <cell r="AA427"/>
          <cell r="AB427"/>
          <cell r="AC427"/>
          <cell r="AD427"/>
          <cell r="AE427"/>
        </row>
        <row r="428">
          <cell r="G428"/>
          <cell r="H428"/>
          <cell r="I428"/>
          <cell r="J428"/>
          <cell r="K428"/>
          <cell r="L428"/>
          <cell r="M428"/>
          <cell r="N428"/>
          <cell r="O428"/>
          <cell r="P428"/>
          <cell r="Q428"/>
          <cell r="R428"/>
          <cell r="S428"/>
          <cell r="T428"/>
          <cell r="U428"/>
          <cell r="V428"/>
          <cell r="W428"/>
          <cell r="X428"/>
          <cell r="Y428"/>
          <cell r="Z428"/>
          <cell r="AA428"/>
          <cell r="AB428"/>
          <cell r="AC428"/>
          <cell r="AD428"/>
          <cell r="AE428"/>
        </row>
        <row r="429">
          <cell r="G429"/>
          <cell r="H429"/>
          <cell r="I429"/>
          <cell r="J429"/>
          <cell r="K429"/>
          <cell r="L429"/>
          <cell r="M429"/>
          <cell r="N429"/>
          <cell r="O429"/>
          <cell r="P429"/>
          <cell r="Q429"/>
          <cell r="R429"/>
          <cell r="S429"/>
          <cell r="T429"/>
          <cell r="U429"/>
          <cell r="V429"/>
          <cell r="W429"/>
          <cell r="X429"/>
          <cell r="Y429"/>
          <cell r="Z429"/>
          <cell r="AA429"/>
          <cell r="AB429"/>
          <cell r="AC429"/>
          <cell r="AD429"/>
          <cell r="AE429"/>
        </row>
        <row r="430">
          <cell r="G430"/>
          <cell r="H430"/>
          <cell r="I430"/>
          <cell r="J430"/>
          <cell r="K430"/>
          <cell r="L430"/>
          <cell r="M430"/>
          <cell r="N430"/>
          <cell r="O430"/>
          <cell r="P430"/>
          <cell r="Q430"/>
          <cell r="R430"/>
          <cell r="S430"/>
          <cell r="T430"/>
          <cell r="U430"/>
          <cell r="V430"/>
          <cell r="W430"/>
          <cell r="X430"/>
          <cell r="Y430"/>
          <cell r="Z430"/>
          <cell r="AA430"/>
          <cell r="AB430"/>
          <cell r="AC430"/>
          <cell r="AD430"/>
          <cell r="AE430"/>
        </row>
        <row r="431">
          <cell r="G431"/>
          <cell r="H431"/>
          <cell r="I431"/>
          <cell r="J431"/>
          <cell r="K431"/>
          <cell r="L431"/>
          <cell r="M431"/>
          <cell r="N431"/>
          <cell r="O431"/>
          <cell r="P431"/>
          <cell r="Q431"/>
          <cell r="R431"/>
          <cell r="S431"/>
          <cell r="T431"/>
          <cell r="U431"/>
          <cell r="V431"/>
          <cell r="W431"/>
          <cell r="X431"/>
          <cell r="Y431"/>
          <cell r="Z431"/>
          <cell r="AA431"/>
          <cell r="AB431"/>
          <cell r="AC431"/>
          <cell r="AD431"/>
          <cell r="AE431"/>
        </row>
        <row r="432">
          <cell r="G432"/>
          <cell r="H432"/>
          <cell r="I432"/>
          <cell r="J432"/>
          <cell r="K432"/>
          <cell r="L432"/>
          <cell r="M432"/>
          <cell r="N432"/>
          <cell r="O432"/>
          <cell r="P432"/>
          <cell r="Q432"/>
          <cell r="R432"/>
          <cell r="S432"/>
          <cell r="T432"/>
          <cell r="U432"/>
          <cell r="V432"/>
          <cell r="W432"/>
          <cell r="X432"/>
          <cell r="Y432"/>
          <cell r="Z432"/>
          <cell r="AA432"/>
          <cell r="AB432"/>
          <cell r="AC432"/>
          <cell r="AD432"/>
          <cell r="AE432"/>
        </row>
        <row r="433">
          <cell r="G433"/>
          <cell r="H433"/>
          <cell r="I433"/>
          <cell r="J433"/>
          <cell r="K433"/>
          <cell r="L433"/>
          <cell r="M433"/>
          <cell r="N433"/>
          <cell r="O433"/>
          <cell r="P433"/>
          <cell r="Q433"/>
          <cell r="R433"/>
          <cell r="S433"/>
          <cell r="T433"/>
          <cell r="U433"/>
          <cell r="V433"/>
          <cell r="W433"/>
          <cell r="X433"/>
          <cell r="Y433"/>
          <cell r="Z433"/>
          <cell r="AA433"/>
          <cell r="AB433"/>
          <cell r="AC433"/>
          <cell r="AD433"/>
          <cell r="AE433"/>
        </row>
        <row r="434">
          <cell r="G434"/>
          <cell r="H434"/>
          <cell r="I434"/>
          <cell r="J434"/>
          <cell r="K434"/>
          <cell r="L434"/>
          <cell r="M434"/>
          <cell r="N434"/>
          <cell r="O434"/>
          <cell r="P434"/>
          <cell r="Q434"/>
          <cell r="R434"/>
          <cell r="S434"/>
          <cell r="T434"/>
          <cell r="U434"/>
          <cell r="V434"/>
          <cell r="W434"/>
          <cell r="X434"/>
          <cell r="Y434"/>
          <cell r="Z434"/>
          <cell r="AA434"/>
          <cell r="AB434"/>
          <cell r="AC434"/>
          <cell r="AD434"/>
          <cell r="AE434"/>
        </row>
        <row r="435">
          <cell r="G435"/>
          <cell r="H435"/>
          <cell r="I435"/>
          <cell r="J435"/>
          <cell r="K435"/>
          <cell r="L435"/>
          <cell r="M435"/>
          <cell r="N435"/>
          <cell r="O435"/>
          <cell r="P435"/>
          <cell r="Q435"/>
          <cell r="R435"/>
          <cell r="S435"/>
          <cell r="T435"/>
          <cell r="U435"/>
          <cell r="V435"/>
          <cell r="W435"/>
          <cell r="X435"/>
          <cell r="Y435"/>
          <cell r="Z435"/>
          <cell r="AA435"/>
          <cell r="AB435"/>
          <cell r="AC435"/>
          <cell r="AD435"/>
          <cell r="AE435"/>
        </row>
        <row r="436">
          <cell r="G436"/>
          <cell r="H436"/>
          <cell r="I436"/>
          <cell r="J436"/>
          <cell r="K436"/>
          <cell r="L436"/>
          <cell r="M436"/>
          <cell r="N436"/>
          <cell r="O436"/>
          <cell r="P436"/>
          <cell r="Q436"/>
          <cell r="R436"/>
          <cell r="S436"/>
          <cell r="T436"/>
          <cell r="U436"/>
          <cell r="V436"/>
          <cell r="W436"/>
          <cell r="X436"/>
          <cell r="Y436"/>
          <cell r="Z436"/>
          <cell r="AA436"/>
          <cell r="AB436"/>
          <cell r="AC436"/>
          <cell r="AD436"/>
          <cell r="AE436"/>
        </row>
        <row r="437">
          <cell r="G437"/>
          <cell r="H437"/>
          <cell r="I437"/>
          <cell r="J437"/>
          <cell r="K437"/>
          <cell r="L437"/>
          <cell r="M437"/>
          <cell r="N437"/>
          <cell r="O437"/>
          <cell r="P437"/>
          <cell r="Q437"/>
          <cell r="R437"/>
          <cell r="S437"/>
          <cell r="T437"/>
          <cell r="U437"/>
          <cell r="V437"/>
          <cell r="W437"/>
          <cell r="X437"/>
          <cell r="Y437"/>
          <cell r="Z437"/>
          <cell r="AA437"/>
          <cell r="AB437"/>
          <cell r="AC437"/>
          <cell r="AD437"/>
          <cell r="AE437"/>
        </row>
        <row r="438">
          <cell r="G438"/>
          <cell r="H438"/>
          <cell r="I438"/>
          <cell r="J438"/>
          <cell r="K438"/>
          <cell r="L438"/>
          <cell r="M438"/>
          <cell r="N438"/>
          <cell r="O438"/>
          <cell r="P438"/>
          <cell r="Q438"/>
          <cell r="R438"/>
          <cell r="S438"/>
          <cell r="T438"/>
          <cell r="U438"/>
          <cell r="V438"/>
          <cell r="W438"/>
          <cell r="X438"/>
          <cell r="Y438"/>
          <cell r="Z438"/>
          <cell r="AA438"/>
          <cell r="AB438"/>
          <cell r="AC438"/>
          <cell r="AD438"/>
          <cell r="AE438"/>
        </row>
        <row r="439">
          <cell r="G439"/>
          <cell r="H439"/>
          <cell r="I439"/>
          <cell r="J439"/>
          <cell r="K439"/>
          <cell r="L439"/>
          <cell r="M439"/>
          <cell r="N439"/>
          <cell r="O439"/>
          <cell r="P439"/>
          <cell r="Q439"/>
          <cell r="R439"/>
          <cell r="S439"/>
          <cell r="T439"/>
          <cell r="U439"/>
          <cell r="V439"/>
          <cell r="W439"/>
          <cell r="X439"/>
          <cell r="Y439"/>
          <cell r="Z439"/>
          <cell r="AA439"/>
          <cell r="AB439"/>
          <cell r="AC439"/>
          <cell r="AD439"/>
          <cell r="AE439"/>
        </row>
        <row r="440">
          <cell r="G440"/>
          <cell r="H440"/>
          <cell r="I440"/>
          <cell r="J440"/>
          <cell r="K440"/>
          <cell r="L440"/>
          <cell r="M440"/>
          <cell r="N440"/>
          <cell r="O440"/>
          <cell r="P440"/>
          <cell r="Q440"/>
          <cell r="R440"/>
          <cell r="S440"/>
          <cell r="T440"/>
          <cell r="U440"/>
          <cell r="V440"/>
          <cell r="W440"/>
          <cell r="X440"/>
          <cell r="Y440"/>
          <cell r="Z440"/>
          <cell r="AA440"/>
          <cell r="AB440"/>
          <cell r="AC440"/>
          <cell r="AD440"/>
          <cell r="AE440"/>
        </row>
        <row r="441">
          <cell r="G441"/>
          <cell r="H441"/>
          <cell r="I441"/>
          <cell r="J441"/>
          <cell r="K441"/>
          <cell r="L441"/>
          <cell r="M441"/>
          <cell r="N441"/>
          <cell r="O441"/>
          <cell r="P441"/>
          <cell r="Q441"/>
          <cell r="R441"/>
          <cell r="S441"/>
          <cell r="T441"/>
          <cell r="U441"/>
          <cell r="V441"/>
          <cell r="W441"/>
          <cell r="X441"/>
          <cell r="Y441"/>
          <cell r="Z441"/>
          <cell r="AA441"/>
          <cell r="AB441"/>
          <cell r="AC441"/>
          <cell r="AD441"/>
          <cell r="AE441"/>
        </row>
        <row r="442">
          <cell r="G442"/>
          <cell r="H442"/>
          <cell r="I442"/>
          <cell r="J442"/>
          <cell r="K442"/>
          <cell r="L442"/>
          <cell r="M442"/>
          <cell r="N442"/>
          <cell r="O442"/>
          <cell r="P442"/>
          <cell r="Q442"/>
          <cell r="R442"/>
          <cell r="S442"/>
          <cell r="T442"/>
          <cell r="U442"/>
          <cell r="V442"/>
          <cell r="W442"/>
          <cell r="X442"/>
          <cell r="Y442"/>
          <cell r="Z442"/>
          <cell r="AA442"/>
          <cell r="AB442"/>
          <cell r="AC442"/>
          <cell r="AD442"/>
          <cell r="AE442"/>
        </row>
        <row r="443">
          <cell r="G443"/>
          <cell r="H443"/>
          <cell r="I443"/>
          <cell r="J443"/>
          <cell r="K443"/>
          <cell r="L443"/>
          <cell r="M443"/>
          <cell r="N443"/>
          <cell r="O443"/>
          <cell r="P443"/>
          <cell r="Q443"/>
          <cell r="R443"/>
          <cell r="S443"/>
          <cell r="T443"/>
          <cell r="U443"/>
          <cell r="V443"/>
          <cell r="W443"/>
          <cell r="X443"/>
          <cell r="Y443"/>
          <cell r="Z443"/>
          <cell r="AA443"/>
          <cell r="AB443"/>
          <cell r="AC443"/>
          <cell r="AD443"/>
          <cell r="AE443"/>
        </row>
        <row r="444">
          <cell r="G444"/>
          <cell r="H444"/>
          <cell r="I444"/>
          <cell r="J444"/>
          <cell r="K444"/>
          <cell r="L444"/>
          <cell r="M444"/>
          <cell r="N444"/>
          <cell r="O444"/>
          <cell r="P444"/>
          <cell r="Q444"/>
          <cell r="R444"/>
          <cell r="S444"/>
          <cell r="T444"/>
          <cell r="U444"/>
          <cell r="V444"/>
          <cell r="W444"/>
          <cell r="X444"/>
          <cell r="Y444"/>
          <cell r="Z444"/>
          <cell r="AA444"/>
          <cell r="AB444"/>
          <cell r="AC444"/>
          <cell r="AD444"/>
          <cell r="AE444"/>
        </row>
        <row r="445">
          <cell r="G445"/>
          <cell r="H445"/>
          <cell r="I445"/>
          <cell r="J445"/>
          <cell r="K445"/>
          <cell r="L445"/>
          <cell r="M445"/>
          <cell r="N445"/>
          <cell r="O445"/>
          <cell r="P445"/>
          <cell r="Q445"/>
          <cell r="R445"/>
          <cell r="S445"/>
          <cell r="T445"/>
          <cell r="U445"/>
          <cell r="V445"/>
          <cell r="W445"/>
          <cell r="X445"/>
          <cell r="Y445"/>
          <cell r="Z445"/>
          <cell r="AA445"/>
          <cell r="AB445"/>
          <cell r="AC445"/>
          <cell r="AD445"/>
          <cell r="AE445"/>
        </row>
        <row r="446">
          <cell r="G446"/>
          <cell r="H446"/>
          <cell r="I446"/>
          <cell r="J446"/>
          <cell r="K446"/>
          <cell r="L446"/>
          <cell r="M446"/>
          <cell r="N446"/>
          <cell r="O446"/>
          <cell r="P446"/>
          <cell r="Q446"/>
          <cell r="R446"/>
          <cell r="S446"/>
          <cell r="T446"/>
          <cell r="U446"/>
          <cell r="V446"/>
          <cell r="W446"/>
          <cell r="X446"/>
          <cell r="Y446"/>
          <cell r="Z446"/>
          <cell r="AA446"/>
          <cell r="AB446"/>
          <cell r="AC446"/>
          <cell r="AD446"/>
          <cell r="AE446"/>
        </row>
        <row r="447">
          <cell r="G447"/>
          <cell r="H447"/>
          <cell r="I447"/>
          <cell r="J447"/>
          <cell r="K447"/>
          <cell r="L447"/>
          <cell r="M447"/>
          <cell r="N447"/>
          <cell r="O447"/>
          <cell r="P447"/>
          <cell r="Q447"/>
          <cell r="R447"/>
          <cell r="S447"/>
          <cell r="T447"/>
          <cell r="U447"/>
          <cell r="V447"/>
          <cell r="W447"/>
          <cell r="X447"/>
          <cell r="Y447"/>
          <cell r="Z447"/>
          <cell r="AA447"/>
          <cell r="AB447"/>
          <cell r="AC447"/>
          <cell r="AD447"/>
          <cell r="AE447"/>
        </row>
        <row r="448">
          <cell r="G448"/>
          <cell r="H448"/>
          <cell r="I448"/>
          <cell r="J448"/>
          <cell r="K448"/>
          <cell r="L448"/>
          <cell r="M448"/>
          <cell r="N448"/>
          <cell r="O448"/>
          <cell r="P448"/>
          <cell r="Q448"/>
          <cell r="R448"/>
          <cell r="S448"/>
          <cell r="T448"/>
          <cell r="U448"/>
          <cell r="V448"/>
          <cell r="W448"/>
          <cell r="X448"/>
          <cell r="Y448"/>
          <cell r="Z448"/>
          <cell r="AA448"/>
          <cell r="AB448"/>
          <cell r="AC448"/>
          <cell r="AD448"/>
          <cell r="AE448"/>
        </row>
        <row r="449">
          <cell r="G449"/>
          <cell r="H449"/>
          <cell r="I449"/>
          <cell r="J449"/>
          <cell r="K449"/>
          <cell r="L449"/>
          <cell r="M449"/>
          <cell r="N449"/>
          <cell r="O449"/>
          <cell r="P449"/>
          <cell r="Q449"/>
          <cell r="R449"/>
          <cell r="S449"/>
          <cell r="T449"/>
          <cell r="U449"/>
          <cell r="V449"/>
          <cell r="W449"/>
          <cell r="X449"/>
          <cell r="Y449"/>
          <cell r="Z449"/>
          <cell r="AA449"/>
          <cell r="AB449"/>
          <cell r="AC449"/>
          <cell r="AD449"/>
          <cell r="AE449"/>
        </row>
        <row r="450">
          <cell r="G450"/>
          <cell r="H450"/>
          <cell r="I450"/>
          <cell r="J450"/>
          <cell r="K450"/>
          <cell r="L450"/>
          <cell r="M450"/>
          <cell r="N450"/>
          <cell r="O450"/>
          <cell r="P450"/>
          <cell r="Q450"/>
          <cell r="R450"/>
          <cell r="S450"/>
          <cell r="T450"/>
          <cell r="U450"/>
          <cell r="V450"/>
          <cell r="W450"/>
          <cell r="X450"/>
          <cell r="Y450"/>
          <cell r="Z450"/>
          <cell r="AA450"/>
          <cell r="AB450"/>
          <cell r="AC450"/>
          <cell r="AD450"/>
          <cell r="AE450"/>
        </row>
        <row r="451">
          <cell r="G451"/>
          <cell r="H451"/>
          <cell r="I451"/>
          <cell r="J451"/>
          <cell r="K451"/>
          <cell r="L451"/>
          <cell r="M451"/>
          <cell r="N451"/>
          <cell r="O451"/>
          <cell r="P451"/>
          <cell r="Q451"/>
          <cell r="R451"/>
          <cell r="S451"/>
          <cell r="T451"/>
          <cell r="U451"/>
          <cell r="V451"/>
          <cell r="W451"/>
          <cell r="X451"/>
          <cell r="Y451"/>
          <cell r="Z451"/>
          <cell r="AA451"/>
          <cell r="AB451"/>
          <cell r="AC451"/>
          <cell r="AD451"/>
          <cell r="AE451"/>
        </row>
        <row r="452">
          <cell r="G452"/>
          <cell r="H452"/>
          <cell r="I452"/>
          <cell r="J452"/>
          <cell r="K452"/>
          <cell r="L452"/>
          <cell r="M452"/>
          <cell r="N452"/>
          <cell r="O452"/>
          <cell r="P452"/>
          <cell r="Q452"/>
          <cell r="R452"/>
          <cell r="S452"/>
          <cell r="T452"/>
          <cell r="U452"/>
          <cell r="V452"/>
          <cell r="W452"/>
          <cell r="X452"/>
          <cell r="Y452"/>
          <cell r="Z452"/>
          <cell r="AA452"/>
          <cell r="AB452"/>
          <cell r="AC452"/>
          <cell r="AD452"/>
          <cell r="AE452"/>
        </row>
        <row r="453">
          <cell r="G453"/>
          <cell r="H453"/>
          <cell r="I453"/>
          <cell r="J453"/>
          <cell r="K453"/>
          <cell r="L453"/>
          <cell r="M453"/>
          <cell r="N453"/>
          <cell r="O453"/>
          <cell r="P453"/>
          <cell r="Q453"/>
          <cell r="R453"/>
          <cell r="S453"/>
          <cell r="T453"/>
          <cell r="U453"/>
          <cell r="V453"/>
          <cell r="W453"/>
          <cell r="X453"/>
          <cell r="Y453"/>
          <cell r="Z453"/>
          <cell r="AA453"/>
          <cell r="AB453"/>
          <cell r="AC453"/>
          <cell r="AD453"/>
          <cell r="AE453"/>
        </row>
        <row r="454">
          <cell r="G454"/>
          <cell r="H454"/>
          <cell r="I454"/>
          <cell r="J454"/>
          <cell r="K454"/>
          <cell r="L454"/>
          <cell r="M454"/>
          <cell r="N454"/>
          <cell r="O454"/>
          <cell r="P454"/>
          <cell r="Q454"/>
          <cell r="R454"/>
          <cell r="S454"/>
          <cell r="T454"/>
          <cell r="U454"/>
          <cell r="V454"/>
          <cell r="W454"/>
          <cell r="X454"/>
          <cell r="Y454"/>
          <cell r="Z454"/>
          <cell r="AA454"/>
          <cell r="AB454"/>
          <cell r="AC454"/>
          <cell r="AD454"/>
          <cell r="AE454"/>
        </row>
        <row r="455">
          <cell r="G455"/>
          <cell r="H455"/>
          <cell r="I455"/>
          <cell r="J455"/>
          <cell r="K455"/>
          <cell r="L455"/>
          <cell r="M455"/>
          <cell r="N455"/>
          <cell r="O455"/>
          <cell r="P455"/>
          <cell r="Q455"/>
          <cell r="R455"/>
          <cell r="S455"/>
          <cell r="T455"/>
          <cell r="U455"/>
          <cell r="V455"/>
          <cell r="W455"/>
          <cell r="X455"/>
          <cell r="Y455"/>
          <cell r="Z455"/>
          <cell r="AA455"/>
          <cell r="AB455"/>
          <cell r="AC455"/>
          <cell r="AD455"/>
          <cell r="AE455"/>
        </row>
        <row r="456">
          <cell r="G456"/>
          <cell r="H456"/>
          <cell r="I456"/>
          <cell r="J456"/>
          <cell r="K456"/>
          <cell r="L456"/>
          <cell r="M456"/>
          <cell r="N456"/>
          <cell r="O456"/>
          <cell r="P456"/>
          <cell r="Q456"/>
          <cell r="R456"/>
          <cell r="S456"/>
          <cell r="T456"/>
          <cell r="U456"/>
          <cell r="V456"/>
          <cell r="W456"/>
          <cell r="X456"/>
          <cell r="Y456"/>
          <cell r="Z456"/>
          <cell r="AA456"/>
          <cell r="AB456"/>
          <cell r="AC456"/>
          <cell r="AD456"/>
          <cell r="AE456"/>
        </row>
        <row r="457">
          <cell r="G457"/>
          <cell r="H457"/>
          <cell r="I457"/>
          <cell r="J457"/>
          <cell r="K457"/>
          <cell r="L457"/>
          <cell r="M457"/>
          <cell r="N457"/>
          <cell r="O457"/>
          <cell r="P457"/>
          <cell r="Q457"/>
          <cell r="R457"/>
          <cell r="S457"/>
          <cell r="T457"/>
          <cell r="U457"/>
          <cell r="V457"/>
          <cell r="W457"/>
          <cell r="X457"/>
          <cell r="Y457"/>
          <cell r="Z457"/>
          <cell r="AA457"/>
          <cell r="AB457"/>
          <cell r="AC457"/>
          <cell r="AD457"/>
          <cell r="AE457"/>
        </row>
        <row r="458">
          <cell r="G458"/>
          <cell r="H458"/>
          <cell r="I458"/>
          <cell r="J458"/>
          <cell r="K458"/>
          <cell r="L458"/>
          <cell r="M458"/>
          <cell r="N458"/>
          <cell r="O458"/>
          <cell r="P458"/>
          <cell r="Q458"/>
          <cell r="R458"/>
          <cell r="S458"/>
          <cell r="T458"/>
          <cell r="U458"/>
          <cell r="V458"/>
          <cell r="W458"/>
          <cell r="X458"/>
          <cell r="Y458"/>
          <cell r="Z458"/>
          <cell r="AA458"/>
          <cell r="AB458"/>
          <cell r="AC458"/>
          <cell r="AD458"/>
          <cell r="AE458"/>
        </row>
        <row r="459">
          <cell r="G459"/>
          <cell r="H459"/>
          <cell r="I459"/>
          <cell r="J459"/>
          <cell r="K459"/>
          <cell r="L459"/>
          <cell r="M459"/>
          <cell r="N459"/>
          <cell r="O459"/>
          <cell r="P459"/>
          <cell r="Q459"/>
          <cell r="R459"/>
          <cell r="S459"/>
          <cell r="T459"/>
          <cell r="U459"/>
          <cell r="V459"/>
          <cell r="W459"/>
          <cell r="X459"/>
          <cell r="Y459"/>
          <cell r="Z459"/>
          <cell r="AA459"/>
          <cell r="AB459"/>
          <cell r="AC459"/>
          <cell r="AD459"/>
          <cell r="AE459"/>
        </row>
        <row r="460">
          <cell r="G460"/>
          <cell r="H460"/>
          <cell r="I460"/>
          <cell r="J460"/>
          <cell r="K460"/>
          <cell r="L460"/>
          <cell r="M460"/>
          <cell r="N460"/>
          <cell r="O460"/>
          <cell r="P460"/>
          <cell r="Q460"/>
          <cell r="R460"/>
          <cell r="S460"/>
          <cell r="T460"/>
          <cell r="U460"/>
          <cell r="V460"/>
          <cell r="W460"/>
          <cell r="X460"/>
          <cell r="Y460"/>
          <cell r="Z460"/>
          <cell r="AA460"/>
          <cell r="AB460"/>
          <cell r="AC460"/>
          <cell r="AD460"/>
          <cell r="AE460"/>
        </row>
        <row r="461">
          <cell r="G461"/>
          <cell r="H461"/>
          <cell r="I461"/>
          <cell r="J461"/>
          <cell r="K461"/>
          <cell r="L461"/>
          <cell r="M461"/>
          <cell r="N461"/>
          <cell r="O461"/>
          <cell r="P461"/>
          <cell r="Q461"/>
          <cell r="R461"/>
          <cell r="S461"/>
          <cell r="T461"/>
          <cell r="U461"/>
          <cell r="V461"/>
          <cell r="W461"/>
          <cell r="X461"/>
          <cell r="Y461"/>
          <cell r="Z461"/>
          <cell r="AA461"/>
          <cell r="AB461"/>
          <cell r="AC461"/>
          <cell r="AD461"/>
          <cell r="AE461"/>
        </row>
        <row r="462">
          <cell r="G462"/>
          <cell r="H462"/>
          <cell r="I462"/>
          <cell r="J462"/>
          <cell r="K462"/>
          <cell r="L462"/>
          <cell r="M462"/>
          <cell r="N462"/>
          <cell r="O462"/>
          <cell r="P462"/>
          <cell r="Q462"/>
          <cell r="R462"/>
          <cell r="S462"/>
          <cell r="T462"/>
          <cell r="U462"/>
          <cell r="V462"/>
          <cell r="W462"/>
          <cell r="X462"/>
          <cell r="Y462"/>
          <cell r="Z462"/>
          <cell r="AA462"/>
          <cell r="AB462"/>
          <cell r="AC462"/>
          <cell r="AD462"/>
          <cell r="AE462"/>
        </row>
        <row r="463">
          <cell r="G463"/>
          <cell r="H463"/>
          <cell r="I463"/>
          <cell r="J463"/>
          <cell r="K463"/>
          <cell r="L463"/>
          <cell r="M463"/>
          <cell r="N463"/>
          <cell r="O463"/>
          <cell r="P463"/>
          <cell r="Q463"/>
          <cell r="R463"/>
          <cell r="S463"/>
          <cell r="T463"/>
          <cell r="U463"/>
          <cell r="V463"/>
          <cell r="W463"/>
          <cell r="X463"/>
          <cell r="Y463"/>
          <cell r="Z463"/>
          <cell r="AA463"/>
          <cell r="AB463"/>
          <cell r="AC463"/>
          <cell r="AD463"/>
          <cell r="AE463"/>
        </row>
        <row r="464">
          <cell r="G464"/>
          <cell r="H464"/>
          <cell r="I464"/>
          <cell r="J464"/>
          <cell r="K464"/>
          <cell r="L464"/>
          <cell r="M464"/>
          <cell r="N464"/>
          <cell r="O464"/>
          <cell r="P464"/>
          <cell r="Q464"/>
          <cell r="R464"/>
          <cell r="S464"/>
          <cell r="T464"/>
          <cell r="U464"/>
          <cell r="V464"/>
          <cell r="W464"/>
          <cell r="X464"/>
          <cell r="Y464"/>
          <cell r="Z464"/>
          <cell r="AA464"/>
          <cell r="AB464"/>
          <cell r="AC464"/>
          <cell r="AD464"/>
          <cell r="AE464"/>
        </row>
        <row r="465">
          <cell r="G465"/>
          <cell r="H465"/>
          <cell r="I465"/>
          <cell r="J465"/>
          <cell r="K465"/>
          <cell r="L465"/>
          <cell r="M465"/>
          <cell r="N465"/>
          <cell r="O465"/>
          <cell r="P465"/>
          <cell r="Q465"/>
          <cell r="R465"/>
          <cell r="S465"/>
          <cell r="T465"/>
          <cell r="U465"/>
          <cell r="V465"/>
          <cell r="W465"/>
          <cell r="X465"/>
          <cell r="Y465"/>
          <cell r="Z465"/>
          <cell r="AA465"/>
          <cell r="AB465"/>
          <cell r="AC465"/>
          <cell r="AD465"/>
          <cell r="AE465"/>
        </row>
        <row r="466">
          <cell r="G466"/>
          <cell r="H466"/>
          <cell r="I466"/>
          <cell r="J466"/>
          <cell r="K466"/>
          <cell r="L466"/>
          <cell r="M466"/>
          <cell r="N466"/>
          <cell r="O466"/>
          <cell r="P466"/>
          <cell r="Q466"/>
          <cell r="R466"/>
          <cell r="S466"/>
          <cell r="T466"/>
          <cell r="U466"/>
          <cell r="V466"/>
          <cell r="W466"/>
          <cell r="X466"/>
          <cell r="Y466"/>
          <cell r="Z466"/>
          <cell r="AA466"/>
          <cell r="AB466"/>
          <cell r="AC466"/>
          <cell r="AD466"/>
          <cell r="AE466"/>
        </row>
        <row r="467">
          <cell r="G467"/>
          <cell r="H467"/>
          <cell r="I467"/>
          <cell r="J467"/>
          <cell r="K467"/>
          <cell r="L467"/>
          <cell r="M467"/>
          <cell r="N467"/>
          <cell r="O467"/>
          <cell r="P467"/>
          <cell r="Q467"/>
          <cell r="R467"/>
          <cell r="S467"/>
          <cell r="T467"/>
          <cell r="U467"/>
          <cell r="V467"/>
          <cell r="W467"/>
          <cell r="X467"/>
          <cell r="Y467"/>
          <cell r="Z467"/>
          <cell r="AA467"/>
          <cell r="AB467"/>
          <cell r="AC467"/>
          <cell r="AD467"/>
          <cell r="AE467"/>
        </row>
        <row r="468">
          <cell r="G468"/>
          <cell r="H468"/>
          <cell r="I468"/>
          <cell r="J468"/>
          <cell r="K468"/>
          <cell r="L468"/>
          <cell r="M468"/>
          <cell r="N468"/>
          <cell r="O468"/>
          <cell r="P468"/>
          <cell r="Q468"/>
          <cell r="R468"/>
          <cell r="S468"/>
          <cell r="T468"/>
          <cell r="U468"/>
          <cell r="V468"/>
          <cell r="W468"/>
          <cell r="X468"/>
          <cell r="Y468"/>
          <cell r="Z468"/>
          <cell r="AA468"/>
          <cell r="AB468"/>
          <cell r="AC468"/>
          <cell r="AD468"/>
          <cell r="AE468"/>
        </row>
        <row r="469">
          <cell r="G469"/>
          <cell r="H469"/>
          <cell r="I469"/>
          <cell r="J469"/>
          <cell r="K469"/>
          <cell r="L469"/>
          <cell r="M469"/>
          <cell r="N469"/>
          <cell r="O469"/>
          <cell r="P469"/>
          <cell r="Q469"/>
          <cell r="R469"/>
          <cell r="S469"/>
          <cell r="T469"/>
          <cell r="U469"/>
          <cell r="V469"/>
          <cell r="W469"/>
          <cell r="X469"/>
          <cell r="Y469"/>
          <cell r="Z469"/>
          <cell r="AA469"/>
          <cell r="AB469"/>
          <cell r="AC469"/>
          <cell r="AD469"/>
          <cell r="AE469"/>
        </row>
        <row r="470">
          <cell r="G470"/>
          <cell r="H470"/>
          <cell r="I470"/>
          <cell r="J470"/>
          <cell r="K470"/>
          <cell r="L470"/>
          <cell r="M470"/>
          <cell r="N470"/>
          <cell r="O470"/>
          <cell r="P470"/>
          <cell r="Q470"/>
          <cell r="R470"/>
          <cell r="S470"/>
          <cell r="T470"/>
          <cell r="U470"/>
          <cell r="V470"/>
          <cell r="W470"/>
          <cell r="X470"/>
          <cell r="Y470"/>
          <cell r="Z470"/>
          <cell r="AA470"/>
          <cell r="AB470"/>
          <cell r="AC470"/>
          <cell r="AD470"/>
          <cell r="AE470"/>
        </row>
        <row r="471">
          <cell r="G471"/>
          <cell r="H471"/>
          <cell r="I471"/>
          <cell r="J471"/>
          <cell r="K471"/>
          <cell r="L471"/>
          <cell r="M471"/>
          <cell r="N471"/>
          <cell r="O471"/>
          <cell r="P471"/>
          <cell r="Q471"/>
          <cell r="R471"/>
          <cell r="S471"/>
          <cell r="T471"/>
          <cell r="U471"/>
          <cell r="V471"/>
          <cell r="W471"/>
          <cell r="X471"/>
          <cell r="Y471"/>
          <cell r="Z471"/>
          <cell r="AA471"/>
          <cell r="AB471"/>
          <cell r="AC471"/>
          <cell r="AD471"/>
          <cell r="AE471"/>
        </row>
        <row r="472">
          <cell r="G472"/>
          <cell r="H472"/>
          <cell r="I472"/>
          <cell r="J472"/>
          <cell r="K472"/>
          <cell r="L472"/>
          <cell r="M472"/>
          <cell r="N472"/>
          <cell r="O472"/>
          <cell r="P472"/>
          <cell r="Q472"/>
          <cell r="R472"/>
          <cell r="S472"/>
          <cell r="T472"/>
          <cell r="U472"/>
          <cell r="V472"/>
          <cell r="W472"/>
          <cell r="X472"/>
          <cell r="Y472"/>
          <cell r="Z472"/>
          <cell r="AA472"/>
          <cell r="AB472"/>
          <cell r="AC472"/>
          <cell r="AD472"/>
          <cell r="AE472"/>
        </row>
        <row r="473">
          <cell r="G473"/>
          <cell r="H473"/>
          <cell r="I473"/>
          <cell r="J473"/>
          <cell r="K473"/>
          <cell r="L473"/>
          <cell r="M473"/>
          <cell r="N473"/>
          <cell r="O473"/>
          <cell r="P473"/>
          <cell r="Q473"/>
          <cell r="R473"/>
          <cell r="S473"/>
          <cell r="T473"/>
          <cell r="U473"/>
          <cell r="V473"/>
          <cell r="W473"/>
          <cell r="X473"/>
          <cell r="Y473"/>
          <cell r="Z473"/>
          <cell r="AA473"/>
          <cell r="AB473"/>
          <cell r="AC473"/>
          <cell r="AD473"/>
          <cell r="AE473"/>
        </row>
        <row r="474">
          <cell r="G474"/>
          <cell r="H474"/>
          <cell r="I474"/>
          <cell r="J474"/>
          <cell r="K474"/>
          <cell r="L474"/>
          <cell r="M474"/>
          <cell r="N474"/>
          <cell r="O474"/>
          <cell r="P474"/>
          <cell r="Q474"/>
          <cell r="R474"/>
          <cell r="S474"/>
          <cell r="T474"/>
          <cell r="U474"/>
          <cell r="V474"/>
          <cell r="W474"/>
          <cell r="X474"/>
          <cell r="Y474"/>
          <cell r="Z474"/>
          <cell r="AA474"/>
          <cell r="AB474"/>
          <cell r="AC474"/>
          <cell r="AD474"/>
          <cell r="AE474"/>
        </row>
        <row r="475">
          <cell r="G475"/>
          <cell r="H475"/>
          <cell r="I475"/>
          <cell r="J475"/>
          <cell r="K475"/>
          <cell r="L475"/>
          <cell r="M475"/>
          <cell r="N475"/>
          <cell r="O475"/>
          <cell r="P475"/>
          <cell r="Q475"/>
          <cell r="R475"/>
          <cell r="S475"/>
          <cell r="T475"/>
          <cell r="U475"/>
          <cell r="V475"/>
          <cell r="W475"/>
          <cell r="X475"/>
          <cell r="Y475"/>
          <cell r="Z475"/>
          <cell r="AA475"/>
          <cell r="AB475"/>
          <cell r="AC475"/>
          <cell r="AD475"/>
          <cell r="AE475"/>
        </row>
        <row r="476">
          <cell r="G476"/>
          <cell r="H476"/>
          <cell r="I476"/>
          <cell r="J476"/>
          <cell r="K476"/>
          <cell r="L476"/>
          <cell r="M476"/>
          <cell r="N476"/>
          <cell r="O476"/>
          <cell r="P476"/>
          <cell r="Q476"/>
          <cell r="R476"/>
          <cell r="S476"/>
          <cell r="T476"/>
          <cell r="U476"/>
          <cell r="V476"/>
          <cell r="W476"/>
          <cell r="X476"/>
          <cell r="Y476"/>
          <cell r="Z476"/>
          <cell r="AA476"/>
          <cell r="AB476"/>
          <cell r="AC476"/>
          <cell r="AD476"/>
          <cell r="AE476"/>
        </row>
        <row r="477">
          <cell r="G477"/>
          <cell r="H477"/>
          <cell r="I477"/>
          <cell r="J477"/>
          <cell r="K477"/>
          <cell r="L477"/>
          <cell r="M477"/>
          <cell r="N477"/>
          <cell r="O477"/>
          <cell r="P477"/>
          <cell r="Q477"/>
          <cell r="R477"/>
          <cell r="S477"/>
          <cell r="T477"/>
          <cell r="U477"/>
          <cell r="V477"/>
          <cell r="W477"/>
          <cell r="X477"/>
          <cell r="Y477"/>
          <cell r="Z477"/>
          <cell r="AA477"/>
          <cell r="AB477"/>
          <cell r="AC477"/>
          <cell r="AD477"/>
          <cell r="AE477"/>
        </row>
        <row r="478">
          <cell r="G478"/>
          <cell r="H478"/>
          <cell r="I478"/>
          <cell r="J478"/>
          <cell r="K478"/>
          <cell r="L478"/>
          <cell r="M478"/>
          <cell r="N478"/>
          <cell r="O478"/>
          <cell r="P478"/>
          <cell r="Q478"/>
          <cell r="R478"/>
          <cell r="S478"/>
          <cell r="T478"/>
          <cell r="U478"/>
          <cell r="V478"/>
          <cell r="W478"/>
          <cell r="X478"/>
          <cell r="Y478"/>
          <cell r="Z478"/>
          <cell r="AA478"/>
          <cell r="AB478"/>
          <cell r="AC478"/>
          <cell r="AD478"/>
          <cell r="AE478"/>
        </row>
        <row r="479">
          <cell r="G479"/>
          <cell r="H479"/>
          <cell r="I479"/>
          <cell r="J479"/>
          <cell r="K479"/>
          <cell r="L479"/>
          <cell r="M479"/>
          <cell r="N479"/>
          <cell r="O479"/>
          <cell r="P479"/>
          <cell r="Q479"/>
          <cell r="R479"/>
          <cell r="S479"/>
          <cell r="T479"/>
          <cell r="U479"/>
          <cell r="V479"/>
          <cell r="W479"/>
          <cell r="X479"/>
          <cell r="Y479"/>
          <cell r="Z479"/>
          <cell r="AA479"/>
          <cell r="AB479"/>
          <cell r="AC479"/>
          <cell r="AD479"/>
          <cell r="AE479"/>
        </row>
        <row r="480">
          <cell r="G480"/>
          <cell r="H480"/>
          <cell r="I480"/>
          <cell r="J480"/>
          <cell r="K480"/>
          <cell r="L480"/>
          <cell r="M480"/>
          <cell r="N480"/>
          <cell r="O480"/>
          <cell r="P480"/>
          <cell r="Q480"/>
          <cell r="R480"/>
          <cell r="S480"/>
          <cell r="T480"/>
          <cell r="U480"/>
          <cell r="V480"/>
          <cell r="W480"/>
          <cell r="X480"/>
          <cell r="Y480"/>
          <cell r="Z480"/>
          <cell r="AA480"/>
          <cell r="AB480"/>
          <cell r="AC480"/>
          <cell r="AD480"/>
          <cell r="AE480"/>
        </row>
        <row r="481">
          <cell r="G481"/>
          <cell r="H481"/>
          <cell r="I481"/>
          <cell r="J481"/>
          <cell r="K481"/>
          <cell r="L481"/>
          <cell r="M481"/>
          <cell r="N481"/>
          <cell r="O481"/>
          <cell r="P481"/>
          <cell r="Q481"/>
          <cell r="R481"/>
          <cell r="S481"/>
          <cell r="T481"/>
          <cell r="U481"/>
          <cell r="V481"/>
          <cell r="W481"/>
          <cell r="X481"/>
          <cell r="Y481"/>
          <cell r="Z481"/>
          <cell r="AA481"/>
          <cell r="AB481"/>
          <cell r="AC481"/>
          <cell r="AD481"/>
          <cell r="AE481"/>
        </row>
        <row r="482">
          <cell r="G482"/>
          <cell r="H482"/>
          <cell r="I482"/>
          <cell r="J482"/>
          <cell r="K482"/>
          <cell r="L482"/>
          <cell r="M482"/>
          <cell r="N482"/>
          <cell r="O482"/>
          <cell r="P482"/>
          <cell r="Q482"/>
          <cell r="R482"/>
          <cell r="S482"/>
          <cell r="T482"/>
          <cell r="U482"/>
          <cell r="V482"/>
          <cell r="W482"/>
          <cell r="X482"/>
          <cell r="Y482"/>
          <cell r="Z482"/>
          <cell r="AA482"/>
          <cell r="AB482"/>
          <cell r="AC482"/>
          <cell r="AD482"/>
          <cell r="AE482"/>
        </row>
        <row r="483">
          <cell r="G483"/>
          <cell r="H483"/>
          <cell r="I483"/>
          <cell r="J483"/>
          <cell r="K483"/>
          <cell r="L483"/>
          <cell r="M483"/>
          <cell r="N483"/>
          <cell r="O483"/>
          <cell r="P483"/>
          <cell r="Q483"/>
          <cell r="R483"/>
          <cell r="S483"/>
          <cell r="T483"/>
          <cell r="U483"/>
          <cell r="V483"/>
          <cell r="W483"/>
          <cell r="X483"/>
          <cell r="Y483"/>
          <cell r="Z483"/>
          <cell r="AA483"/>
          <cell r="AB483"/>
          <cell r="AC483"/>
          <cell r="AD483"/>
          <cell r="AE483"/>
        </row>
        <row r="484">
          <cell r="G484"/>
          <cell r="H484"/>
          <cell r="I484"/>
          <cell r="J484"/>
          <cell r="K484"/>
          <cell r="L484"/>
          <cell r="M484"/>
          <cell r="N484"/>
          <cell r="O484"/>
          <cell r="P484"/>
          <cell r="Q484"/>
          <cell r="R484"/>
          <cell r="S484"/>
          <cell r="T484"/>
          <cell r="U484"/>
          <cell r="V484"/>
          <cell r="W484"/>
          <cell r="X484"/>
          <cell r="Y484"/>
          <cell r="Z484"/>
          <cell r="AA484"/>
          <cell r="AB484"/>
          <cell r="AC484"/>
          <cell r="AD484"/>
          <cell r="AE484"/>
        </row>
        <row r="485">
          <cell r="G485"/>
          <cell r="H485"/>
          <cell r="I485"/>
          <cell r="J485"/>
          <cell r="K485"/>
          <cell r="L485"/>
          <cell r="M485"/>
          <cell r="N485"/>
          <cell r="O485"/>
          <cell r="P485"/>
          <cell r="Q485"/>
          <cell r="R485"/>
          <cell r="S485"/>
          <cell r="T485"/>
          <cell r="U485"/>
          <cell r="V485"/>
          <cell r="W485"/>
          <cell r="X485"/>
          <cell r="Y485"/>
          <cell r="Z485"/>
          <cell r="AA485"/>
          <cell r="AB485"/>
          <cell r="AC485"/>
          <cell r="AD485"/>
          <cell r="AE485"/>
        </row>
        <row r="486">
          <cell r="G486"/>
          <cell r="H486"/>
          <cell r="I486"/>
          <cell r="J486"/>
          <cell r="K486"/>
          <cell r="L486"/>
          <cell r="M486"/>
          <cell r="N486"/>
          <cell r="O486"/>
          <cell r="P486"/>
          <cell r="Q486"/>
          <cell r="R486"/>
          <cell r="S486"/>
          <cell r="T486"/>
          <cell r="U486"/>
          <cell r="V486"/>
          <cell r="W486"/>
          <cell r="X486"/>
          <cell r="Y486"/>
          <cell r="Z486"/>
          <cell r="AA486"/>
          <cell r="AB486"/>
          <cell r="AC486"/>
          <cell r="AD486"/>
          <cell r="AE486"/>
        </row>
        <row r="487">
          <cell r="G487"/>
          <cell r="H487"/>
          <cell r="I487"/>
          <cell r="J487"/>
          <cell r="K487"/>
          <cell r="L487"/>
          <cell r="M487"/>
          <cell r="N487"/>
          <cell r="O487"/>
          <cell r="P487"/>
          <cell r="Q487"/>
          <cell r="R487"/>
          <cell r="S487"/>
          <cell r="T487"/>
          <cell r="U487"/>
          <cell r="V487"/>
          <cell r="W487"/>
          <cell r="X487"/>
          <cell r="Y487"/>
          <cell r="Z487"/>
          <cell r="AA487"/>
          <cell r="AB487"/>
          <cell r="AC487"/>
          <cell r="AD487"/>
          <cell r="AE487"/>
        </row>
        <row r="488">
          <cell r="G488"/>
          <cell r="H488"/>
          <cell r="I488"/>
          <cell r="J488"/>
          <cell r="K488"/>
          <cell r="L488"/>
          <cell r="M488"/>
          <cell r="N488"/>
          <cell r="O488"/>
          <cell r="P488"/>
          <cell r="Q488"/>
          <cell r="R488"/>
          <cell r="S488"/>
          <cell r="T488"/>
          <cell r="U488"/>
          <cell r="V488"/>
          <cell r="W488"/>
          <cell r="X488"/>
          <cell r="Y488"/>
          <cell r="Z488"/>
          <cell r="AA488"/>
          <cell r="AB488"/>
          <cell r="AC488"/>
          <cell r="AD488"/>
          <cell r="AE488"/>
        </row>
        <row r="489">
          <cell r="G489"/>
          <cell r="H489"/>
          <cell r="I489"/>
          <cell r="J489"/>
          <cell r="K489"/>
          <cell r="L489"/>
          <cell r="M489"/>
          <cell r="N489"/>
          <cell r="O489"/>
          <cell r="P489"/>
          <cell r="Q489"/>
          <cell r="R489"/>
          <cell r="S489"/>
          <cell r="T489"/>
          <cell r="U489"/>
          <cell r="V489"/>
          <cell r="W489"/>
          <cell r="X489"/>
          <cell r="Y489"/>
          <cell r="Z489"/>
          <cell r="AA489"/>
          <cell r="AB489"/>
          <cell r="AC489"/>
          <cell r="AD489"/>
          <cell r="AE489"/>
        </row>
        <row r="490">
          <cell r="G490"/>
          <cell r="H490"/>
          <cell r="I490"/>
          <cell r="J490"/>
          <cell r="K490"/>
          <cell r="L490"/>
          <cell r="M490"/>
          <cell r="N490"/>
          <cell r="O490"/>
          <cell r="P490"/>
          <cell r="Q490"/>
          <cell r="R490"/>
          <cell r="S490"/>
          <cell r="T490"/>
          <cell r="U490"/>
          <cell r="V490"/>
          <cell r="W490"/>
          <cell r="X490"/>
          <cell r="Y490"/>
          <cell r="Z490"/>
          <cell r="AA490"/>
          <cell r="AB490"/>
          <cell r="AC490"/>
          <cell r="AD490"/>
          <cell r="AE490"/>
        </row>
        <row r="491">
          <cell r="G491"/>
          <cell r="H491"/>
          <cell r="I491"/>
          <cell r="J491"/>
          <cell r="K491"/>
          <cell r="L491"/>
          <cell r="M491"/>
          <cell r="N491"/>
          <cell r="O491"/>
          <cell r="P491"/>
          <cell r="Q491"/>
          <cell r="R491"/>
          <cell r="S491"/>
          <cell r="T491"/>
          <cell r="U491"/>
          <cell r="V491"/>
          <cell r="W491"/>
          <cell r="X491"/>
          <cell r="Y491"/>
          <cell r="Z491"/>
          <cell r="AA491"/>
          <cell r="AB491"/>
          <cell r="AC491"/>
          <cell r="AD491"/>
          <cell r="AE491"/>
        </row>
        <row r="492">
          <cell r="G492"/>
          <cell r="H492"/>
          <cell r="I492"/>
          <cell r="J492"/>
          <cell r="K492"/>
          <cell r="L492"/>
          <cell r="M492"/>
          <cell r="N492"/>
          <cell r="O492"/>
          <cell r="P492"/>
          <cell r="Q492"/>
          <cell r="R492"/>
          <cell r="S492"/>
          <cell r="T492"/>
          <cell r="U492"/>
          <cell r="V492"/>
          <cell r="W492"/>
          <cell r="X492"/>
          <cell r="Y492"/>
          <cell r="Z492"/>
          <cell r="AA492"/>
          <cell r="AB492"/>
          <cell r="AC492"/>
          <cell r="AD492"/>
          <cell r="AE492"/>
        </row>
        <row r="493">
          <cell r="G493"/>
          <cell r="H493"/>
          <cell r="I493"/>
          <cell r="J493"/>
          <cell r="K493"/>
          <cell r="L493"/>
          <cell r="M493"/>
          <cell r="N493"/>
          <cell r="O493"/>
          <cell r="P493"/>
          <cell r="Q493"/>
          <cell r="R493"/>
          <cell r="S493"/>
          <cell r="T493"/>
          <cell r="U493"/>
          <cell r="V493"/>
          <cell r="W493"/>
          <cell r="X493"/>
          <cell r="Y493"/>
          <cell r="Z493"/>
          <cell r="AA493"/>
          <cell r="AB493"/>
          <cell r="AC493"/>
          <cell r="AD493"/>
          <cell r="AE493"/>
        </row>
        <row r="494">
          <cell r="G494"/>
          <cell r="H494"/>
          <cell r="I494"/>
          <cell r="J494"/>
          <cell r="K494"/>
          <cell r="L494"/>
          <cell r="M494"/>
          <cell r="N494"/>
          <cell r="O494"/>
          <cell r="P494"/>
          <cell r="Q494"/>
          <cell r="R494"/>
          <cell r="S494"/>
          <cell r="T494"/>
          <cell r="U494"/>
          <cell r="V494"/>
          <cell r="W494"/>
          <cell r="X494"/>
          <cell r="Y494"/>
          <cell r="Z494"/>
          <cell r="AA494"/>
          <cell r="AB494"/>
          <cell r="AC494"/>
          <cell r="AD494"/>
          <cell r="AE494"/>
        </row>
        <row r="495">
          <cell r="G495"/>
          <cell r="H495"/>
          <cell r="I495"/>
          <cell r="J495"/>
          <cell r="K495"/>
          <cell r="L495"/>
          <cell r="M495"/>
          <cell r="N495"/>
          <cell r="O495"/>
          <cell r="P495"/>
          <cell r="Q495"/>
          <cell r="R495"/>
          <cell r="S495"/>
          <cell r="T495"/>
          <cell r="U495"/>
          <cell r="V495"/>
          <cell r="W495"/>
          <cell r="X495"/>
          <cell r="Y495"/>
          <cell r="Z495"/>
          <cell r="AA495"/>
          <cell r="AB495"/>
          <cell r="AC495"/>
          <cell r="AD495"/>
          <cell r="AE495"/>
        </row>
        <row r="496">
          <cell r="G496"/>
          <cell r="H496"/>
          <cell r="I496"/>
          <cell r="J496"/>
          <cell r="K496"/>
          <cell r="L496"/>
          <cell r="M496"/>
          <cell r="N496"/>
          <cell r="O496"/>
          <cell r="P496"/>
          <cell r="Q496"/>
          <cell r="R496"/>
          <cell r="S496"/>
          <cell r="T496"/>
          <cell r="U496"/>
          <cell r="V496"/>
          <cell r="W496"/>
          <cell r="X496"/>
          <cell r="Y496"/>
          <cell r="Z496"/>
          <cell r="AA496"/>
          <cell r="AB496"/>
          <cell r="AC496"/>
          <cell r="AD496"/>
          <cell r="AE496"/>
        </row>
        <row r="497">
          <cell r="G497"/>
          <cell r="H497"/>
          <cell r="I497"/>
          <cell r="J497"/>
          <cell r="K497"/>
          <cell r="L497"/>
          <cell r="M497"/>
          <cell r="N497"/>
          <cell r="O497"/>
          <cell r="P497"/>
          <cell r="Q497"/>
          <cell r="R497"/>
          <cell r="S497"/>
          <cell r="T497"/>
          <cell r="U497"/>
          <cell r="V497"/>
          <cell r="W497"/>
          <cell r="X497"/>
          <cell r="Y497"/>
          <cell r="Z497"/>
          <cell r="AA497"/>
          <cell r="AB497"/>
          <cell r="AC497"/>
          <cell r="AD497"/>
          <cell r="AE497"/>
        </row>
        <row r="498">
          <cell r="G498"/>
          <cell r="H498"/>
          <cell r="I498"/>
          <cell r="J498"/>
          <cell r="K498"/>
          <cell r="L498"/>
          <cell r="M498"/>
          <cell r="N498"/>
          <cell r="O498"/>
          <cell r="P498"/>
          <cell r="Q498"/>
          <cell r="R498"/>
          <cell r="S498"/>
          <cell r="T498"/>
          <cell r="U498"/>
          <cell r="V498"/>
          <cell r="W498"/>
          <cell r="X498"/>
          <cell r="Y498"/>
          <cell r="Z498"/>
          <cell r="AA498"/>
          <cell r="AB498"/>
          <cell r="AC498"/>
          <cell r="AD498"/>
          <cell r="AE498"/>
        </row>
        <row r="499">
          <cell r="G499"/>
          <cell r="H499"/>
          <cell r="I499"/>
          <cell r="J499"/>
          <cell r="K499"/>
          <cell r="L499"/>
          <cell r="M499"/>
          <cell r="N499"/>
          <cell r="O499"/>
          <cell r="P499"/>
          <cell r="Q499"/>
          <cell r="R499"/>
          <cell r="S499"/>
          <cell r="T499"/>
          <cell r="U499"/>
          <cell r="V499"/>
          <cell r="W499"/>
          <cell r="X499"/>
          <cell r="Y499"/>
          <cell r="Z499"/>
          <cell r="AA499"/>
          <cell r="AB499"/>
          <cell r="AC499"/>
          <cell r="AD499"/>
          <cell r="AE499"/>
        </row>
        <row r="500">
          <cell r="G500"/>
          <cell r="H500"/>
          <cell r="I500"/>
          <cell r="J500"/>
          <cell r="K500"/>
          <cell r="L500"/>
          <cell r="M500"/>
          <cell r="N500"/>
          <cell r="O500"/>
          <cell r="P500"/>
          <cell r="Q500"/>
          <cell r="R500"/>
          <cell r="S500"/>
          <cell r="T500"/>
          <cell r="U500"/>
          <cell r="V500"/>
          <cell r="W500"/>
          <cell r="X500"/>
          <cell r="Y500"/>
          <cell r="Z500"/>
          <cell r="AA500"/>
          <cell r="AB500"/>
          <cell r="AC500"/>
          <cell r="AD500"/>
          <cell r="AE500"/>
        </row>
      </sheetData>
      <sheetData sheetId="2"/>
      <sheetData sheetId="3"/>
      <sheetData sheetId="4"/>
      <sheetData sheetId="5"/>
      <sheetData sheetId="6"/>
      <sheetData sheetId="7"/>
      <sheetData sheetId="8"/>
      <sheetData sheetId="9"/>
      <sheetData sheetId="10"/>
      <sheetData sheetId="11"/>
      <sheetData sheetId="12"/>
      <sheetData sheetId="13">
        <row r="26">
          <cell r="C26" t="str">
            <v>Idaho</v>
          </cell>
          <cell r="D26"/>
          <cell r="E26"/>
          <cell r="F26"/>
          <cell r="G26"/>
          <cell r="H26"/>
          <cell r="I26"/>
          <cell r="J26"/>
          <cell r="K26"/>
          <cell r="L26"/>
          <cell r="M26"/>
          <cell r="N26"/>
          <cell r="O26"/>
          <cell r="P26"/>
          <cell r="Q26"/>
          <cell r="R26"/>
          <cell r="S26"/>
          <cell r="T26"/>
          <cell r="U26"/>
          <cell r="V26"/>
          <cell r="W26"/>
          <cell r="X26"/>
          <cell r="Y26"/>
          <cell r="Z26"/>
          <cell r="AA26"/>
          <cell r="AB26"/>
          <cell r="AC26"/>
          <cell r="AD26"/>
          <cell r="AE26"/>
          <cell r="AF26"/>
          <cell r="AG26"/>
          <cell r="AH26"/>
          <cell r="AI26">
            <v>0</v>
          </cell>
          <cell r="AJ26">
            <v>1.2504100211369894E-4</v>
          </cell>
          <cell r="AK26">
            <v>1.7375879514796466E-4</v>
          </cell>
          <cell r="AL26">
            <v>6.1210927779177624E-4</v>
          </cell>
          <cell r="AM26">
            <v>8.8127487458086599E-4</v>
          </cell>
          <cell r="AN26">
            <v>1.1201972174019578E-3</v>
          </cell>
          <cell r="AO26">
            <v>1.2717867360821197E-3</v>
          </cell>
          <cell r="AP26">
            <v>1.4404642508513471E-3</v>
          </cell>
          <cell r="AQ26">
            <v>1.5874396385228723E-3</v>
          </cell>
          <cell r="AR26">
            <v>1.7204636459112381E-3</v>
          </cell>
          <cell r="AS26">
            <v>1.8289050040785739E-3</v>
          </cell>
          <cell r="AT26">
            <v>1.9377539743383628E-3</v>
          </cell>
          <cell r="AU26">
            <v>2.0316119038316116E-3</v>
          </cell>
          <cell r="AV26">
            <v>2.128079506222659E-3</v>
          </cell>
          <cell r="AW26">
            <v>2.2126572758413075E-3</v>
          </cell>
          <cell r="AX26">
            <v>2.2578225416429688E-3</v>
          </cell>
          <cell r="AY26">
            <v>2.3464540176612314E-3</v>
          </cell>
          <cell r="AZ26">
            <v>2.414467009038601E-3</v>
          </cell>
          <cell r="BA26">
            <v>2.4848313911262653E-3</v>
          </cell>
          <cell r="BB26">
            <v>2.5344116000376449E-3</v>
          </cell>
        </row>
        <row r="27">
          <cell r="C27" t="str">
            <v>Montana</v>
          </cell>
          <cell r="D27"/>
          <cell r="E27"/>
          <cell r="F27"/>
          <cell r="G27"/>
          <cell r="H27"/>
          <cell r="I27"/>
          <cell r="J27"/>
          <cell r="K27"/>
          <cell r="L27"/>
          <cell r="M27"/>
          <cell r="N27"/>
          <cell r="O27"/>
          <cell r="P27"/>
          <cell r="Q27"/>
          <cell r="R27"/>
          <cell r="S27"/>
          <cell r="T27"/>
          <cell r="U27"/>
          <cell r="V27"/>
          <cell r="W27"/>
          <cell r="X27"/>
          <cell r="Y27"/>
          <cell r="Z27"/>
          <cell r="AA27"/>
          <cell r="AB27"/>
          <cell r="AC27"/>
          <cell r="AD27"/>
          <cell r="AE27"/>
          <cell r="AF27"/>
          <cell r="AG27"/>
          <cell r="AH27"/>
          <cell r="AI27">
            <v>0</v>
          </cell>
          <cell r="AJ27">
            <v>1.0848242299839954E-2</v>
          </cell>
          <cell r="AK27">
            <v>1.059267655252486E-2</v>
          </cell>
          <cell r="AL27">
            <v>1.0752312089181865E-2</v>
          </cell>
          <cell r="AM27">
            <v>1.075849831916186E-2</v>
          </cell>
          <cell r="AN27">
            <v>7.6567396067742733E-3</v>
          </cell>
          <cell r="AO27">
            <v>7.6532068711881581E-3</v>
          </cell>
          <cell r="AP27">
            <v>7.9235679867256659E-3</v>
          </cell>
          <cell r="AQ27">
            <v>8.1459053842477987E-3</v>
          </cell>
          <cell r="AR27">
            <v>8.331284422267278E-3</v>
          </cell>
          <cell r="AS27">
            <v>8.47135846405455E-3</v>
          </cell>
          <cell r="AT27">
            <v>8.5938864965773454E-3</v>
          </cell>
          <cell r="AU27">
            <v>8.6866032784890905E-3</v>
          </cell>
          <cell r="AV27">
            <v>8.7680800681235963E-3</v>
          </cell>
          <cell r="AW27">
            <v>8.8271867856936984E-3</v>
          </cell>
          <cell r="AX27">
            <v>8.8355566433926322E-3</v>
          </cell>
          <cell r="AY27">
            <v>8.8812025924713319E-3</v>
          </cell>
          <cell r="AZ27">
            <v>8.8979055290069331E-3</v>
          </cell>
          <cell r="BA27">
            <v>8.9118787925779024E-3</v>
          </cell>
          <cell r="BB27">
            <v>8.9015256915168112E-3</v>
          </cell>
        </row>
        <row r="28">
          <cell r="C28" t="str">
            <v>Oregon</v>
          </cell>
          <cell r="D28"/>
          <cell r="E28"/>
          <cell r="F28"/>
          <cell r="G28"/>
          <cell r="H28"/>
          <cell r="I28"/>
          <cell r="J28"/>
          <cell r="K28"/>
          <cell r="L28"/>
          <cell r="M28"/>
          <cell r="N28"/>
          <cell r="O28"/>
          <cell r="P28"/>
          <cell r="Q28"/>
          <cell r="R28"/>
          <cell r="S28"/>
          <cell r="T28"/>
          <cell r="U28"/>
          <cell r="V28"/>
          <cell r="W28"/>
          <cell r="X28"/>
          <cell r="Y28"/>
          <cell r="Z28"/>
          <cell r="AA28"/>
          <cell r="AB28"/>
          <cell r="AC28"/>
          <cell r="AD28"/>
          <cell r="AE28"/>
          <cell r="AF28"/>
          <cell r="AG28"/>
          <cell r="AH28"/>
          <cell r="AI28">
            <v>0</v>
          </cell>
          <cell r="AJ28">
            <v>1.0110842680911804E-2</v>
          </cell>
          <cell r="AK28">
            <v>1.0059217505089263E-2</v>
          </cell>
          <cell r="AL28">
            <v>1.1176866051223918E-2</v>
          </cell>
          <cell r="AM28">
            <v>1.9803102619340613E-2</v>
          </cell>
          <cell r="AN28">
            <v>1.2078828157499845E-2</v>
          </cell>
          <cell r="AO28">
            <v>1.2074917420983849E-2</v>
          </cell>
          <cell r="AP28">
            <v>1.2823009061012478E-2</v>
          </cell>
          <cell r="AQ28">
            <v>1.2064646132519813E-2</v>
          </cell>
          <cell r="AR28">
            <v>2.1359830411811859E-2</v>
          </cell>
          <cell r="AS28">
            <v>1.1864279678250279E-2</v>
          </cell>
          <cell r="AT28">
            <v>1.1811806122028052E-2</v>
          </cell>
          <cell r="AU28">
            <v>1.1060463245174785E-2</v>
          </cell>
          <cell r="AV28">
            <v>1.1689201211084101E-2</v>
          </cell>
          <cell r="AW28">
            <v>1.9623204602959039E-2</v>
          </cell>
          <cell r="AX28">
            <v>1.2054155221857031E-2</v>
          </cell>
          <cell r="AY28">
            <v>1.2615728823653952E-2</v>
          </cell>
          <cell r="AZ28">
            <v>1.2496481187089379E-2</v>
          </cell>
          <cell r="BA28">
            <v>1.1753415892541448E-2</v>
          </cell>
          <cell r="BB28">
            <v>2.0946064887122692E-2</v>
          </cell>
        </row>
        <row r="29">
          <cell r="C29" t="str">
            <v>Washington</v>
          </cell>
          <cell r="D29"/>
          <cell r="E29"/>
          <cell r="F29"/>
          <cell r="G29"/>
          <cell r="H29"/>
          <cell r="I29"/>
          <cell r="J29"/>
          <cell r="K29"/>
          <cell r="L29"/>
          <cell r="M29"/>
          <cell r="N29"/>
          <cell r="O29"/>
          <cell r="P29"/>
          <cell r="Q29"/>
          <cell r="R29"/>
          <cell r="S29"/>
          <cell r="T29"/>
          <cell r="U29"/>
          <cell r="V29"/>
          <cell r="W29"/>
          <cell r="X29"/>
          <cell r="Y29"/>
          <cell r="Z29"/>
          <cell r="AA29"/>
          <cell r="AB29"/>
          <cell r="AC29"/>
          <cell r="AD29"/>
          <cell r="AE29"/>
          <cell r="AF29"/>
          <cell r="AG29"/>
          <cell r="AH29"/>
          <cell r="AI29">
            <v>0</v>
          </cell>
          <cell r="AJ29">
            <v>1.0662122206220235E-2</v>
          </cell>
          <cell r="AK29">
            <v>1.0931258902780325E-2</v>
          </cell>
          <cell r="AL29">
            <v>1.1173761515183053E-2</v>
          </cell>
          <cell r="AM29">
            <v>1.811439906784525E-2</v>
          </cell>
          <cell r="AN29">
            <v>1.2399989211989764E-2</v>
          </cell>
          <cell r="AO29">
            <v>1.1939862954954953E-2</v>
          </cell>
          <cell r="AP29">
            <v>1.2288284859874222E-2</v>
          </cell>
          <cell r="AQ29">
            <v>1.1842226253476947E-2</v>
          </cell>
          <cell r="AR29">
            <v>1.9682157833762929E-2</v>
          </cell>
          <cell r="AS29">
            <v>1.1592234987503456E-2</v>
          </cell>
          <cell r="AT29">
            <v>1.1147844023716795E-2</v>
          </cell>
          <cell r="AU29">
            <v>1.1425985017752077E-2</v>
          </cell>
          <cell r="AV29">
            <v>1.0985810035676221E-2</v>
          </cell>
          <cell r="AW29">
            <v>1.7930228386922677E-2</v>
          </cell>
          <cell r="AX29">
            <v>1.1736355426763144E-2</v>
          </cell>
          <cell r="AY29">
            <v>1.1982095590114178E-2</v>
          </cell>
          <cell r="AZ29">
            <v>1.1862624139313738E-2</v>
          </cell>
          <cell r="BA29">
            <v>1.1418033334772959E-2</v>
          </cell>
          <cell r="BB29">
            <v>1.8838157687553127E-2</v>
          </cell>
        </row>
      </sheetData>
      <sheetData sheetId="14"/>
      <sheetData sheetId="15"/>
      <sheetData sheetId="16"/>
      <sheetData sheetId="17"/>
      <sheetData sheetId="18"/>
      <sheetData sheetId="19">
        <row r="157">
          <cell r="C157">
            <v>13431</v>
          </cell>
        </row>
      </sheetData>
      <sheetData sheetId="20"/>
      <sheetData sheetId="21"/>
      <sheetData sheetId="22"/>
      <sheetData sheetId="23"/>
      <sheetData sheetId="24"/>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FEAS"/>
      <sheetName val="BASE"/>
      <sheetName val="STOCK"/>
      <sheetName val="TURN"/>
      <sheetName val="ACHIEV"/>
      <sheetName val="CODE"/>
      <sheetName val="SATS"/>
      <sheetName val="Water Applied by Crop"/>
      <sheetName val="Water Use by Sprinklers"/>
      <sheetName val="Energy Expense"/>
      <sheetName val="Depth of Wells"/>
      <sheetName val="Water Use by All Methods"/>
      <sheetName val="Applic Acres"/>
      <sheetName val="Vars"/>
      <sheetName val="Labels"/>
      <sheetName val="Lookup"/>
      <sheetName val="UEC"/>
      <sheetName val="Tracking Status"/>
    </sheetNames>
    <sheetDataSet>
      <sheetData sheetId="0"/>
      <sheetData sheetId="1"/>
      <sheetData sheetId="2"/>
      <sheetData sheetId="3">
        <row r="4">
          <cell r="H4">
            <v>2035</v>
          </cell>
        </row>
      </sheetData>
      <sheetData sheetId="4">
        <row r="8">
          <cell r="B8" t="str">
            <v>Measure Index Name</v>
          </cell>
          <cell r="C8" t="str">
            <v>Idaho</v>
          </cell>
          <cell r="D8" t="str">
            <v>Montana</v>
          </cell>
          <cell r="E8" t="str">
            <v>Oregon</v>
          </cell>
          <cell r="F8" t="str">
            <v>Washington</v>
          </cell>
        </row>
        <row r="9">
          <cell r="B9" t="str">
            <v xml:space="preserve">Wheel/hand line systems: Replace worn nozzle with new flow controlling type nozzle for impact sprinklers </v>
          </cell>
          <cell r="C9">
            <v>0.30000000000000004</v>
          </cell>
          <cell r="D9">
            <v>0.30000000000000004</v>
          </cell>
          <cell r="E9">
            <v>0.30000000000000004</v>
          </cell>
          <cell r="F9">
            <v>0.30000000000000004</v>
          </cell>
        </row>
        <row r="10">
          <cell r="B10" t="str">
            <v xml:space="preserve">Wheel/hand line systems: Replace worn nozzle with new nozzle </v>
          </cell>
          <cell r="C10">
            <v>0.30000000000000004</v>
          </cell>
          <cell r="D10">
            <v>0.30000000000000004</v>
          </cell>
          <cell r="E10">
            <v>0.30000000000000004</v>
          </cell>
          <cell r="F10">
            <v>0.30000000000000004</v>
          </cell>
        </row>
        <row r="11">
          <cell r="B11" t="str">
            <v xml:space="preserve">Wheel/hand line systems: Rebuild or replace leaking impact sprinkler with new or rebuilt impact sprinkler </v>
          </cell>
          <cell r="C11">
            <v>0.30000000000000004</v>
          </cell>
          <cell r="D11">
            <v>0.30000000000000004</v>
          </cell>
          <cell r="E11">
            <v>0.30000000000000004</v>
          </cell>
          <cell r="F11">
            <v>0.30000000000000004</v>
          </cell>
        </row>
        <row r="12">
          <cell r="B12" t="str">
            <v xml:space="preserve">Wheel/hand line systems: Replace leaking gasket with new gasket </v>
          </cell>
          <cell r="C12">
            <v>0.30000000000000004</v>
          </cell>
          <cell r="D12">
            <v>0.30000000000000004</v>
          </cell>
          <cell r="E12">
            <v>0.30000000000000004</v>
          </cell>
          <cell r="F12">
            <v>0.30000000000000004</v>
          </cell>
        </row>
        <row r="13">
          <cell r="B13" t="str">
            <v xml:space="preserve">Wheel/hand line systems: Replace leaking drain with new drain </v>
          </cell>
          <cell r="C13">
            <v>0.30000000000000004</v>
          </cell>
          <cell r="D13">
            <v>0.30000000000000004</v>
          </cell>
          <cell r="E13">
            <v>0.30000000000000004</v>
          </cell>
          <cell r="F13">
            <v>0.30000000000000004</v>
          </cell>
        </row>
        <row r="14">
          <cell r="B14" t="str">
            <v xml:space="preserve">Wheel/hand line systems: Cut and pipe press repair of leaking hand-lines, wheel-lines, and portable main-lines </v>
          </cell>
          <cell r="C14">
            <v>0.30000000000000004</v>
          </cell>
          <cell r="D14">
            <v>0.30000000000000004</v>
          </cell>
          <cell r="E14">
            <v>0.30000000000000004</v>
          </cell>
          <cell r="F14">
            <v>0.30000000000000004</v>
          </cell>
        </row>
        <row r="15">
          <cell r="B15" t="str">
            <v xml:space="preserve">Thunderbird wheel line systems: Replace leaking hub with new hub </v>
          </cell>
          <cell r="C15">
            <v>0.30000000000000004</v>
          </cell>
          <cell r="D15">
            <v>0.30000000000000004</v>
          </cell>
          <cell r="E15">
            <v>0.30000000000000004</v>
          </cell>
          <cell r="F15">
            <v>0.30000000000000004</v>
          </cell>
        </row>
        <row r="16">
          <cell r="B16" t="str">
            <v xml:space="preserve">Wheel line systems: Rebuild or replace leaking or malfunctioning leveler with new or rebuilt leveler. </v>
          </cell>
          <cell r="C16">
            <v>0.30000000000000004</v>
          </cell>
          <cell r="D16">
            <v>0.30000000000000004</v>
          </cell>
          <cell r="E16">
            <v>0.30000000000000004</v>
          </cell>
          <cell r="F16">
            <v>0.30000000000000004</v>
          </cell>
        </row>
        <row r="17">
          <cell r="B17" t="str">
            <v xml:space="preserve">Center pivot/linear move systems: Install new sprinkler package on an existing system. </v>
          </cell>
          <cell r="C17">
            <v>0.30000000000000004</v>
          </cell>
          <cell r="D17">
            <v>0.30000000000000004</v>
          </cell>
          <cell r="E17">
            <v>0.30000000000000004</v>
          </cell>
          <cell r="F17">
            <v>0.30000000000000004</v>
          </cell>
        </row>
        <row r="18">
          <cell r="B18" t="str">
            <v xml:space="preserve">Center pivot/linear move systems: New gooseneck elbows </v>
          </cell>
          <cell r="C18">
            <v>0.30000000000000004</v>
          </cell>
          <cell r="D18">
            <v>0.30000000000000004</v>
          </cell>
          <cell r="E18">
            <v>0.30000000000000004</v>
          </cell>
          <cell r="F18">
            <v>0.30000000000000004</v>
          </cell>
        </row>
        <row r="19">
          <cell r="B19" t="str">
            <v xml:space="preserve">Center pivot/linear move systems: New drop tubes (3 feet minimum) </v>
          </cell>
          <cell r="C19">
            <v>0.30000000000000004</v>
          </cell>
          <cell r="D19">
            <v>0.30000000000000004</v>
          </cell>
          <cell r="E19">
            <v>0.30000000000000004</v>
          </cell>
          <cell r="F19">
            <v>0.30000000000000004</v>
          </cell>
        </row>
        <row r="20">
          <cell r="B20" t="str">
            <v xml:space="preserve">Center pivot/linear move systems: Replace leaking pivot boot gasket with new pivot boot gasket </v>
          </cell>
          <cell r="C20">
            <v>0.30000000000000004</v>
          </cell>
          <cell r="D20">
            <v>0.30000000000000004</v>
          </cell>
          <cell r="E20">
            <v>0.30000000000000004</v>
          </cell>
          <cell r="F20">
            <v>0.30000000000000004</v>
          </cell>
        </row>
        <row r="21">
          <cell r="B21" t="str">
            <v xml:space="preserve">Center pivot/linear move systems: Replace leaking tower gasket with new tower gasket </v>
          </cell>
          <cell r="C21">
            <v>0.30000000000000004</v>
          </cell>
          <cell r="D21">
            <v>0.30000000000000004</v>
          </cell>
          <cell r="E21">
            <v>0.30000000000000004</v>
          </cell>
          <cell r="F21">
            <v>0.30000000000000004</v>
          </cell>
        </row>
        <row r="22">
          <cell r="B22" t="str">
            <v>Convert Medium Pressure Center Pivot to Low pressure system</v>
          </cell>
          <cell r="C22">
            <v>0.19500000000000003</v>
          </cell>
          <cell r="D22">
            <v>0.19500000000000003</v>
          </cell>
          <cell r="E22">
            <v>0.19500000000000003</v>
          </cell>
          <cell r="F22">
            <v>0.19500000000000003</v>
          </cell>
        </row>
        <row r="23">
          <cell r="B23" t="str">
            <v>Convert High Pressure Center Pivot to Low pressure system</v>
          </cell>
          <cell r="C23">
            <v>0.255</v>
          </cell>
          <cell r="D23">
            <v>0.255</v>
          </cell>
          <cell r="E23">
            <v>0.255</v>
          </cell>
          <cell r="F23">
            <v>0.255</v>
          </cell>
        </row>
        <row r="24">
          <cell r="B24" t="str">
            <v>Convert wheel line systems to low pressure systems on alfalfa acreage</v>
          </cell>
          <cell r="C24">
            <v>0.10500000000000001</v>
          </cell>
          <cell r="D24">
            <v>0.10500000000000001</v>
          </cell>
          <cell r="E24">
            <v>0.10500000000000001</v>
          </cell>
          <cell r="F24">
            <v>0.10500000000000001</v>
          </cell>
        </row>
        <row r="25">
          <cell r="B25" t="str">
            <v>Convert hand line systems to low pressure systems on alfalfa acreage</v>
          </cell>
          <cell r="C25">
            <v>0.10500000000000001</v>
          </cell>
          <cell r="D25">
            <v>0.10500000000000001</v>
          </cell>
          <cell r="E25">
            <v>0.10500000000000001</v>
          </cell>
          <cell r="F25">
            <v>0.10500000000000001</v>
          </cell>
        </row>
        <row r="26">
          <cell r="B26" t="str">
            <v>SIS</v>
          </cell>
          <cell r="C26">
            <v>0.85</v>
          </cell>
          <cell r="D26">
            <v>0.85</v>
          </cell>
          <cell r="E26">
            <v>0.85</v>
          </cell>
          <cell r="F26">
            <v>0.85</v>
          </cell>
        </row>
        <row r="27">
          <cell r="B27" t="str">
            <v>LESA</v>
          </cell>
          <cell r="C27">
            <v>0.29699999999999999</v>
          </cell>
          <cell r="D27">
            <v>0.29699999999999999</v>
          </cell>
          <cell r="E27">
            <v>0.29699999999999999</v>
          </cell>
          <cell r="F27">
            <v>0.29699999999999999</v>
          </cell>
        </row>
        <row r="28">
          <cell r="B28" t="str">
            <v>Motor Rewind</v>
          </cell>
          <cell r="C28">
            <v>0.51800000000000002</v>
          </cell>
          <cell r="D28">
            <v>0.51800000000000002</v>
          </cell>
          <cell r="E28">
            <v>0.51800000000000002</v>
          </cell>
          <cell r="F28">
            <v>0.51800000000000002</v>
          </cell>
        </row>
        <row r="29">
          <cell r="B29" t="str">
            <v>Install VSD on Irrigation Pump</v>
          </cell>
          <cell r="C29">
            <v>0.63</v>
          </cell>
          <cell r="D29">
            <v>0.63</v>
          </cell>
          <cell r="E29">
            <v>0.63</v>
          </cell>
          <cell r="F29">
            <v>0.63</v>
          </cell>
        </row>
        <row r="30">
          <cell r="B30" t="str">
            <v>VSD - Vacuum Pump - FreeStall</v>
          </cell>
          <cell r="C30">
            <v>2.5000000000000022E-3</v>
          </cell>
          <cell r="D30">
            <v>2.5000000000000022E-3</v>
          </cell>
          <cell r="E30">
            <v>2.5000000000000022E-3</v>
          </cell>
          <cell r="F30">
            <v>2.5000000000000022E-3</v>
          </cell>
        </row>
        <row r="31">
          <cell r="B31" t="str">
            <v>Plate Milk Pre-cooler - FreeStall</v>
          </cell>
          <cell r="C31">
            <v>4.7500000000000042E-2</v>
          </cell>
          <cell r="D31">
            <v>4.7500000000000042E-2</v>
          </cell>
          <cell r="E31">
            <v>4.7500000000000042E-2</v>
          </cell>
          <cell r="F31">
            <v>4.7500000000000042E-2</v>
          </cell>
        </row>
        <row r="32">
          <cell r="B32" t="str">
            <v>Energy Efficient Lighting - FreeStall</v>
          </cell>
          <cell r="C32">
            <v>0.22596247328595939</v>
          </cell>
          <cell r="D32">
            <v>0.22596247328595939</v>
          </cell>
          <cell r="E32">
            <v>0.22596247328595939</v>
          </cell>
          <cell r="F32">
            <v>0.22596247328595939</v>
          </cell>
        </row>
        <row r="33">
          <cell r="B33" t="str">
            <v>VSD - Vacuum Pump - TieStall</v>
          </cell>
          <cell r="C33">
            <v>0.1604247304551811</v>
          </cell>
          <cell r="D33">
            <v>0.1604247304551811</v>
          </cell>
          <cell r="E33">
            <v>0.1604247304551811</v>
          </cell>
          <cell r="F33">
            <v>0.1604247304551811</v>
          </cell>
        </row>
        <row r="34">
          <cell r="B34" t="str">
            <v>Heat Recovery Refrigeration - TieStall</v>
          </cell>
          <cell r="C34">
            <v>0.84147877475526689</v>
          </cell>
          <cell r="D34">
            <v>0.84147877475526689</v>
          </cell>
          <cell r="E34">
            <v>0.84147877475526689</v>
          </cell>
          <cell r="F34">
            <v>0.84147877475526689</v>
          </cell>
        </row>
        <row r="35">
          <cell r="B35" t="str">
            <v>Plate Milk Pre-Cooler - TieStall</v>
          </cell>
          <cell r="C35">
            <v>0.539760454730004</v>
          </cell>
          <cell r="D35">
            <v>0.539760454730004</v>
          </cell>
          <cell r="E35">
            <v>0.539760454730004</v>
          </cell>
          <cell r="F35">
            <v>0.539760454730004</v>
          </cell>
        </row>
        <row r="36">
          <cell r="B36" t="str">
            <v>Energy Efficient Lighting - TieStall</v>
          </cell>
          <cell r="C36">
            <v>7.1883204763838152E-2</v>
          </cell>
          <cell r="D36">
            <v>7.1883204763838152E-2</v>
          </cell>
          <cell r="E36">
            <v>7.1883204763838152E-2</v>
          </cell>
          <cell r="F36">
            <v>7.1883204763838152E-2</v>
          </cell>
        </row>
        <row r="37">
          <cell r="B37" t="str">
            <v>35-44W LED fixture &amp; NEW Photocell_Replacing_175W MH fixture</v>
          </cell>
          <cell r="C37">
            <v>0.18000000000000002</v>
          </cell>
          <cell r="D37">
            <v>0.18000000000000002</v>
          </cell>
          <cell r="E37">
            <v>0.18000000000000002</v>
          </cell>
          <cell r="F37">
            <v>0.18000000000000002</v>
          </cell>
        </row>
        <row r="38">
          <cell r="B38" t="str">
            <v>35-44W LED fixture &amp; NEW Photocell_Replacing_150W HID fixture</v>
          </cell>
          <cell r="C38">
            <v>0.18000000000000002</v>
          </cell>
          <cell r="D38">
            <v>0.18000000000000002</v>
          </cell>
          <cell r="E38">
            <v>0.18000000000000002</v>
          </cell>
          <cell r="F38">
            <v>0.18000000000000002</v>
          </cell>
        </row>
        <row r="39">
          <cell r="B39" t="str">
            <v>35-44W LED fixture &amp; NEW Photocell_Replacing_100W HID fixture</v>
          </cell>
          <cell r="C39">
            <v>0.18000000000000002</v>
          </cell>
          <cell r="D39">
            <v>0.18000000000000002</v>
          </cell>
          <cell r="E39">
            <v>0.18000000000000002</v>
          </cell>
          <cell r="F39">
            <v>0.18000000000000002</v>
          </cell>
        </row>
        <row r="40">
          <cell r="B40" t="str">
            <v>35-44W LED fixture &amp; NEW Photocell_Replacing_175W MV fixture</v>
          </cell>
          <cell r="C40">
            <v>0.18000000000000002</v>
          </cell>
          <cell r="D40">
            <v>0.18000000000000002</v>
          </cell>
          <cell r="E40">
            <v>0.18000000000000002</v>
          </cell>
          <cell r="F40">
            <v>0.18000000000000002</v>
          </cell>
        </row>
        <row r="41">
          <cell r="B41" t="str">
            <v>35-44W LED fixture &amp; NEW Photocell_Replacing_200W HID fixture</v>
          </cell>
          <cell r="C41">
            <v>0.18000000000000002</v>
          </cell>
          <cell r="D41">
            <v>0.18000000000000002</v>
          </cell>
          <cell r="E41">
            <v>0.18000000000000002</v>
          </cell>
          <cell r="F41">
            <v>0.18000000000000002</v>
          </cell>
        </row>
      </sheetData>
      <sheetData sheetId="5"/>
      <sheetData sheetId="6"/>
      <sheetData sheetId="7"/>
      <sheetData sheetId="8"/>
      <sheetData sheetId="9">
        <row r="10">
          <cell r="C10" t="str">
            <v>Retro5Med</v>
          </cell>
          <cell r="D10">
            <v>4.2999999999999997E-2</v>
          </cell>
          <cell r="E10">
            <v>5.279714228027832E-2</v>
          </cell>
          <cell r="F10">
            <v>6.4608251467478173E-2</v>
          </cell>
          <cell r="G10">
            <v>7.4999999999999997E-2</v>
          </cell>
          <cell r="H10">
            <v>8.5546997470333563E-2</v>
          </cell>
          <cell r="I10">
            <v>0.10001472303820647</v>
          </cell>
          <cell r="J10">
            <v>0.10971770435235073</v>
          </cell>
          <cell r="K10">
            <v>0.11208438511970376</v>
          </cell>
          <cell r="L10">
            <v>0.10562608162722853</v>
          </cell>
          <cell r="M10">
            <v>9.0794563997872335E-2</v>
          </cell>
          <cell r="N10">
            <v>7.0260666991849297E-2</v>
          </cell>
          <cell r="O10">
            <v>4.8218360404944538E-2</v>
          </cell>
          <cell r="P10">
            <v>2.8854234614640095E-2</v>
          </cell>
          <cell r="Q10">
            <v>1.4773964924806759E-2</v>
          </cell>
          <cell r="R10">
            <v>6.3385343681182649E-3</v>
          </cell>
          <cell r="S10">
            <v>2.2268577196306039E-3</v>
          </cell>
          <cell r="T10">
            <v>6.2471001963848583E-4</v>
          </cell>
          <cell r="U10">
            <v>1.3615841889635938E-4</v>
          </cell>
          <cell r="V10">
            <v>2.2380636622298944E-5</v>
          </cell>
          <cell r="W10">
            <v>2.68643837586513E-6</v>
          </cell>
        </row>
        <row r="11">
          <cell r="C11" t="str">
            <v>Retro1Slow</v>
          </cell>
          <cell r="D11">
            <v>2.5643970768378654E-3</v>
          </cell>
          <cell r="E11">
            <v>5.1260615529385989E-3</v>
          </cell>
          <cell r="F11">
            <v>9.1015544176433795E-3</v>
          </cell>
          <cell r="G11">
            <v>1.4804925730045659E-2</v>
          </cell>
          <cell r="H11">
            <v>2.2471809420486211E-2</v>
          </cell>
          <cell r="I11">
            <v>3.2184432813882391E-2</v>
          </cell>
          <cell r="J11">
            <v>4.3779667172004086E-2</v>
          </cell>
          <cell r="K11">
            <v>5.675426075474499E-2</v>
          </cell>
          <cell r="L11">
            <v>7.0195239068707532E-2</v>
          </cell>
          <cell r="M11">
            <v>8.2776861842756788E-2</v>
          </cell>
          <cell r="N11">
            <v>9.2870259507494834E-2</v>
          </cell>
          <cell r="O11">
            <v>9.8796470678915727E-2</v>
          </cell>
          <cell r="P11">
            <v>9.9208932889988999E-2</v>
          </cell>
          <cell r="Q11">
            <v>9.3521150494244254E-2</v>
          </cell>
          <cell r="R11">
            <v>8.2226007896862296E-2</v>
          </cell>
          <cell r="S11">
            <v>6.6933566027365665E-2</v>
          </cell>
          <cell r="T11">
            <v>5.0029565143448806E-2</v>
          </cell>
          <cell r="U11">
            <v>3.402486521893211E-2</v>
          </cell>
          <cell r="V11">
            <v>2.0846059340774659E-2</v>
          </cell>
          <cell r="W11">
            <v>0.01</v>
          </cell>
        </row>
        <row r="12">
          <cell r="C12" t="str">
            <v>Retro50Fast</v>
          </cell>
          <cell r="D12">
            <v>0.45</v>
          </cell>
          <cell r="E12">
            <v>0.21</v>
          </cell>
          <cell r="F12">
            <v>0.14000000000000001</v>
          </cell>
          <cell r="G12">
            <v>0.09</v>
          </cell>
          <cell r="H12">
            <v>5.9540362609726505E-2</v>
          </cell>
          <cell r="I12">
            <v>2.9770181304863419E-2</v>
          </cell>
          <cell r="J12">
            <v>1.3231191691050248E-2</v>
          </cell>
          <cell r="K12">
            <v>5.2924766764202991E-3</v>
          </cell>
          <cell r="L12">
            <v>1.9245369732436846E-3</v>
          </cell>
          <cell r="M12">
            <v>6.415123244144505E-4</v>
          </cell>
          <cell r="N12">
            <v>1.9738840751215569E-4</v>
          </cell>
          <cell r="O12">
            <v>5.6396687860615913E-5</v>
          </cell>
          <cell r="P12">
            <v>1.5039116763038152E-5</v>
          </cell>
          <cell r="Q12">
            <v>3.7597791905374933E-6</v>
          </cell>
          <cell r="R12">
            <v>8.8465392733549919E-7</v>
          </cell>
          <cell r="S12">
            <v>1.9658976146974538E-7</v>
          </cell>
          <cell r="T12">
            <v>4.13873183502389E-8</v>
          </cell>
          <cell r="U12">
            <v>8.2774636034343985E-9</v>
          </cell>
          <cell r="V12">
            <v>1.5766598027155965E-9</v>
          </cell>
          <cell r="W12">
            <v>2.8666535811794347E-10</v>
          </cell>
        </row>
        <row r="13">
          <cell r="C13" t="str">
            <v>Retro20Fast</v>
          </cell>
          <cell r="D13">
            <v>0.22119921692859512</v>
          </cell>
          <cell r="E13">
            <v>0.15504311102289431</v>
          </cell>
          <cell r="F13">
            <v>0.10733128557729499</v>
          </cell>
          <cell r="G13">
            <v>8.3589689255657879E-2</v>
          </cell>
          <cell r="H13">
            <v>7.3237179880126971E-2</v>
          </cell>
          <cell r="I13">
            <v>6.3374636711760357E-2</v>
          </cell>
          <cell r="J13">
            <v>5.4291838367783084E-2</v>
          </cell>
          <cell r="K13">
            <v>4.612639225659896E-2</v>
          </cell>
          <cell r="L13">
            <v>3.8916876277172864E-2</v>
          </cell>
          <cell r="M13">
            <v>3.2639916313151704E-2</v>
          </cell>
          <cell r="N13">
            <v>2.7235706125786907E-2</v>
          </cell>
          <cell r="O13">
            <v>2.1211189258265428E-2</v>
          </cell>
          <cell r="P13">
            <v>1.6519290804212883E-2</v>
          </cell>
          <cell r="Q13">
            <v>1.2865236614105324E-2</v>
          </cell>
          <cell r="R13">
            <v>1.0019456349464106E-2</v>
          </cell>
          <cell r="S13">
            <v>7.8031604509122832E-3</v>
          </cell>
          <cell r="T13">
            <v>6.077107469602494E-3</v>
          </cell>
          <cell r="U13">
            <v>4.7328560561354371E-3</v>
          </cell>
          <cell r="V13">
            <v>3.6859520026825132E-3</v>
          </cell>
          <cell r="W13">
            <v>2.8706223060526725E-3</v>
          </cell>
        </row>
        <row r="14">
          <cell r="C14" t="str">
            <v>RetroEven20</v>
          </cell>
          <cell r="D14">
            <v>0.05</v>
          </cell>
          <cell r="E14">
            <v>0.05</v>
          </cell>
          <cell r="F14">
            <v>0.05</v>
          </cell>
          <cell r="G14">
            <v>0.05</v>
          </cell>
          <cell r="H14">
            <v>0.05</v>
          </cell>
          <cell r="I14">
            <v>0.05</v>
          </cell>
          <cell r="J14">
            <v>0.05</v>
          </cell>
          <cell r="K14">
            <v>0.05</v>
          </cell>
          <cell r="L14">
            <v>0.05</v>
          </cell>
          <cell r="M14">
            <v>0.05</v>
          </cell>
          <cell r="N14">
            <v>0.05</v>
          </cell>
          <cell r="O14">
            <v>0.05</v>
          </cell>
          <cell r="P14">
            <v>0.05</v>
          </cell>
          <cell r="Q14">
            <v>0.05</v>
          </cell>
          <cell r="R14">
            <v>0.05</v>
          </cell>
          <cell r="S14">
            <v>0.05</v>
          </cell>
          <cell r="T14">
            <v>0.05</v>
          </cell>
          <cell r="U14">
            <v>0.05</v>
          </cell>
          <cell r="V14">
            <v>0.05</v>
          </cell>
          <cell r="W14">
            <v>0.05</v>
          </cell>
        </row>
        <row r="15">
          <cell r="C15" t="str">
            <v>RetroMax60</v>
          </cell>
          <cell r="D15">
            <v>0.01</v>
          </cell>
          <cell r="E15">
            <v>1.9799999999999998E-2</v>
          </cell>
          <cell r="F15">
            <v>2.9106E-2</v>
          </cell>
          <cell r="G15">
            <v>3.7643759999999998E-2</v>
          </cell>
          <cell r="H15">
            <v>4.5172511999999984E-2</v>
          </cell>
          <cell r="I15">
            <v>4.8635737920000005E-2</v>
          </cell>
          <cell r="J15">
            <v>4.587971277120001E-2</v>
          </cell>
          <cell r="K15">
            <v>4.3279862380832007E-2</v>
          </cell>
          <cell r="L15">
            <v>4.0827336845918161E-2</v>
          </cell>
          <cell r="M15">
            <v>3.8513787757982809E-2</v>
          </cell>
          <cell r="N15">
            <v>3.6331339785030448E-2</v>
          </cell>
          <cell r="O15">
            <v>3.4272563863878724E-2</v>
          </cell>
          <cell r="P15">
            <v>3.2330451911592284E-2</v>
          </cell>
          <cell r="Q15">
            <v>3.0498392969935395E-2</v>
          </cell>
          <cell r="R15">
            <v>2.8770150701639075E-2</v>
          </cell>
          <cell r="S15">
            <v>2.7139842161879479E-2</v>
          </cell>
          <cell r="T15">
            <v>2.5601917772706373E-2</v>
          </cell>
          <cell r="U15">
            <v>2.4151142432252914E-2</v>
          </cell>
          <cell r="V15">
            <v>2.2782577694425266E-2</v>
          </cell>
          <cell r="W15">
            <v>2.1491564958407872E-2</v>
          </cell>
        </row>
        <row r="16">
          <cell r="C16" t="str">
            <v>Retro3Slow</v>
          </cell>
          <cell r="D16">
            <v>5.5320496977002724E-3</v>
          </cell>
          <cell r="E16">
            <v>8.6958686465615706E-3</v>
          </cell>
          <cell r="F16">
            <v>1.7391737293123145E-2</v>
          </cell>
          <cell r="G16">
            <v>3.0435540262965514E-2</v>
          </cell>
          <cell r="H16">
            <v>4.7344173742390784E-2</v>
          </cell>
          <cell r="I16">
            <v>6.6281843239347063E-2</v>
          </cell>
          <cell r="J16">
            <v>8.4358709577350838E-2</v>
          </cell>
          <cell r="K16">
            <v>9.8418494506909315E-2</v>
          </cell>
          <cell r="L16">
            <v>0.10598914793051767</v>
          </cell>
          <cell r="M16">
            <v>0.10598914793051767</v>
          </cell>
          <cell r="N16">
            <v>9.8923204735149928E-2</v>
          </cell>
          <cell r="O16">
            <v>8.655780414325609E-2</v>
          </cell>
          <cell r="P16">
            <v>7.1282897529740263E-2</v>
          </cell>
          <cell r="Q16">
            <v>5.5442253634242489E-2</v>
          </cell>
          <cell r="R16">
            <v>4.0852186888389319E-2</v>
          </cell>
          <cell r="S16">
            <v>2.8596530821872412E-2</v>
          </cell>
          <cell r="T16">
            <v>1.9064353881248275E-2</v>
          </cell>
          <cell r="U16">
            <v>1.2131861560794377E-2</v>
          </cell>
          <cell r="V16">
            <v>7.3846113848314854E-3</v>
          </cell>
          <cell r="W16">
            <v>4.3076899744848296E-3</v>
          </cell>
        </row>
        <row r="18">
          <cell r="B18" t="str">
            <v>Measure Index Name</v>
          </cell>
          <cell r="C18" t="str">
            <v>Ramp</v>
          </cell>
          <cell r="D18">
            <v>2016</v>
          </cell>
          <cell r="E18">
            <v>2017</v>
          </cell>
          <cell r="F18">
            <v>2018</v>
          </cell>
          <cell r="G18">
            <v>2019</v>
          </cell>
          <cell r="H18">
            <v>2020</v>
          </cell>
          <cell r="I18">
            <v>2021</v>
          </cell>
          <cell r="J18">
            <v>2022</v>
          </cell>
          <cell r="K18">
            <v>2023</v>
          </cell>
          <cell r="L18">
            <v>2024</v>
          </cell>
          <cell r="M18">
            <v>2025</v>
          </cell>
          <cell r="N18">
            <v>2026</v>
          </cell>
          <cell r="O18">
            <v>2027</v>
          </cell>
          <cell r="P18">
            <v>2028</v>
          </cell>
          <cell r="Q18">
            <v>2029</v>
          </cell>
          <cell r="R18">
            <v>2030</v>
          </cell>
          <cell r="S18">
            <v>2031</v>
          </cell>
          <cell r="T18">
            <v>2032</v>
          </cell>
          <cell r="U18">
            <v>2033</v>
          </cell>
          <cell r="V18">
            <v>2034</v>
          </cell>
          <cell r="W18">
            <v>2035</v>
          </cell>
        </row>
        <row r="19">
          <cell r="A19" t="str">
            <v>Irrigation</v>
          </cell>
          <cell r="B19" t="str">
            <v>Irrigation Hardware - Retro</v>
          </cell>
          <cell r="C19" t="str">
            <v>Retro12Med</v>
          </cell>
          <cell r="D19">
            <v>0.10937459468255628</v>
          </cell>
          <cell r="E19">
            <v>0.10937459468255628</v>
          </cell>
          <cell r="F19">
            <v>0.10937459468255628</v>
          </cell>
          <cell r="G19">
            <v>0.10937459468255628</v>
          </cell>
          <cell r="H19">
            <v>0.10937459468255628</v>
          </cell>
          <cell r="I19">
            <v>9.8437135214300656E-2</v>
          </cell>
          <cell r="J19">
            <v>7.874970817144053E-2</v>
          </cell>
          <cell r="K19">
            <v>6.2999766537152418E-2</v>
          </cell>
          <cell r="L19">
            <v>5.0399813229721938E-2</v>
          </cell>
          <cell r="M19">
            <v>4.0319850583777551E-2</v>
          </cell>
          <cell r="N19">
            <v>3.225588046702204E-2</v>
          </cell>
          <cell r="O19">
            <v>2.5804704373617631E-2</v>
          </cell>
          <cell r="P19">
            <v>2.0643763498894106E-2</v>
          </cell>
          <cell r="Q19">
            <v>1.6515010799115284E-2</v>
          </cell>
          <cell r="R19">
            <v>1.3212008639292228E-2</v>
          </cell>
          <cell r="S19">
            <v>1.0569606911433781E-2</v>
          </cell>
          <cell r="T19">
            <v>7.2092823794611682E-5</v>
          </cell>
          <cell r="U19">
            <v>2.5747437069512102E-5</v>
          </cell>
          <cell r="V19">
            <v>8.7775353646568632E-6</v>
          </cell>
          <cell r="W19">
            <v>2.8622397928446119E-6</v>
          </cell>
        </row>
        <row r="20">
          <cell r="A20" t="str">
            <v>Refrigeration</v>
          </cell>
          <cell r="B20" t="str">
            <v>Dairy - Retro</v>
          </cell>
          <cell r="C20" t="str">
            <v>Retro5Med</v>
          </cell>
          <cell r="D20">
            <v>4.2999999999999997E-2</v>
          </cell>
          <cell r="E20">
            <v>5.279714228027832E-2</v>
          </cell>
          <cell r="F20">
            <v>6.4608251467478173E-2</v>
          </cell>
          <cell r="G20">
            <v>7.4999999999999997E-2</v>
          </cell>
          <cell r="H20">
            <v>8.5546997470333563E-2</v>
          </cell>
          <cell r="I20">
            <v>0.10001472303820647</v>
          </cell>
          <cell r="J20">
            <v>0.10971770435235073</v>
          </cell>
          <cell r="K20">
            <v>0.11208438511970376</v>
          </cell>
          <cell r="L20">
            <v>0.10562608162722853</v>
          </cell>
          <cell r="M20">
            <v>9.0794563997872335E-2</v>
          </cell>
          <cell r="N20">
            <v>7.0260666991849297E-2</v>
          </cell>
          <cell r="O20">
            <v>4.8218360404944538E-2</v>
          </cell>
          <cell r="P20">
            <v>2.8854234614640095E-2</v>
          </cell>
          <cell r="Q20">
            <v>1.4773964924806759E-2</v>
          </cell>
          <cell r="R20">
            <v>6.3385343681182649E-3</v>
          </cell>
          <cell r="S20">
            <v>2.2268577196306039E-3</v>
          </cell>
          <cell r="T20">
            <v>6.2471001963848583E-4</v>
          </cell>
          <cell r="U20">
            <v>1.3615841889635938E-4</v>
          </cell>
          <cell r="V20">
            <v>2.2380636622298944E-5</v>
          </cell>
          <cell r="W20">
            <v>2.68643837586513E-6</v>
          </cell>
        </row>
        <row r="21">
          <cell r="A21" t="str">
            <v>Lighting</v>
          </cell>
          <cell r="B21" t="str">
            <v>Lighting - Retro</v>
          </cell>
          <cell r="C21" t="str">
            <v>Retro20Fast</v>
          </cell>
          <cell r="D21">
            <v>0.22119921692859512</v>
          </cell>
          <cell r="E21">
            <v>0.15504311102289431</v>
          </cell>
          <cell r="F21">
            <v>0.10733128557729499</v>
          </cell>
          <cell r="G21">
            <v>8.3589689255657879E-2</v>
          </cell>
          <cell r="H21">
            <v>7.3237179880126971E-2</v>
          </cell>
          <cell r="I21">
            <v>6.3374636711760357E-2</v>
          </cell>
          <cell r="J21">
            <v>5.4291838367783084E-2</v>
          </cell>
          <cell r="K21">
            <v>4.612639225659896E-2</v>
          </cell>
          <cell r="L21">
            <v>3.8916876277172864E-2</v>
          </cell>
          <cell r="M21">
            <v>3.2639916313151704E-2</v>
          </cell>
          <cell r="N21">
            <v>2.7235706125786907E-2</v>
          </cell>
          <cell r="O21">
            <v>2.1211189258265428E-2</v>
          </cell>
          <cell r="P21">
            <v>1.6519290804212883E-2</v>
          </cell>
          <cell r="Q21">
            <v>1.2865236614105324E-2</v>
          </cell>
          <cell r="R21">
            <v>1.0019456349464106E-2</v>
          </cell>
          <cell r="S21">
            <v>7.8031604509122832E-3</v>
          </cell>
          <cell r="T21">
            <v>6.077107469602494E-3</v>
          </cell>
          <cell r="U21">
            <v>4.7328560561354371E-3</v>
          </cell>
          <cell r="V21">
            <v>3.6859520026825132E-3</v>
          </cell>
          <cell r="W21">
            <v>2.8706223060526725E-3</v>
          </cell>
        </row>
        <row r="22">
          <cell r="A22" t="str">
            <v>Irrigation</v>
          </cell>
          <cell r="B22" t="str">
            <v>Irrigation Efficiency - Retro</v>
          </cell>
          <cell r="C22" t="str">
            <v>Retro1Slow</v>
          </cell>
          <cell r="D22">
            <v>2.5643970768378654E-3</v>
          </cell>
          <cell r="E22">
            <v>5.1260615529385989E-3</v>
          </cell>
          <cell r="F22">
            <v>9.1015544176433795E-3</v>
          </cell>
          <cell r="G22">
            <v>1.4804925730045659E-2</v>
          </cell>
          <cell r="H22">
            <v>2.2471809420486211E-2</v>
          </cell>
          <cell r="I22">
            <v>3.2184432813882391E-2</v>
          </cell>
          <cell r="J22">
            <v>4.3779667172004086E-2</v>
          </cell>
          <cell r="K22">
            <v>5.675426075474499E-2</v>
          </cell>
          <cell r="L22">
            <v>7.0195239068707532E-2</v>
          </cell>
          <cell r="M22">
            <v>8.2776861842756788E-2</v>
          </cell>
          <cell r="N22">
            <v>9.2870259507494834E-2</v>
          </cell>
          <cell r="O22">
            <v>9.8796470678915727E-2</v>
          </cell>
          <cell r="P22">
            <v>9.9208932889988999E-2</v>
          </cell>
          <cell r="Q22">
            <v>9.3521150494244254E-2</v>
          </cell>
          <cell r="R22">
            <v>8.2226007896862296E-2</v>
          </cell>
          <cell r="S22">
            <v>6.6933566027365665E-2</v>
          </cell>
          <cell r="T22">
            <v>5.0029565143448806E-2</v>
          </cell>
          <cell r="U22">
            <v>3.402486521893211E-2</v>
          </cell>
          <cell r="V22">
            <v>2.0846059340774659E-2</v>
          </cell>
          <cell r="W22">
            <v>0.01</v>
          </cell>
        </row>
        <row r="23">
          <cell r="A23" t="str">
            <v>Irrigation</v>
          </cell>
          <cell r="B23" t="str">
            <v>Irrigation Pressure - Retro</v>
          </cell>
          <cell r="C23" t="str">
            <v>Retro1Slow</v>
          </cell>
          <cell r="D23">
            <v>2.5643970768378654E-3</v>
          </cell>
          <cell r="E23">
            <v>5.1260615529385989E-3</v>
          </cell>
          <cell r="F23">
            <v>9.1015544176433795E-3</v>
          </cell>
          <cell r="G23">
            <v>1.4804925730045659E-2</v>
          </cell>
          <cell r="H23">
            <v>2.2471809420486211E-2</v>
          </cell>
          <cell r="I23">
            <v>3.2184432813882391E-2</v>
          </cell>
          <cell r="J23">
            <v>4.3779667172004086E-2</v>
          </cell>
          <cell r="K23">
            <v>5.675426075474499E-2</v>
          </cell>
          <cell r="L23">
            <v>7.0195239068707532E-2</v>
          </cell>
          <cell r="M23">
            <v>8.2776861842756788E-2</v>
          </cell>
          <cell r="N23">
            <v>9.2870259507494834E-2</v>
          </cell>
          <cell r="O23">
            <v>9.8796470678915727E-2</v>
          </cell>
          <cell r="P23">
            <v>9.9208932889988999E-2</v>
          </cell>
          <cell r="Q23">
            <v>9.3521150494244254E-2</v>
          </cell>
          <cell r="R23">
            <v>8.2226007896862296E-2</v>
          </cell>
          <cell r="S23">
            <v>6.6933566027365665E-2</v>
          </cell>
          <cell r="T23">
            <v>5.0029565143448806E-2</v>
          </cell>
          <cell r="U23">
            <v>3.402486521893211E-2</v>
          </cell>
          <cell r="V23">
            <v>2.0846059340774659E-2</v>
          </cell>
          <cell r="W23">
            <v>0.01</v>
          </cell>
        </row>
        <row r="24">
          <cell r="A24" t="str">
            <v>Motors/Drives</v>
          </cell>
          <cell r="B24" t="str">
            <v>Irrigation Motor - Retro</v>
          </cell>
          <cell r="C24" t="str">
            <v>Retro12Med</v>
          </cell>
          <cell r="D24">
            <v>0.10937459468255628</v>
          </cell>
          <cell r="E24">
            <v>0.10937459468255628</v>
          </cell>
          <cell r="F24">
            <v>0.10937459468255628</v>
          </cell>
          <cell r="G24">
            <v>0.10937459468255628</v>
          </cell>
          <cell r="H24">
            <v>0.10937459468255628</v>
          </cell>
          <cell r="I24">
            <v>9.8437135214300656E-2</v>
          </cell>
          <cell r="J24">
            <v>7.874970817144053E-2</v>
          </cell>
          <cell r="K24">
            <v>6.2999766537152418E-2</v>
          </cell>
          <cell r="L24">
            <v>5.0399813229721938E-2</v>
          </cell>
          <cell r="M24">
            <v>4.0319850583777551E-2</v>
          </cell>
          <cell r="N24">
            <v>3.225588046702204E-2</v>
          </cell>
          <cell r="O24">
            <v>2.5804704373617631E-2</v>
          </cell>
          <cell r="P24">
            <v>2.0643763498894106E-2</v>
          </cell>
          <cell r="Q24">
            <v>1.6515010799115284E-2</v>
          </cell>
          <cell r="R24">
            <v>1.3212008639292228E-2</v>
          </cell>
          <cell r="S24">
            <v>1.0569606911433781E-2</v>
          </cell>
          <cell r="T24">
            <v>7.2092823794611682E-5</v>
          </cell>
          <cell r="U24">
            <v>2.5747437069512102E-5</v>
          </cell>
          <cell r="V24">
            <v>8.7775353646568632E-6</v>
          </cell>
          <cell r="W24">
            <v>2.8622397928446119E-6</v>
          </cell>
        </row>
        <row r="25">
          <cell r="A25" t="str">
            <v>Irrigation</v>
          </cell>
          <cell r="B25" t="str">
            <v>Irrigation Water Mgmt - NR</v>
          </cell>
          <cell r="C25" t="str">
            <v>LO12Med</v>
          </cell>
          <cell r="D25">
            <v>0.10937459468255628</v>
          </cell>
          <cell r="E25">
            <v>0.21874918936511256</v>
          </cell>
          <cell r="F25">
            <v>0.32812378404766884</v>
          </cell>
          <cell r="G25">
            <v>0.43749837873022512</v>
          </cell>
          <cell r="H25">
            <v>0.5468729734127814</v>
          </cell>
          <cell r="I25">
            <v>0.64531010862708205</v>
          </cell>
          <cell r="J25">
            <v>0.7240598167985226</v>
          </cell>
          <cell r="K25">
            <v>0.78705958333567505</v>
          </cell>
          <cell r="L25">
            <v>0.83745939656539703</v>
          </cell>
          <cell r="M25">
            <v>0.87777924714917455</v>
          </cell>
          <cell r="N25">
            <v>0.91003512761619654</v>
          </cell>
          <cell r="O25">
            <v>0.93583983198981413</v>
          </cell>
          <cell r="P25">
            <v>0.9564835954887082</v>
          </cell>
          <cell r="Q25">
            <v>0.97299860628782353</v>
          </cell>
          <cell r="R25">
            <v>0.9862106149271157</v>
          </cell>
          <cell r="S25">
            <v>0.99678022183854953</v>
          </cell>
          <cell r="T25">
            <v>0.99685231466234414</v>
          </cell>
          <cell r="U25">
            <v>0.99687806209941365</v>
          </cell>
          <cell r="V25">
            <v>0.99688683963477831</v>
          </cell>
          <cell r="W25">
            <v>0.99688970187457115</v>
          </cell>
        </row>
      </sheetData>
      <sheetData sheetId="10"/>
      <sheetData sheetId="11"/>
      <sheetData sheetId="12"/>
      <sheetData sheetId="13"/>
      <sheetData sheetId="14"/>
      <sheetData sheetId="15">
        <row r="22">
          <cell r="A22" t="str">
            <v>Idaho</v>
          </cell>
          <cell r="B22">
            <v>4366</v>
          </cell>
          <cell r="C22">
            <v>11621</v>
          </cell>
          <cell r="Q22">
            <v>65.656287878787879</v>
          </cell>
        </row>
        <row r="23">
          <cell r="A23" t="str">
            <v>Montana</v>
          </cell>
          <cell r="B23">
            <v>2223</v>
          </cell>
          <cell r="C23">
            <v>5487</v>
          </cell>
          <cell r="Q23">
            <v>38.556666666666665</v>
          </cell>
        </row>
        <row r="24">
          <cell r="A24" t="str">
            <v>Oregon</v>
          </cell>
          <cell r="B24">
            <v>4776</v>
          </cell>
          <cell r="C24">
            <v>8995</v>
          </cell>
          <cell r="Q24">
            <v>48.355151515151512</v>
          </cell>
        </row>
        <row r="25">
          <cell r="A25" t="str">
            <v>Washington</v>
          </cell>
          <cell r="B25">
            <v>2866</v>
          </cell>
          <cell r="C25">
            <v>8101</v>
          </cell>
          <cell r="Q25">
            <v>82.12893939393939</v>
          </cell>
        </row>
        <row r="33">
          <cell r="A33" t="str">
            <v>Idaho</v>
          </cell>
          <cell r="B33">
            <v>3073</v>
          </cell>
          <cell r="C33">
            <v>9141</v>
          </cell>
          <cell r="I33">
            <v>181</v>
          </cell>
        </row>
        <row r="34">
          <cell r="A34" t="str">
            <v>Montana</v>
          </cell>
          <cell r="B34">
            <v>1051</v>
          </cell>
          <cell r="C34">
            <v>1629</v>
          </cell>
          <cell r="I34">
            <v>53</v>
          </cell>
        </row>
        <row r="35">
          <cell r="A35" t="str">
            <v>Oregon</v>
          </cell>
          <cell r="B35">
            <v>4744</v>
          </cell>
          <cell r="C35">
            <v>8601</v>
          </cell>
          <cell r="I35">
            <v>56</v>
          </cell>
        </row>
        <row r="36">
          <cell r="A36" t="str">
            <v>Washington</v>
          </cell>
          <cell r="B36">
            <v>4176</v>
          </cell>
          <cell r="C36">
            <v>6771</v>
          </cell>
          <cell r="I36">
            <v>110</v>
          </cell>
        </row>
      </sheetData>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ummary"/>
      <sheetName val="Checklist"/>
      <sheetName val="MeasureTable"/>
      <sheetName val="ProData"/>
      <sheetName val="Measure_InputOutput"/>
      <sheetName val="LookupTable"/>
      <sheetName val="ValidationLists"/>
      <sheetName val="Presentation"/>
      <sheetName val="SavingsData&amp;Analysis-Ag"/>
      <sheetName val="Motor Efficiencies"/>
      <sheetName val="Data Sources"/>
      <sheetName val="Lifetime - Ag"/>
      <sheetName val="CostData&amp;Analysis"/>
      <sheetName val="DOE Motor Study Data"/>
      <sheetName val="ProCost 6th Plan Inputs"/>
      <sheetName val="Levelized Cost Note"/>
      <sheetName val="Problem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5">
          <cell r="A55">
            <v>600</v>
          </cell>
        </row>
        <row r="56">
          <cell r="A56">
            <v>700</v>
          </cell>
        </row>
        <row r="57">
          <cell r="A57">
            <v>800</v>
          </cell>
        </row>
        <row r="58">
          <cell r="A58">
            <v>900</v>
          </cell>
        </row>
        <row r="59">
          <cell r="A59">
            <v>1000</v>
          </cell>
        </row>
        <row r="60">
          <cell r="A60">
            <v>1250</v>
          </cell>
        </row>
        <row r="61">
          <cell r="A61">
            <v>1500</v>
          </cell>
        </row>
        <row r="62">
          <cell r="A62">
            <v>1750</v>
          </cell>
        </row>
        <row r="63">
          <cell r="A63">
            <v>2000</v>
          </cell>
        </row>
        <row r="64">
          <cell r="A64">
            <v>2250</v>
          </cell>
        </row>
        <row r="65">
          <cell r="A65">
            <v>2500</v>
          </cell>
        </row>
        <row r="66">
          <cell r="A66">
            <v>3000</v>
          </cell>
        </row>
        <row r="67">
          <cell r="A67">
            <v>3500</v>
          </cell>
        </row>
        <row r="68">
          <cell r="A68">
            <v>4000</v>
          </cell>
        </row>
        <row r="69">
          <cell r="A69">
            <v>4500</v>
          </cell>
        </row>
        <row r="70">
          <cell r="A70">
            <v>5000</v>
          </cell>
        </row>
      </sheetData>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sheetPr codeName="Sheet1"/>
  <dimension ref="C1:F27"/>
  <sheetViews>
    <sheetView topLeftCell="C1" workbookViewId="0">
      <selection activeCell="C30" sqref="C30"/>
    </sheetView>
  </sheetViews>
  <sheetFormatPr defaultRowHeight="15"/>
  <cols>
    <col min="1" max="1" width="4" style="76" customWidth="1"/>
    <col min="2" max="2" width="4.28515625" style="76" customWidth="1"/>
    <col min="3" max="3" width="28.140625" style="76" customWidth="1"/>
    <col min="4" max="4" width="74.42578125" style="76" customWidth="1"/>
    <col min="5" max="5" width="44.7109375" style="76" customWidth="1"/>
    <col min="6" max="6" width="31.5703125" style="76" customWidth="1"/>
    <col min="7" max="16384" width="9.140625" style="76"/>
  </cols>
  <sheetData>
    <row r="1" spans="3:6" ht="15.75" thickBot="1"/>
    <row r="2" spans="3:6" ht="19.5" thickBot="1">
      <c r="C2" s="77" t="s">
        <v>107</v>
      </c>
      <c r="D2" s="78" t="s">
        <v>325</v>
      </c>
      <c r="E2" s="78"/>
      <c r="F2" s="79"/>
    </row>
    <row r="3" spans="3:6">
      <c r="C3" s="80" t="s">
        <v>108</v>
      </c>
      <c r="D3" s="80" t="s">
        <v>322</v>
      </c>
      <c r="E3" s="80" t="s">
        <v>323</v>
      </c>
      <c r="F3" s="80" t="s">
        <v>324</v>
      </c>
    </row>
    <row r="4" spans="3:6">
      <c r="C4" s="81" t="s">
        <v>109</v>
      </c>
      <c r="D4" s="82" t="s">
        <v>526</v>
      </c>
      <c r="E4" s="83"/>
      <c r="F4" s="84" t="s">
        <v>527</v>
      </c>
    </row>
    <row r="5" spans="3:6" ht="30">
      <c r="C5" s="81" t="s">
        <v>110</v>
      </c>
      <c r="D5" s="85" t="s">
        <v>528</v>
      </c>
      <c r="E5" s="115" t="s">
        <v>222</v>
      </c>
      <c r="F5" s="84"/>
    </row>
    <row r="6" spans="3:6">
      <c r="C6" s="81" t="s">
        <v>111</v>
      </c>
      <c r="D6" s="85" t="s">
        <v>529</v>
      </c>
      <c r="E6" s="85"/>
      <c r="F6" s="84"/>
    </row>
    <row r="7" spans="3:6">
      <c r="C7" s="81" t="s">
        <v>112</v>
      </c>
      <c r="D7" s="85" t="s">
        <v>530</v>
      </c>
      <c r="E7" s="85"/>
      <c r="F7" s="84"/>
    </row>
    <row r="8" spans="3:6">
      <c r="C8" s="81" t="s">
        <v>113</v>
      </c>
      <c r="D8" s="85" t="s">
        <v>531</v>
      </c>
      <c r="E8" s="86"/>
      <c r="F8" s="84"/>
    </row>
    <row r="9" spans="3:6">
      <c r="C9" s="81" t="s">
        <v>114</v>
      </c>
      <c r="D9" s="85" t="s">
        <v>532</v>
      </c>
      <c r="E9" s="86"/>
      <c r="F9" s="84"/>
    </row>
    <row r="10" spans="3:6">
      <c r="C10" s="81" t="s">
        <v>115</v>
      </c>
      <c r="D10" s="85" t="s">
        <v>528</v>
      </c>
      <c r="E10" s="85"/>
      <c r="F10" s="84"/>
    </row>
    <row r="11" spans="3:6">
      <c r="C11" s="81" t="s">
        <v>116</v>
      </c>
      <c r="D11" s="87" t="s">
        <v>528</v>
      </c>
      <c r="E11" s="86"/>
      <c r="F11" s="84"/>
    </row>
    <row r="12" spans="3:6">
      <c r="C12" s="81" t="s">
        <v>117</v>
      </c>
      <c r="D12" s="87" t="s">
        <v>132</v>
      </c>
      <c r="E12" s="88"/>
      <c r="F12" s="84"/>
    </row>
    <row r="13" spans="3:6">
      <c r="C13" s="81" t="s">
        <v>118</v>
      </c>
      <c r="D13" s="87" t="s">
        <v>533</v>
      </c>
      <c r="E13" s="86" t="s">
        <v>534</v>
      </c>
      <c r="F13" s="84"/>
    </row>
    <row r="21" spans="3:3">
      <c r="C21" s="89"/>
    </row>
    <row r="22" spans="3:3">
      <c r="C22" s="89"/>
    </row>
    <row r="23" spans="3:3">
      <c r="C23" s="89"/>
    </row>
    <row r="24" spans="3:3">
      <c r="C24" s="89"/>
    </row>
    <row r="25" spans="3:3">
      <c r="C25" s="89"/>
    </row>
    <row r="26" spans="3:3">
      <c r="C26" s="89"/>
    </row>
    <row r="27" spans="3:3">
      <c r="C27" s="89"/>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J50"/>
  <sheetViews>
    <sheetView workbookViewId="0">
      <selection activeCell="J2" sqref="J2"/>
    </sheetView>
  </sheetViews>
  <sheetFormatPr defaultColWidth="8.85546875" defaultRowHeight="12.75"/>
  <cols>
    <col min="1" max="1" width="16.85546875" style="115" bestFit="1" customWidth="1"/>
    <col min="2" max="2" width="9.42578125" style="115" customWidth="1"/>
    <col min="3" max="4" width="11.42578125" style="115" customWidth="1"/>
    <col min="5" max="5" width="13.140625" style="115" customWidth="1"/>
    <col min="6" max="8" width="9.7109375" style="115" bestFit="1" customWidth="1"/>
    <col min="9" max="9" width="10.28515625" style="115" customWidth="1"/>
    <col min="10" max="28" width="9.7109375" style="115" bestFit="1" customWidth="1"/>
    <col min="29" max="29" width="9.7109375" style="115" customWidth="1"/>
    <col min="30" max="34" width="9.7109375" style="115" bestFit="1" customWidth="1"/>
    <col min="35" max="35" width="10.28515625" style="115" bestFit="1" customWidth="1"/>
    <col min="36" max="36" width="12.28515625" style="115" customWidth="1"/>
    <col min="37" max="37" width="8.85546875" style="115"/>
    <col min="38" max="38" width="11.85546875" style="115" customWidth="1"/>
    <col min="39" max="41" width="8.85546875" style="115"/>
    <col min="42" max="42" width="15.42578125" style="115" bestFit="1" customWidth="1"/>
    <col min="43" max="16384" width="8.85546875" style="115"/>
  </cols>
  <sheetData>
    <row r="1" spans="1:36" ht="13.5" thickBot="1">
      <c r="I1" s="116"/>
    </row>
    <row r="2" spans="1:36" ht="51.75" thickBot="1">
      <c r="A2" s="117" t="s">
        <v>194</v>
      </c>
      <c r="B2" s="118" t="s">
        <v>195</v>
      </c>
      <c r="H2" s="119"/>
      <c r="I2" s="115" t="s">
        <v>221</v>
      </c>
      <c r="J2" s="115" t="s">
        <v>222</v>
      </c>
    </row>
    <row r="3" spans="1:36">
      <c r="A3" s="120" t="s">
        <v>196</v>
      </c>
      <c r="B3" s="121">
        <v>0.01</v>
      </c>
    </row>
    <row r="4" spans="1:36">
      <c r="A4" s="122" t="s">
        <v>197</v>
      </c>
      <c r="B4" s="123">
        <v>8.9999999999999993E-3</v>
      </c>
    </row>
    <row r="5" spans="1:36">
      <c r="A5" s="122" t="s">
        <v>198</v>
      </c>
      <c r="B5" s="123">
        <v>8.0000000000000002E-3</v>
      </c>
    </row>
    <row r="6" spans="1:36">
      <c r="A6" s="122" t="s">
        <v>199</v>
      </c>
      <c r="B6" s="123">
        <v>7.0000000000000001E-3</v>
      </c>
    </row>
    <row r="7" spans="1:36">
      <c r="A7" s="122" t="s">
        <v>200</v>
      </c>
      <c r="B7" s="123">
        <v>6.0000000000000001E-3</v>
      </c>
    </row>
    <row r="8" spans="1:36" ht="13.5" thickBot="1">
      <c r="A8" s="124" t="s">
        <v>201</v>
      </c>
      <c r="B8" s="125">
        <v>5.0000000000000001E-3</v>
      </c>
    </row>
    <row r="10" spans="1:36">
      <c r="E10" s="323" t="s">
        <v>202</v>
      </c>
      <c r="F10" s="324"/>
      <c r="G10" s="324"/>
      <c r="H10" s="324"/>
      <c r="I10" s="324"/>
      <c r="J10" s="325"/>
      <c r="K10" s="323" t="s">
        <v>203</v>
      </c>
      <c r="L10" s="324"/>
      <c r="M10" s="324"/>
      <c r="N10" s="324"/>
      <c r="O10" s="324"/>
      <c r="P10" s="325"/>
      <c r="Q10" s="320" t="s">
        <v>204</v>
      </c>
      <c r="R10" s="321"/>
      <c r="S10" s="321"/>
      <c r="T10" s="321"/>
      <c r="U10" s="321"/>
      <c r="V10" s="322"/>
      <c r="W10" s="320" t="s">
        <v>205</v>
      </c>
      <c r="X10" s="321"/>
      <c r="Y10" s="321"/>
      <c r="Z10" s="321"/>
      <c r="AA10" s="321"/>
      <c r="AB10" s="322"/>
      <c r="AC10" s="320" t="s">
        <v>206</v>
      </c>
      <c r="AD10" s="321"/>
      <c r="AE10" s="321"/>
      <c r="AF10" s="321"/>
      <c r="AG10" s="321"/>
      <c r="AH10" s="322"/>
    </row>
    <row r="11" spans="1:36">
      <c r="B11" s="119"/>
      <c r="E11" s="320" t="s">
        <v>207</v>
      </c>
      <c r="F11" s="321"/>
      <c r="G11" s="322"/>
      <c r="H11" s="320" t="s">
        <v>208</v>
      </c>
      <c r="I11" s="321"/>
      <c r="J11" s="322"/>
      <c r="K11" s="320" t="s">
        <v>207</v>
      </c>
      <c r="L11" s="321"/>
      <c r="M11" s="322"/>
      <c r="N11" s="320" t="s">
        <v>208</v>
      </c>
      <c r="O11" s="321"/>
      <c r="P11" s="322"/>
      <c r="Q11" s="320" t="s">
        <v>207</v>
      </c>
      <c r="R11" s="321"/>
      <c r="S11" s="322"/>
      <c r="T11" s="320" t="s">
        <v>208</v>
      </c>
      <c r="U11" s="321"/>
      <c r="V11" s="322"/>
      <c r="W11" s="320" t="s">
        <v>207</v>
      </c>
      <c r="X11" s="321"/>
      <c r="Y11" s="322"/>
      <c r="Z11" s="320" t="s">
        <v>208</v>
      </c>
      <c r="AA11" s="321"/>
      <c r="AB11" s="322"/>
      <c r="AC11" s="320" t="s">
        <v>207</v>
      </c>
      <c r="AD11" s="321"/>
      <c r="AE11" s="322"/>
      <c r="AF11" s="320" t="s">
        <v>208</v>
      </c>
      <c r="AG11" s="321"/>
      <c r="AH11" s="322"/>
    </row>
    <row r="12" spans="1:36" s="126" customFormat="1" ht="51">
      <c r="A12" s="126" t="s">
        <v>209</v>
      </c>
      <c r="B12" s="127" t="s">
        <v>210</v>
      </c>
      <c r="C12" s="127" t="s">
        <v>211</v>
      </c>
      <c r="D12" s="127" t="s">
        <v>212</v>
      </c>
      <c r="E12" s="128" t="s">
        <v>213</v>
      </c>
      <c r="F12" s="128" t="s">
        <v>214</v>
      </c>
      <c r="G12" s="128" t="s">
        <v>215</v>
      </c>
      <c r="H12" s="128" t="s">
        <v>213</v>
      </c>
      <c r="I12" s="128" t="s">
        <v>214</v>
      </c>
      <c r="J12" s="128" t="s">
        <v>215</v>
      </c>
      <c r="K12" s="128" t="s">
        <v>213</v>
      </c>
      <c r="L12" s="128" t="s">
        <v>214</v>
      </c>
      <c r="M12" s="128" t="s">
        <v>215</v>
      </c>
      <c r="N12" s="128" t="s">
        <v>213</v>
      </c>
      <c r="O12" s="128" t="s">
        <v>214</v>
      </c>
      <c r="P12" s="128" t="s">
        <v>215</v>
      </c>
      <c r="Q12" s="128" t="s">
        <v>213</v>
      </c>
      <c r="R12" s="128" t="s">
        <v>214</v>
      </c>
      <c r="S12" s="128" t="s">
        <v>215</v>
      </c>
      <c r="T12" s="128" t="s">
        <v>213</v>
      </c>
      <c r="U12" s="128" t="s">
        <v>214</v>
      </c>
      <c r="V12" s="128" t="s">
        <v>215</v>
      </c>
      <c r="W12" s="128" t="s">
        <v>213</v>
      </c>
      <c r="X12" s="128" t="s">
        <v>214</v>
      </c>
      <c r="Y12" s="128" t="s">
        <v>215</v>
      </c>
      <c r="Z12" s="128" t="s">
        <v>213</v>
      </c>
      <c r="AA12" s="128" t="s">
        <v>214</v>
      </c>
      <c r="AB12" s="128" t="s">
        <v>215</v>
      </c>
      <c r="AC12" s="128" t="s">
        <v>213</v>
      </c>
      <c r="AD12" s="128" t="s">
        <v>214</v>
      </c>
      <c r="AE12" s="128" t="s">
        <v>215</v>
      </c>
      <c r="AF12" s="128" t="s">
        <v>213</v>
      </c>
      <c r="AG12" s="128" t="s">
        <v>214</v>
      </c>
      <c r="AH12" s="128" t="s">
        <v>215</v>
      </c>
      <c r="AI12" s="129" t="s">
        <v>216</v>
      </c>
      <c r="AJ12" s="130" t="s">
        <v>217</v>
      </c>
    </row>
    <row r="13" spans="1:36">
      <c r="A13" s="115">
        <v>15</v>
      </c>
      <c r="B13" s="131">
        <v>1</v>
      </c>
      <c r="C13" s="132">
        <v>2221</v>
      </c>
      <c r="D13" s="133">
        <v>0.01</v>
      </c>
      <c r="E13" s="134">
        <v>0.89121341463414638</v>
      </c>
      <c r="F13" s="135">
        <v>0.90095121951219515</v>
      </c>
      <c r="G13" s="135">
        <v>0.88293292682926827</v>
      </c>
      <c r="H13" s="135">
        <v>0.89121341463414638</v>
      </c>
      <c r="I13" s="135">
        <v>0.89286585365853655</v>
      </c>
      <c r="J13" s="136">
        <v>0.88228048780487811</v>
      </c>
      <c r="K13" s="137">
        <f t="shared" ref="K13:P30" si="0">E13-$D13</f>
        <v>0.88121341463414637</v>
      </c>
      <c r="L13" s="133">
        <f t="shared" si="0"/>
        <v>0.89095121951219514</v>
      </c>
      <c r="M13" s="133">
        <f t="shared" si="0"/>
        <v>0.87293292682926826</v>
      </c>
      <c r="N13" s="133">
        <f t="shared" si="0"/>
        <v>0.88121341463414637</v>
      </c>
      <c r="O13" s="133">
        <f t="shared" si="0"/>
        <v>0.88286585365853654</v>
      </c>
      <c r="P13" s="138">
        <f t="shared" si="0"/>
        <v>0.8722804878048781</v>
      </c>
      <c r="Q13" s="139">
        <f t="shared" ref="Q13:V30" si="1">($A13*0.746*$B13*$C13*(1/E13))</f>
        <v>27886.687511545642</v>
      </c>
      <c r="R13" s="140">
        <f t="shared" si="1"/>
        <v>27585.278161292939</v>
      </c>
      <c r="S13" s="140">
        <f t="shared" si="1"/>
        <v>28148.219694615367</v>
      </c>
      <c r="T13" s="140">
        <f t="shared" si="1"/>
        <v>27886.687511545642</v>
      </c>
      <c r="U13" s="140">
        <f t="shared" si="1"/>
        <v>27835.077238270846</v>
      </c>
      <c r="V13" s="141">
        <f t="shared" si="1"/>
        <v>28169.035067107136</v>
      </c>
      <c r="W13" s="139">
        <f t="shared" ref="W13:AB30" si="2">($A13*0.746*$B13*$C13*(1/(K13)))</f>
        <v>28203.145330371779</v>
      </c>
      <c r="X13" s="140">
        <f t="shared" si="2"/>
        <v>27894.894193654352</v>
      </c>
      <c r="Y13" s="140">
        <f t="shared" si="2"/>
        <v>28470.675393438156</v>
      </c>
      <c r="Z13" s="140">
        <f t="shared" si="2"/>
        <v>28203.145330371779</v>
      </c>
      <c r="AA13" s="140">
        <f t="shared" si="2"/>
        <v>28150.358173907036</v>
      </c>
      <c r="AB13" s="141">
        <f t="shared" si="2"/>
        <v>28491.970584534509</v>
      </c>
      <c r="AC13" s="139">
        <f t="shared" ref="AC13:AH30" si="3">W13-Q13</f>
        <v>316.45781882613664</v>
      </c>
      <c r="AD13" s="140">
        <f t="shared" si="3"/>
        <v>309.61603236141309</v>
      </c>
      <c r="AE13" s="140">
        <f t="shared" si="3"/>
        <v>322.45569882278869</v>
      </c>
      <c r="AF13" s="140">
        <f t="shared" si="3"/>
        <v>316.45781882613664</v>
      </c>
      <c r="AG13" s="140">
        <f t="shared" si="3"/>
        <v>315.28093563619041</v>
      </c>
      <c r="AH13" s="141">
        <f t="shared" si="3"/>
        <v>322.93551742737327</v>
      </c>
      <c r="AI13" s="142">
        <f t="shared" ref="AI13:AI30" si="4">AVERAGE(AC13:AH13)</f>
        <v>317.20063698333979</v>
      </c>
      <c r="AJ13" s="143">
        <f t="shared" ref="AJ13:AJ46" si="5">AI13/A13</f>
        <v>21.146709132222654</v>
      </c>
    </row>
    <row r="14" spans="1:36">
      <c r="A14" s="115">
        <v>20</v>
      </c>
      <c r="B14" s="131">
        <f>B13</f>
        <v>1</v>
      </c>
      <c r="C14" s="132">
        <f>C13</f>
        <v>2221</v>
      </c>
      <c r="D14" s="133">
        <v>0.01</v>
      </c>
      <c r="E14" s="134">
        <v>0.88874096385542167</v>
      </c>
      <c r="F14" s="144">
        <v>0.89358433734939768</v>
      </c>
      <c r="G14" s="144">
        <v>0.88836746987951809</v>
      </c>
      <c r="H14" s="144">
        <v>0.88639759036144583</v>
      </c>
      <c r="I14" s="144">
        <v>0.89496987951807228</v>
      </c>
      <c r="J14" s="136">
        <v>0.87797590361445776</v>
      </c>
      <c r="K14" s="137">
        <f t="shared" si="0"/>
        <v>0.87874096385542166</v>
      </c>
      <c r="L14" s="133">
        <f t="shared" si="0"/>
        <v>0.88358433734939767</v>
      </c>
      <c r="M14" s="133">
        <f t="shared" si="0"/>
        <v>0.87836746987951808</v>
      </c>
      <c r="N14" s="133">
        <f t="shared" si="0"/>
        <v>0.87639759036144582</v>
      </c>
      <c r="O14" s="133">
        <f t="shared" si="0"/>
        <v>0.88496987951807227</v>
      </c>
      <c r="P14" s="138">
        <f t="shared" si="0"/>
        <v>0.86797590361445776</v>
      </c>
      <c r="Q14" s="139">
        <f t="shared" si="1"/>
        <v>37285.689922795886</v>
      </c>
      <c r="R14" s="140">
        <f t="shared" si="1"/>
        <v>37083.595375332858</v>
      </c>
      <c r="S14" s="140">
        <f t="shared" si="1"/>
        <v>37301.365846381275</v>
      </c>
      <c r="T14" s="140">
        <f t="shared" si="1"/>
        <v>37384.262277255984</v>
      </c>
      <c r="U14" s="140">
        <f t="shared" si="1"/>
        <v>37026.18463298893</v>
      </c>
      <c r="V14" s="141">
        <f t="shared" si="1"/>
        <v>37742.858162257107</v>
      </c>
      <c r="W14" s="139">
        <f t="shared" si="2"/>
        <v>37709.998011942058</v>
      </c>
      <c r="X14" s="140">
        <f t="shared" si="2"/>
        <v>37503.290403954314</v>
      </c>
      <c r="Y14" s="140">
        <f t="shared" si="2"/>
        <v>37726.032823762594</v>
      </c>
      <c r="Z14" s="140">
        <f t="shared" si="2"/>
        <v>37810.829655902446</v>
      </c>
      <c r="AA14" s="140">
        <f t="shared" si="2"/>
        <v>37444.573840236888</v>
      </c>
      <c r="AB14" s="141">
        <f t="shared" si="2"/>
        <v>38177.695788567784</v>
      </c>
      <c r="AC14" s="139">
        <f t="shared" si="3"/>
        <v>424.30808914617228</v>
      </c>
      <c r="AD14" s="140">
        <f t="shared" si="3"/>
        <v>419.695028621456</v>
      </c>
      <c r="AE14" s="140">
        <f t="shared" si="3"/>
        <v>424.66697738131916</v>
      </c>
      <c r="AF14" s="140">
        <f t="shared" si="3"/>
        <v>426.56737864646129</v>
      </c>
      <c r="AG14" s="140">
        <f t="shared" si="3"/>
        <v>418.38920724795753</v>
      </c>
      <c r="AH14" s="141">
        <f t="shared" si="3"/>
        <v>434.83762631067657</v>
      </c>
      <c r="AI14" s="142">
        <f t="shared" si="4"/>
        <v>424.74405122567379</v>
      </c>
      <c r="AJ14" s="143">
        <f t="shared" si="5"/>
        <v>21.237202561283688</v>
      </c>
    </row>
    <row r="15" spans="1:36">
      <c r="A15" s="115">
        <v>25</v>
      </c>
      <c r="B15" s="131">
        <v>0.94</v>
      </c>
      <c r="C15" s="132">
        <v>2691</v>
      </c>
      <c r="D15" s="133">
        <v>0.01</v>
      </c>
      <c r="E15" s="134">
        <v>0.89852884615384621</v>
      </c>
      <c r="F15" s="144">
        <v>0.89826923076923082</v>
      </c>
      <c r="G15" s="144">
        <v>0.89178846153846147</v>
      </c>
      <c r="H15" s="144">
        <v>0.89780769230769231</v>
      </c>
      <c r="I15" s="144">
        <v>0.90256730769230775</v>
      </c>
      <c r="J15" s="136">
        <v>0.88529807692307694</v>
      </c>
      <c r="K15" s="137">
        <f t="shared" si="0"/>
        <v>0.8885288461538462</v>
      </c>
      <c r="L15" s="133">
        <f t="shared" si="0"/>
        <v>0.88826923076923081</v>
      </c>
      <c r="M15" s="133">
        <f t="shared" si="0"/>
        <v>0.88178846153846147</v>
      </c>
      <c r="N15" s="133">
        <f t="shared" si="0"/>
        <v>0.8878076923076923</v>
      </c>
      <c r="O15" s="133">
        <f t="shared" si="0"/>
        <v>0.89256730769230774</v>
      </c>
      <c r="P15" s="138">
        <f t="shared" si="0"/>
        <v>0.87529807692307693</v>
      </c>
      <c r="Q15" s="139">
        <f t="shared" si="1"/>
        <v>52503.513050178175</v>
      </c>
      <c r="R15" s="140">
        <f t="shared" si="1"/>
        <v>52518.687475915212</v>
      </c>
      <c r="S15" s="140">
        <f t="shared" si="1"/>
        <v>52900.349168697307</v>
      </c>
      <c r="T15" s="140">
        <f t="shared" si="1"/>
        <v>52545.685901555058</v>
      </c>
      <c r="U15" s="140">
        <f t="shared" si="1"/>
        <v>52268.590495062155</v>
      </c>
      <c r="V15" s="141">
        <f t="shared" si="1"/>
        <v>53288.177428289026</v>
      </c>
      <c r="W15" s="139">
        <f t="shared" si="2"/>
        <v>53094.416916467366</v>
      </c>
      <c r="X15" s="140">
        <f t="shared" si="2"/>
        <v>53109.934877679138</v>
      </c>
      <c r="Y15" s="140">
        <f t="shared" si="2"/>
        <v>53500.27025494515</v>
      </c>
      <c r="Z15" s="140">
        <f t="shared" si="2"/>
        <v>53137.544773209716</v>
      </c>
      <c r="AA15" s="140">
        <f t="shared" si="2"/>
        <v>52854.188802826749</v>
      </c>
      <c r="AB15" s="141">
        <f t="shared" si="2"/>
        <v>53896.977776801308</v>
      </c>
      <c r="AC15" s="139">
        <f t="shared" si="3"/>
        <v>590.90386628919077</v>
      </c>
      <c r="AD15" s="140">
        <f t="shared" si="3"/>
        <v>591.24740176392515</v>
      </c>
      <c r="AE15" s="140">
        <f t="shared" si="3"/>
        <v>599.92108624784305</v>
      </c>
      <c r="AF15" s="140">
        <f t="shared" si="3"/>
        <v>591.85887165465829</v>
      </c>
      <c r="AG15" s="140">
        <f t="shared" si="3"/>
        <v>585.59830776459421</v>
      </c>
      <c r="AH15" s="141">
        <f t="shared" si="3"/>
        <v>608.80034851228265</v>
      </c>
      <c r="AI15" s="142">
        <f t="shared" si="4"/>
        <v>594.72164703874898</v>
      </c>
      <c r="AJ15" s="143">
        <f t="shared" si="5"/>
        <v>23.78886588154996</v>
      </c>
    </row>
    <row r="16" spans="1:36">
      <c r="A16" s="115">
        <v>30</v>
      </c>
      <c r="B16" s="131">
        <f t="shared" ref="B16:C18" si="6">B15</f>
        <v>0.94</v>
      </c>
      <c r="C16" s="132">
        <f t="shared" si="6"/>
        <v>2691</v>
      </c>
      <c r="D16" s="133">
        <v>8.9999999999999993E-3</v>
      </c>
      <c r="E16" s="134">
        <v>0.9030792079207921</v>
      </c>
      <c r="F16" s="144">
        <v>0.89900000000000002</v>
      </c>
      <c r="G16" s="144">
        <v>0.88553465346534654</v>
      </c>
      <c r="H16" s="144">
        <v>0.9022772277227723</v>
      </c>
      <c r="I16" s="144">
        <v>0.90384158415841587</v>
      </c>
      <c r="J16" s="136">
        <v>0.88553465346534654</v>
      </c>
      <c r="K16" s="137">
        <f t="shared" si="0"/>
        <v>0.8940792079207921</v>
      </c>
      <c r="L16" s="133">
        <f t="shared" si="0"/>
        <v>0.89</v>
      </c>
      <c r="M16" s="133">
        <f t="shared" si="0"/>
        <v>0.87653465346534654</v>
      </c>
      <c r="N16" s="133">
        <f t="shared" si="0"/>
        <v>0.89327722772277229</v>
      </c>
      <c r="O16" s="133">
        <f t="shared" si="0"/>
        <v>0.89484158415841586</v>
      </c>
      <c r="P16" s="138">
        <f t="shared" si="0"/>
        <v>0.87653465346534654</v>
      </c>
      <c r="Q16" s="139">
        <f t="shared" si="1"/>
        <v>62686.755163302667</v>
      </c>
      <c r="R16" s="140">
        <f t="shared" si="1"/>
        <v>62971.195995550603</v>
      </c>
      <c r="S16" s="140">
        <f t="shared" si="1"/>
        <v>63928.729359675308</v>
      </c>
      <c r="T16" s="140">
        <f t="shared" si="1"/>
        <v>62742.473666191152</v>
      </c>
      <c r="U16" s="140">
        <f t="shared" si="1"/>
        <v>62633.879865918847</v>
      </c>
      <c r="V16" s="141">
        <f t="shared" si="1"/>
        <v>63928.729359675308</v>
      </c>
      <c r="W16" s="139">
        <f t="shared" si="2"/>
        <v>63317.773971783565</v>
      </c>
      <c r="X16" s="140">
        <f t="shared" si="2"/>
        <v>63607.983370786518</v>
      </c>
      <c r="Y16" s="140">
        <f t="shared" si="2"/>
        <v>64585.130748898679</v>
      </c>
      <c r="Z16" s="140">
        <f t="shared" si="2"/>
        <v>63374.620378847496</v>
      </c>
      <c r="AA16" s="140">
        <f t="shared" si="2"/>
        <v>63263.82926564799</v>
      </c>
      <c r="AB16" s="141">
        <f t="shared" si="2"/>
        <v>64585.130748898679</v>
      </c>
      <c r="AC16" s="139">
        <f t="shared" si="3"/>
        <v>631.01880848089786</v>
      </c>
      <c r="AD16" s="140">
        <f t="shared" si="3"/>
        <v>636.78737523591553</v>
      </c>
      <c r="AE16" s="140">
        <f t="shared" si="3"/>
        <v>656.40138922337064</v>
      </c>
      <c r="AF16" s="140">
        <f t="shared" si="3"/>
        <v>632.14671265634388</v>
      </c>
      <c r="AG16" s="140">
        <f t="shared" si="3"/>
        <v>629.9493997291429</v>
      </c>
      <c r="AH16" s="141">
        <f t="shared" si="3"/>
        <v>656.40138922337064</v>
      </c>
      <c r="AI16" s="142">
        <f t="shared" si="4"/>
        <v>640.45084575817361</v>
      </c>
      <c r="AJ16" s="143">
        <f t="shared" si="5"/>
        <v>21.348361525272455</v>
      </c>
    </row>
    <row r="17" spans="1:36">
      <c r="A17" s="115">
        <v>40</v>
      </c>
      <c r="B17" s="131">
        <f t="shared" si="6"/>
        <v>0.94</v>
      </c>
      <c r="C17" s="132">
        <f t="shared" si="6"/>
        <v>2691</v>
      </c>
      <c r="D17" s="133">
        <v>8.0000000000000002E-3</v>
      </c>
      <c r="E17" s="134">
        <v>0.90500000000000003</v>
      </c>
      <c r="F17" s="144">
        <v>0.90936363636363637</v>
      </c>
      <c r="G17" s="144">
        <v>0.89520661157024795</v>
      </c>
      <c r="H17" s="144">
        <v>0.90863636363636369</v>
      </c>
      <c r="I17" s="144">
        <v>0.91081818181818186</v>
      </c>
      <c r="J17" s="136">
        <v>0.89447933884297526</v>
      </c>
      <c r="K17" s="137">
        <f t="shared" si="0"/>
        <v>0.89700000000000002</v>
      </c>
      <c r="L17" s="133">
        <f t="shared" si="0"/>
        <v>0.90136363636363637</v>
      </c>
      <c r="M17" s="133">
        <f t="shared" si="0"/>
        <v>0.88720661157024794</v>
      </c>
      <c r="N17" s="133">
        <f t="shared" si="0"/>
        <v>0.90063636363636368</v>
      </c>
      <c r="O17" s="133">
        <f t="shared" si="0"/>
        <v>0.90281818181818185</v>
      </c>
      <c r="P17" s="138">
        <f t="shared" si="0"/>
        <v>0.88647933884297525</v>
      </c>
      <c r="Q17" s="139">
        <f t="shared" si="1"/>
        <v>83404.943204419891</v>
      </c>
      <c r="R17" s="140">
        <f t="shared" si="1"/>
        <v>83004.719544136766</v>
      </c>
      <c r="S17" s="140">
        <f t="shared" si="1"/>
        <v>84317.377267355987</v>
      </c>
      <c r="T17" s="140">
        <f t="shared" si="1"/>
        <v>83071.156538269119</v>
      </c>
      <c r="U17" s="140">
        <f t="shared" si="1"/>
        <v>82872.163848687502</v>
      </c>
      <c r="V17" s="141">
        <f t="shared" si="1"/>
        <v>84385.93304752752</v>
      </c>
      <c r="W17" s="139">
        <f t="shared" si="2"/>
        <v>84148.800000000003</v>
      </c>
      <c r="X17" s="140">
        <f t="shared" si="2"/>
        <v>83741.423055975785</v>
      </c>
      <c r="Y17" s="140">
        <f t="shared" si="2"/>
        <v>85077.672568745809</v>
      </c>
      <c r="Z17" s="140">
        <f t="shared" si="2"/>
        <v>83809.045079236908</v>
      </c>
      <c r="AA17" s="140">
        <f t="shared" si="2"/>
        <v>83606.505850367525</v>
      </c>
      <c r="AB17" s="141">
        <f t="shared" si="2"/>
        <v>85147.470778639603</v>
      </c>
      <c r="AC17" s="139">
        <f t="shared" si="3"/>
        <v>743.85679558011179</v>
      </c>
      <c r="AD17" s="140">
        <f t="shared" si="3"/>
        <v>736.70351183901948</v>
      </c>
      <c r="AE17" s="140">
        <f t="shared" si="3"/>
        <v>760.29530138982227</v>
      </c>
      <c r="AF17" s="140">
        <f t="shared" si="3"/>
        <v>737.8885409677896</v>
      </c>
      <c r="AG17" s="140">
        <f t="shared" si="3"/>
        <v>734.3420016800228</v>
      </c>
      <c r="AH17" s="141">
        <f t="shared" si="3"/>
        <v>761.53773111208284</v>
      </c>
      <c r="AI17" s="142">
        <f t="shared" si="4"/>
        <v>745.77064709480817</v>
      </c>
      <c r="AJ17" s="143">
        <f t="shared" si="5"/>
        <v>18.644266177370206</v>
      </c>
    </row>
    <row r="18" spans="1:36">
      <c r="A18" s="115">
        <v>50</v>
      </c>
      <c r="B18" s="131">
        <f t="shared" si="6"/>
        <v>0.94</v>
      </c>
      <c r="C18" s="132">
        <f t="shared" si="6"/>
        <v>2691</v>
      </c>
      <c r="D18" s="133">
        <v>7.0000000000000001E-3</v>
      </c>
      <c r="E18" s="134">
        <v>0.90885436893203886</v>
      </c>
      <c r="F18" s="144">
        <v>0.91633009708737878</v>
      </c>
      <c r="G18" s="144">
        <v>0.90212621359223311</v>
      </c>
      <c r="H18" s="144">
        <v>0.91505825242718453</v>
      </c>
      <c r="I18" s="144">
        <v>0.92322330097087379</v>
      </c>
      <c r="J18" s="136">
        <v>0.90143689320388354</v>
      </c>
      <c r="K18" s="137">
        <f t="shared" si="0"/>
        <v>0.90185436893203885</v>
      </c>
      <c r="L18" s="133">
        <f t="shared" si="0"/>
        <v>0.90933009708737877</v>
      </c>
      <c r="M18" s="133">
        <f t="shared" si="0"/>
        <v>0.8951262135922331</v>
      </c>
      <c r="N18" s="133">
        <f t="shared" si="0"/>
        <v>0.90805825242718452</v>
      </c>
      <c r="O18" s="133">
        <f t="shared" si="0"/>
        <v>0.91622330097087379</v>
      </c>
      <c r="P18" s="138">
        <f t="shared" si="0"/>
        <v>0.89443689320388353</v>
      </c>
      <c r="Q18" s="139">
        <f t="shared" si="1"/>
        <v>103814.03800794769</v>
      </c>
      <c r="R18" s="140">
        <f t="shared" si="1"/>
        <v>102967.0882795448</v>
      </c>
      <c r="S18" s="140">
        <f t="shared" si="1"/>
        <v>104588.29438543245</v>
      </c>
      <c r="T18" s="140">
        <f t="shared" si="1"/>
        <v>103110.2028201292</v>
      </c>
      <c r="U18" s="140">
        <f t="shared" si="1"/>
        <v>102198.28929878434</v>
      </c>
      <c r="V18" s="141">
        <f t="shared" si="1"/>
        <v>104668.27207909699</v>
      </c>
      <c r="W18" s="139">
        <f t="shared" si="2"/>
        <v>104619.82028398874</v>
      </c>
      <c r="X18" s="140">
        <f t="shared" si="2"/>
        <v>103759.7263108444</v>
      </c>
      <c r="Y18" s="140">
        <f t="shared" si="2"/>
        <v>105406.18805180154</v>
      </c>
      <c r="Z18" s="140">
        <f t="shared" si="2"/>
        <v>103905.05427135676</v>
      </c>
      <c r="AA18" s="140">
        <f t="shared" si="2"/>
        <v>102979.09025018277</v>
      </c>
      <c r="AB18" s="141">
        <f t="shared" si="2"/>
        <v>105487.42199355237</v>
      </c>
      <c r="AC18" s="139">
        <f t="shared" si="3"/>
        <v>805.78227604104904</v>
      </c>
      <c r="AD18" s="140">
        <f t="shared" si="3"/>
        <v>792.63803129960434</v>
      </c>
      <c r="AE18" s="140">
        <f t="shared" si="3"/>
        <v>817.8936663690838</v>
      </c>
      <c r="AF18" s="140">
        <f t="shared" si="3"/>
        <v>794.85145122755785</v>
      </c>
      <c r="AG18" s="140">
        <f t="shared" si="3"/>
        <v>780.80095139842888</v>
      </c>
      <c r="AH18" s="141">
        <f t="shared" si="3"/>
        <v>819.1499144553818</v>
      </c>
      <c r="AI18" s="142">
        <f t="shared" si="4"/>
        <v>801.85271513185091</v>
      </c>
      <c r="AJ18" s="143">
        <f t="shared" si="5"/>
        <v>16.037054302637017</v>
      </c>
    </row>
    <row r="19" spans="1:36">
      <c r="A19" s="115">
        <v>60</v>
      </c>
      <c r="B19" s="131">
        <v>1</v>
      </c>
      <c r="C19" s="132">
        <v>2357</v>
      </c>
      <c r="D19" s="133">
        <v>6.0000000000000001E-3</v>
      </c>
      <c r="E19" s="134">
        <v>0.91328378378378383</v>
      </c>
      <c r="F19" s="144">
        <v>0.91760810810810822</v>
      </c>
      <c r="G19" s="144">
        <v>0.90881081081081083</v>
      </c>
      <c r="H19" s="144">
        <v>0.91328378378378383</v>
      </c>
      <c r="I19" s="144">
        <v>0.92172972972972977</v>
      </c>
      <c r="J19" s="136">
        <v>0.90056756756756762</v>
      </c>
      <c r="K19" s="137">
        <f t="shared" si="0"/>
        <v>0.90728378378378383</v>
      </c>
      <c r="L19" s="133">
        <f t="shared" si="0"/>
        <v>0.91160810810810822</v>
      </c>
      <c r="M19" s="133">
        <f t="shared" si="0"/>
        <v>0.90281081081081083</v>
      </c>
      <c r="N19" s="133">
        <f t="shared" si="0"/>
        <v>0.90728378378378383</v>
      </c>
      <c r="O19" s="133">
        <f t="shared" si="0"/>
        <v>0.91572972972972977</v>
      </c>
      <c r="P19" s="138">
        <f t="shared" si="0"/>
        <v>0.89456756756756761</v>
      </c>
      <c r="Q19" s="139">
        <f t="shared" si="1"/>
        <v>115516.4713019546</v>
      </c>
      <c r="R19" s="140">
        <f t="shared" si="1"/>
        <v>114972.08783117091</v>
      </c>
      <c r="S19" s="140">
        <f t="shared" si="1"/>
        <v>116085.01873550226</v>
      </c>
      <c r="T19" s="140">
        <f t="shared" si="1"/>
        <v>115516.4713019546</v>
      </c>
      <c r="U19" s="140">
        <f t="shared" si="1"/>
        <v>114457.97677691764</v>
      </c>
      <c r="V19" s="141">
        <f t="shared" si="1"/>
        <v>117147.58980822904</v>
      </c>
      <c r="W19" s="139">
        <f t="shared" si="2"/>
        <v>116280.39857608841</v>
      </c>
      <c r="X19" s="140">
        <f t="shared" si="2"/>
        <v>115728.80831319763</v>
      </c>
      <c r="Y19" s="140">
        <f t="shared" si="2"/>
        <v>116856.50940007184</v>
      </c>
      <c r="Z19" s="140">
        <f t="shared" si="2"/>
        <v>116280.39857608841</v>
      </c>
      <c r="AA19" s="140">
        <f t="shared" si="2"/>
        <v>115207.9227908624</v>
      </c>
      <c r="AB19" s="141">
        <f t="shared" si="2"/>
        <v>117933.31641439316</v>
      </c>
      <c r="AC19" s="139">
        <f t="shared" si="3"/>
        <v>763.92727413380635</v>
      </c>
      <c r="AD19" s="140">
        <f t="shared" si="3"/>
        <v>756.72048202672158</v>
      </c>
      <c r="AE19" s="140">
        <f t="shared" si="3"/>
        <v>771.49066456957371</v>
      </c>
      <c r="AF19" s="140">
        <f t="shared" si="3"/>
        <v>763.92727413380635</v>
      </c>
      <c r="AG19" s="140">
        <f t="shared" si="3"/>
        <v>749.94601394476194</v>
      </c>
      <c r="AH19" s="141">
        <f t="shared" si="3"/>
        <v>785.72660616412759</v>
      </c>
      <c r="AI19" s="142">
        <f t="shared" si="4"/>
        <v>765.28971916213288</v>
      </c>
      <c r="AJ19" s="143">
        <f t="shared" si="5"/>
        <v>12.754828652702214</v>
      </c>
    </row>
    <row r="20" spans="1:36">
      <c r="A20" s="115">
        <v>75</v>
      </c>
      <c r="B20" s="131">
        <f>B19</f>
        <v>1</v>
      </c>
      <c r="C20" s="132">
        <f>C19</f>
        <v>2357</v>
      </c>
      <c r="D20" s="133">
        <v>5.0000000000000001E-3</v>
      </c>
      <c r="E20" s="134">
        <v>0.91963675213675222</v>
      </c>
      <c r="F20" s="144">
        <v>0.9235427350427351</v>
      </c>
      <c r="G20" s="144">
        <v>0.9091111111111112</v>
      </c>
      <c r="H20" s="144">
        <v>0.92017521367521371</v>
      </c>
      <c r="I20" s="144">
        <v>0.92213247863247871</v>
      </c>
      <c r="J20" s="136">
        <v>0.91074358974358982</v>
      </c>
      <c r="K20" s="137">
        <f t="shared" si="0"/>
        <v>0.91463675213675222</v>
      </c>
      <c r="L20" s="133">
        <f t="shared" si="0"/>
        <v>0.91854273504273509</v>
      </c>
      <c r="M20" s="133">
        <f t="shared" si="0"/>
        <v>0.9041111111111112</v>
      </c>
      <c r="N20" s="133">
        <f t="shared" si="0"/>
        <v>0.91517521367521371</v>
      </c>
      <c r="O20" s="133">
        <f t="shared" si="0"/>
        <v>0.91713247863247871</v>
      </c>
      <c r="P20" s="138">
        <f t="shared" si="0"/>
        <v>0.90574358974358982</v>
      </c>
      <c r="Q20" s="139">
        <f t="shared" si="1"/>
        <v>143398.08592207066</v>
      </c>
      <c r="R20" s="140">
        <f t="shared" si="1"/>
        <v>142791.60562493926</v>
      </c>
      <c r="S20" s="140">
        <f t="shared" si="1"/>
        <v>145058.34148130039</v>
      </c>
      <c r="T20" s="140">
        <f t="shared" si="1"/>
        <v>143314.17325760145</v>
      </c>
      <c r="U20" s="140">
        <f t="shared" si="1"/>
        <v>143009.98289916996</v>
      </c>
      <c r="V20" s="141">
        <f t="shared" si="1"/>
        <v>144798.3290633182</v>
      </c>
      <c r="W20" s="139">
        <f t="shared" si="2"/>
        <v>144181.99322509053</v>
      </c>
      <c r="X20" s="140">
        <f t="shared" si="2"/>
        <v>143568.87814682306</v>
      </c>
      <c r="Y20" s="140">
        <f t="shared" si="2"/>
        <v>145860.55671623445</v>
      </c>
      <c r="Z20" s="140">
        <f t="shared" si="2"/>
        <v>144097.16088180768</v>
      </c>
      <c r="AA20" s="140">
        <f t="shared" si="2"/>
        <v>143789.64116136785</v>
      </c>
      <c r="AB20" s="141">
        <f t="shared" si="2"/>
        <v>145597.66306194087</v>
      </c>
      <c r="AC20" s="139">
        <f t="shared" si="3"/>
        <v>783.90730301986332</v>
      </c>
      <c r="AD20" s="140">
        <f t="shared" si="3"/>
        <v>777.27252188380226</v>
      </c>
      <c r="AE20" s="140">
        <f t="shared" si="3"/>
        <v>802.2152349340613</v>
      </c>
      <c r="AF20" s="140">
        <f t="shared" si="3"/>
        <v>782.98762420623098</v>
      </c>
      <c r="AG20" s="140">
        <f t="shared" si="3"/>
        <v>779.65826219788869</v>
      </c>
      <c r="AH20" s="141">
        <f t="shared" si="3"/>
        <v>799.33399862266378</v>
      </c>
      <c r="AI20" s="142">
        <f t="shared" si="4"/>
        <v>787.56249081075168</v>
      </c>
      <c r="AJ20" s="143">
        <f t="shared" si="5"/>
        <v>10.500833210810022</v>
      </c>
    </row>
    <row r="21" spans="1:36">
      <c r="A21" s="115">
        <v>100</v>
      </c>
      <c r="B21" s="131">
        <f>B20</f>
        <v>1</v>
      </c>
      <c r="C21" s="132">
        <f>C20</f>
        <v>2357</v>
      </c>
      <c r="D21" s="133">
        <v>5.0000000000000001E-3</v>
      </c>
      <c r="E21" s="134">
        <v>0.92757485029940123</v>
      </c>
      <c r="F21" s="144">
        <v>0.92714371257485029</v>
      </c>
      <c r="G21" s="144">
        <v>0.91167065868263486</v>
      </c>
      <c r="H21" s="144">
        <v>0.92149101796407196</v>
      </c>
      <c r="I21" s="144">
        <v>0.92929341317365277</v>
      </c>
      <c r="J21" s="136">
        <v>0.9160359281437126</v>
      </c>
      <c r="K21" s="137">
        <f t="shared" si="0"/>
        <v>0.92257485029940123</v>
      </c>
      <c r="L21" s="133">
        <f t="shared" si="0"/>
        <v>0.92214371257485028</v>
      </c>
      <c r="M21" s="133">
        <f t="shared" si="0"/>
        <v>0.90667065868263486</v>
      </c>
      <c r="N21" s="133">
        <f t="shared" si="0"/>
        <v>0.91649101796407195</v>
      </c>
      <c r="O21" s="133">
        <f t="shared" si="0"/>
        <v>0.92429341317365277</v>
      </c>
      <c r="P21" s="138">
        <f t="shared" si="0"/>
        <v>0.91103592814371259</v>
      </c>
      <c r="Q21" s="139">
        <f t="shared" si="1"/>
        <v>189561.19815370705</v>
      </c>
      <c r="R21" s="140">
        <f t="shared" si="1"/>
        <v>189649.34736135061</v>
      </c>
      <c r="S21" s="140">
        <f t="shared" si="1"/>
        <v>192868.11341946412</v>
      </c>
      <c r="T21" s="140">
        <f t="shared" si="1"/>
        <v>190812.71175977486</v>
      </c>
      <c r="U21" s="140">
        <f t="shared" si="1"/>
        <v>189210.63843497084</v>
      </c>
      <c r="V21" s="141">
        <f t="shared" si="1"/>
        <v>191949.02142791773</v>
      </c>
      <c r="W21" s="139">
        <f t="shared" si="2"/>
        <v>190588.54676445771</v>
      </c>
      <c r="X21" s="140">
        <f t="shared" si="2"/>
        <v>190677.65425525006</v>
      </c>
      <c r="Y21" s="140">
        <f t="shared" si="2"/>
        <v>193931.71965604235</v>
      </c>
      <c r="Z21" s="140">
        <f t="shared" si="2"/>
        <v>191853.70784167675</v>
      </c>
      <c r="AA21" s="140">
        <f t="shared" si="2"/>
        <v>190234.18050363765</v>
      </c>
      <c r="AB21" s="141">
        <f t="shared" si="2"/>
        <v>193002.4871338149</v>
      </c>
      <c r="AC21" s="139">
        <f t="shared" si="3"/>
        <v>1027.3486107506615</v>
      </c>
      <c r="AD21" s="140">
        <f t="shared" si="3"/>
        <v>1028.3068938994547</v>
      </c>
      <c r="AE21" s="140">
        <f t="shared" si="3"/>
        <v>1063.6062365782273</v>
      </c>
      <c r="AF21" s="140">
        <f t="shared" si="3"/>
        <v>1040.9960819018888</v>
      </c>
      <c r="AG21" s="140">
        <f t="shared" si="3"/>
        <v>1023.5420686668076</v>
      </c>
      <c r="AH21" s="141">
        <f t="shared" si="3"/>
        <v>1053.4657058971643</v>
      </c>
      <c r="AI21" s="142">
        <f t="shared" si="4"/>
        <v>1039.5442662823673</v>
      </c>
      <c r="AJ21" s="143">
        <f t="shared" si="5"/>
        <v>10.395442662823672</v>
      </c>
    </row>
    <row r="22" spans="1:36">
      <c r="A22" s="115">
        <v>125</v>
      </c>
      <c r="B22" s="145">
        <v>0.96</v>
      </c>
      <c r="C22" s="132">
        <v>2198</v>
      </c>
      <c r="D22" s="133">
        <v>5.0000000000000001E-3</v>
      </c>
      <c r="E22" s="134">
        <v>0.92623893805309732</v>
      </c>
      <c r="F22" s="144">
        <v>0.9287345132743362</v>
      </c>
      <c r="G22" s="144">
        <v>0.91852212389380528</v>
      </c>
      <c r="H22" s="144">
        <v>0.92699115044247782</v>
      </c>
      <c r="I22" s="144">
        <v>0.9287345132743362</v>
      </c>
      <c r="J22" s="136">
        <v>0.91849557522123892</v>
      </c>
      <c r="K22" s="137">
        <f t="shared" si="0"/>
        <v>0.92123893805309731</v>
      </c>
      <c r="L22" s="133">
        <f t="shared" si="0"/>
        <v>0.9237345132743362</v>
      </c>
      <c r="M22" s="133">
        <f t="shared" si="0"/>
        <v>0.91352212389380527</v>
      </c>
      <c r="N22" s="133">
        <f t="shared" si="0"/>
        <v>0.92199115044247781</v>
      </c>
      <c r="O22" s="133">
        <f t="shared" si="0"/>
        <v>0.9237345132743362</v>
      </c>
      <c r="P22" s="138">
        <f t="shared" si="0"/>
        <v>0.91349557522123892</v>
      </c>
      <c r="Q22" s="139">
        <f t="shared" si="1"/>
        <v>212434.34271246355</v>
      </c>
      <c r="R22" s="140">
        <f t="shared" si="1"/>
        <v>211863.51663220485</v>
      </c>
      <c r="S22" s="140">
        <f t="shared" si="1"/>
        <v>214219.07527482585</v>
      </c>
      <c r="T22" s="140">
        <f t="shared" si="1"/>
        <v>212261.96162291168</v>
      </c>
      <c r="U22" s="140">
        <f t="shared" si="1"/>
        <v>211863.51663220485</v>
      </c>
      <c r="V22" s="141">
        <f t="shared" si="1"/>
        <v>214225.26717410155</v>
      </c>
      <c r="W22" s="139">
        <f t="shared" si="2"/>
        <v>213587.32449567723</v>
      </c>
      <c r="X22" s="140">
        <f t="shared" si="2"/>
        <v>213010.29372880381</v>
      </c>
      <c r="Y22" s="140">
        <f t="shared" si="2"/>
        <v>215391.56507924205</v>
      </c>
      <c r="Z22" s="140">
        <f t="shared" si="2"/>
        <v>213413.06790804819</v>
      </c>
      <c r="AA22" s="140">
        <f t="shared" si="2"/>
        <v>213010.29372880381</v>
      </c>
      <c r="AB22" s="141">
        <f t="shared" si="2"/>
        <v>215397.8249455074</v>
      </c>
      <c r="AC22" s="139">
        <f t="shared" si="3"/>
        <v>1152.981783213676</v>
      </c>
      <c r="AD22" s="140">
        <f t="shared" si="3"/>
        <v>1146.7770965989621</v>
      </c>
      <c r="AE22" s="140">
        <f t="shared" si="3"/>
        <v>1172.4898044161964</v>
      </c>
      <c r="AF22" s="140">
        <f t="shared" si="3"/>
        <v>1151.1062851365132</v>
      </c>
      <c r="AG22" s="140">
        <f t="shared" si="3"/>
        <v>1146.7770965989621</v>
      </c>
      <c r="AH22" s="141">
        <f t="shared" si="3"/>
        <v>1172.5577714058454</v>
      </c>
      <c r="AI22" s="142">
        <f t="shared" si="4"/>
        <v>1157.1149728950259</v>
      </c>
      <c r="AJ22" s="143">
        <f t="shared" si="5"/>
        <v>9.2569197831602068</v>
      </c>
    </row>
    <row r="23" spans="1:36">
      <c r="A23" s="115">
        <v>150</v>
      </c>
      <c r="B23" s="145">
        <f>B22</f>
        <v>0.96</v>
      </c>
      <c r="C23" s="132">
        <f>C22</f>
        <v>2198</v>
      </c>
      <c r="D23" s="133">
        <v>5.0000000000000001E-3</v>
      </c>
      <c r="E23" s="134">
        <v>0.93</v>
      </c>
      <c r="F23" s="144">
        <v>0.9325485714285715</v>
      </c>
      <c r="G23" s="144">
        <v>0.92086285714285721</v>
      </c>
      <c r="H23" s="144">
        <v>0.93496571428571429</v>
      </c>
      <c r="I23" s="144">
        <v>0.93415999999999999</v>
      </c>
      <c r="J23" s="136">
        <v>0.92100000000000004</v>
      </c>
      <c r="K23" s="137">
        <f t="shared" si="0"/>
        <v>0.92500000000000004</v>
      </c>
      <c r="L23" s="133">
        <f t="shared" si="0"/>
        <v>0.9275485714285715</v>
      </c>
      <c r="M23" s="133">
        <f t="shared" si="0"/>
        <v>0.9158628571428572</v>
      </c>
      <c r="N23" s="133">
        <f t="shared" si="0"/>
        <v>0.92996571428571428</v>
      </c>
      <c r="O23" s="133">
        <f t="shared" si="0"/>
        <v>0.92915999999999999</v>
      </c>
      <c r="P23" s="138">
        <f t="shared" si="0"/>
        <v>0.91600000000000004</v>
      </c>
      <c r="Q23" s="139">
        <f t="shared" si="1"/>
        <v>253890.27096774193</v>
      </c>
      <c r="R23" s="140">
        <f t="shared" si="1"/>
        <v>253196.41167675675</v>
      </c>
      <c r="S23" s="140">
        <f t="shared" si="1"/>
        <v>256409.46441536199</v>
      </c>
      <c r="T23" s="140">
        <f t="shared" si="1"/>
        <v>252541.82949412969</v>
      </c>
      <c r="U23" s="140">
        <f t="shared" si="1"/>
        <v>252759.64716964978</v>
      </c>
      <c r="V23" s="141">
        <f t="shared" si="1"/>
        <v>256371.28338762218</v>
      </c>
      <c r="W23" s="139">
        <f t="shared" si="2"/>
        <v>255262.6508108108</v>
      </c>
      <c r="X23" s="140">
        <f t="shared" si="2"/>
        <v>254561.28042582292</v>
      </c>
      <c r="Y23" s="140">
        <f t="shared" si="2"/>
        <v>257809.2889765155</v>
      </c>
      <c r="Z23" s="140">
        <f t="shared" si="2"/>
        <v>253899.63132281377</v>
      </c>
      <c r="AA23" s="140">
        <f t="shared" si="2"/>
        <v>254119.79852770246</v>
      </c>
      <c r="AB23" s="141">
        <f t="shared" si="2"/>
        <v>257770.68995633186</v>
      </c>
      <c r="AC23" s="139">
        <f t="shared" si="3"/>
        <v>1372.3798430688621</v>
      </c>
      <c r="AD23" s="140">
        <f t="shared" si="3"/>
        <v>1364.8687490661687</v>
      </c>
      <c r="AE23" s="140">
        <f t="shared" si="3"/>
        <v>1399.8245611535094</v>
      </c>
      <c r="AF23" s="140">
        <f t="shared" si="3"/>
        <v>1357.8018286840816</v>
      </c>
      <c r="AG23" s="140">
        <f t="shared" si="3"/>
        <v>1360.1513580526807</v>
      </c>
      <c r="AH23" s="141">
        <f t="shared" si="3"/>
        <v>1399.4065687096736</v>
      </c>
      <c r="AI23" s="142">
        <f t="shared" si="4"/>
        <v>1375.738818122496</v>
      </c>
      <c r="AJ23" s="143">
        <f t="shared" si="5"/>
        <v>9.1715921208166407</v>
      </c>
    </row>
    <row r="24" spans="1:36">
      <c r="A24" s="115">
        <v>200</v>
      </c>
      <c r="B24" s="145">
        <f>B23</f>
        <v>0.96</v>
      </c>
      <c r="C24" s="132">
        <f>C23</f>
        <v>2198</v>
      </c>
      <c r="D24" s="133">
        <v>5.0000000000000001E-3</v>
      </c>
      <c r="E24" s="134">
        <v>0.93235915492957755</v>
      </c>
      <c r="F24" s="144">
        <v>0.93408450704225343</v>
      </c>
      <c r="G24" s="144">
        <v>0.92088028169014091</v>
      </c>
      <c r="H24" s="144">
        <v>0.93084507042253528</v>
      </c>
      <c r="I24" s="144">
        <v>0.93827464788732384</v>
      </c>
      <c r="J24" s="136">
        <v>0.93799295774647884</v>
      </c>
      <c r="K24" s="137">
        <f t="shared" si="0"/>
        <v>0.92735915492957754</v>
      </c>
      <c r="L24" s="133">
        <f t="shared" si="0"/>
        <v>0.92908450704225343</v>
      </c>
      <c r="M24" s="133">
        <f t="shared" si="0"/>
        <v>0.91588028169014091</v>
      </c>
      <c r="N24" s="133">
        <f t="shared" si="0"/>
        <v>0.92584507042253528</v>
      </c>
      <c r="O24" s="133">
        <f t="shared" si="0"/>
        <v>0.93327464788732384</v>
      </c>
      <c r="P24" s="138">
        <f t="shared" si="0"/>
        <v>0.93299295774647883</v>
      </c>
      <c r="Q24" s="139">
        <f t="shared" si="1"/>
        <v>337663.80083840009</v>
      </c>
      <c r="R24" s="140">
        <f t="shared" si="1"/>
        <v>337040.10036188172</v>
      </c>
      <c r="S24" s="140">
        <f t="shared" si="1"/>
        <v>341872.81697701977</v>
      </c>
      <c r="T24" s="140">
        <f t="shared" si="1"/>
        <v>338213.03458919644</v>
      </c>
      <c r="U24" s="140">
        <f t="shared" si="1"/>
        <v>335534.94886478776</v>
      </c>
      <c r="V24" s="141">
        <f t="shared" si="1"/>
        <v>335635.71389316407</v>
      </c>
      <c r="W24" s="139">
        <f t="shared" si="2"/>
        <v>339484.36733113095</v>
      </c>
      <c r="X24" s="140">
        <f t="shared" si="2"/>
        <v>338853.9294474342</v>
      </c>
      <c r="Y24" s="140">
        <f t="shared" si="2"/>
        <v>343739.178901234</v>
      </c>
      <c r="Z24" s="140">
        <f t="shared" si="2"/>
        <v>340039.54447402438</v>
      </c>
      <c r="AA24" s="140">
        <f t="shared" si="2"/>
        <v>337332.57054895296</v>
      </c>
      <c r="AB24" s="141">
        <f t="shared" si="2"/>
        <v>337434.41832660296</v>
      </c>
      <c r="AC24" s="139">
        <f t="shared" si="3"/>
        <v>1820.566492730868</v>
      </c>
      <c r="AD24" s="140">
        <f t="shared" si="3"/>
        <v>1813.8290855524829</v>
      </c>
      <c r="AE24" s="140">
        <f t="shared" si="3"/>
        <v>1866.3619242142304</v>
      </c>
      <c r="AF24" s="140">
        <f t="shared" si="3"/>
        <v>1826.5098848279449</v>
      </c>
      <c r="AG24" s="140">
        <f t="shared" si="3"/>
        <v>1797.6216841652058</v>
      </c>
      <c r="AH24" s="141">
        <f t="shared" si="3"/>
        <v>1798.704433438892</v>
      </c>
      <c r="AI24" s="142">
        <f t="shared" si="4"/>
        <v>1820.5989174882707</v>
      </c>
      <c r="AJ24" s="143">
        <f t="shared" si="5"/>
        <v>9.1029945874413531</v>
      </c>
    </row>
    <row r="25" spans="1:36">
      <c r="A25" s="115">
        <v>250</v>
      </c>
      <c r="B25" s="145">
        <v>1</v>
      </c>
      <c r="C25" s="132">
        <v>2674</v>
      </c>
      <c r="D25" s="133">
        <v>5.0000000000000001E-3</v>
      </c>
      <c r="E25" s="134">
        <v>0.94188636363636347</v>
      </c>
      <c r="F25" s="144">
        <v>0.94495454545454538</v>
      </c>
      <c r="G25" s="144">
        <v>0.93136363636363639</v>
      </c>
      <c r="H25" s="144">
        <v>0.94495454545454538</v>
      </c>
      <c r="I25" s="144">
        <v>0.94336363636363618</v>
      </c>
      <c r="J25" s="136">
        <v>0.94774999999999987</v>
      </c>
      <c r="K25" s="137">
        <f t="shared" si="0"/>
        <v>0.93688636363636346</v>
      </c>
      <c r="L25" s="133">
        <f t="shared" si="0"/>
        <v>0.93995454545454538</v>
      </c>
      <c r="M25" s="133">
        <f t="shared" si="0"/>
        <v>0.92636363636363639</v>
      </c>
      <c r="N25" s="133">
        <f t="shared" si="0"/>
        <v>0.93995454545454538</v>
      </c>
      <c r="O25" s="133">
        <f t="shared" si="0"/>
        <v>0.93836363636363618</v>
      </c>
      <c r="P25" s="138">
        <f t="shared" si="0"/>
        <v>0.94274999999999987</v>
      </c>
      <c r="Q25" s="139">
        <f t="shared" si="1"/>
        <v>529470.45339381811</v>
      </c>
      <c r="R25" s="140">
        <f t="shared" si="1"/>
        <v>527751.31078935985</v>
      </c>
      <c r="S25" s="140">
        <f t="shared" si="1"/>
        <v>535452.51342118112</v>
      </c>
      <c r="T25" s="140">
        <f t="shared" si="1"/>
        <v>527751.31078935985</v>
      </c>
      <c r="U25" s="140">
        <f t="shared" si="1"/>
        <v>528641.32215476548</v>
      </c>
      <c r="V25" s="141">
        <f t="shared" si="1"/>
        <v>526194.67159060948</v>
      </c>
      <c r="W25" s="139">
        <f t="shared" si="2"/>
        <v>532296.14535574813</v>
      </c>
      <c r="X25" s="140">
        <f t="shared" si="2"/>
        <v>530558.63436336385</v>
      </c>
      <c r="Y25" s="140">
        <f t="shared" si="2"/>
        <v>538342.59077526978</v>
      </c>
      <c r="Z25" s="140">
        <f t="shared" si="2"/>
        <v>530558.63436336385</v>
      </c>
      <c r="AA25" s="140">
        <f t="shared" si="2"/>
        <v>531458.14764580515</v>
      </c>
      <c r="AB25" s="141">
        <f t="shared" si="2"/>
        <v>528985.41500928148</v>
      </c>
      <c r="AC25" s="139">
        <f t="shared" si="3"/>
        <v>2825.691961930017</v>
      </c>
      <c r="AD25" s="140">
        <f t="shared" si="3"/>
        <v>2807.3235740039963</v>
      </c>
      <c r="AE25" s="140">
        <f t="shared" si="3"/>
        <v>2890.0773540886585</v>
      </c>
      <c r="AF25" s="140">
        <f t="shared" si="3"/>
        <v>2807.3235740039963</v>
      </c>
      <c r="AG25" s="140">
        <f t="shared" si="3"/>
        <v>2816.8254910396645</v>
      </c>
      <c r="AH25" s="141">
        <f t="shared" si="3"/>
        <v>2790.7434186720056</v>
      </c>
      <c r="AI25" s="142">
        <f t="shared" si="4"/>
        <v>2822.9975622897232</v>
      </c>
      <c r="AJ25" s="143">
        <f t="shared" si="5"/>
        <v>11.291990249158893</v>
      </c>
    </row>
    <row r="26" spans="1:36">
      <c r="A26" s="115">
        <v>300</v>
      </c>
      <c r="B26" s="145">
        <f t="shared" ref="B26:C30" si="7">B25</f>
        <v>1</v>
      </c>
      <c r="C26" s="132">
        <f t="shared" si="7"/>
        <v>2674</v>
      </c>
      <c r="D26" s="133">
        <v>5.0000000000000001E-3</v>
      </c>
      <c r="E26" s="134">
        <v>0.94459259259259254</v>
      </c>
      <c r="F26" s="144">
        <v>0.94671111111111106</v>
      </c>
      <c r="G26" s="144">
        <v>0.93988888888888888</v>
      </c>
      <c r="H26" s="144">
        <v>0.94482962962962957</v>
      </c>
      <c r="I26" s="144">
        <v>0.94506666666666661</v>
      </c>
      <c r="J26" s="136">
        <v>0.94765185185185186</v>
      </c>
      <c r="K26" s="137">
        <f t="shared" si="0"/>
        <v>0.93959259259259253</v>
      </c>
      <c r="L26" s="133">
        <f t="shared" si="0"/>
        <v>0.94171111111111105</v>
      </c>
      <c r="M26" s="133">
        <f t="shared" si="0"/>
        <v>0.93488888888888888</v>
      </c>
      <c r="N26" s="133">
        <f t="shared" si="0"/>
        <v>0.93982962962962957</v>
      </c>
      <c r="O26" s="133">
        <f t="shared" si="0"/>
        <v>0.94006666666666661</v>
      </c>
      <c r="P26" s="138">
        <f t="shared" si="0"/>
        <v>0.94265185185185185</v>
      </c>
      <c r="Q26" s="139">
        <f t="shared" si="1"/>
        <v>633544.24404015078</v>
      </c>
      <c r="R26" s="140">
        <f t="shared" si="1"/>
        <v>632126.51988169574</v>
      </c>
      <c r="S26" s="140">
        <f t="shared" si="1"/>
        <v>636714.83626906271</v>
      </c>
      <c r="T26" s="140">
        <f t="shared" si="1"/>
        <v>633385.30168088316</v>
      </c>
      <c r="U26" s="140">
        <f t="shared" si="1"/>
        <v>633226.4390519188</v>
      </c>
      <c r="V26" s="141">
        <f t="shared" si="1"/>
        <v>631499.00338458421</v>
      </c>
      <c r="W26" s="139">
        <f t="shared" si="2"/>
        <v>636915.62142772693</v>
      </c>
      <c r="X26" s="140">
        <f t="shared" si="2"/>
        <v>635482.78547325206</v>
      </c>
      <c r="Y26" s="140">
        <f t="shared" si="2"/>
        <v>640120.13311148097</v>
      </c>
      <c r="Z26" s="140">
        <f t="shared" si="2"/>
        <v>636754.9831726792</v>
      </c>
      <c r="AA26" s="140">
        <f t="shared" si="2"/>
        <v>636594.42592723935</v>
      </c>
      <c r="AB26" s="141">
        <f t="shared" si="2"/>
        <v>634848.59105125035</v>
      </c>
      <c r="AC26" s="139">
        <f t="shared" si="3"/>
        <v>3371.3773875761544</v>
      </c>
      <c r="AD26" s="140">
        <f t="shared" si="3"/>
        <v>3356.2655915563228</v>
      </c>
      <c r="AE26" s="140">
        <f t="shared" si="3"/>
        <v>3405.2968424182618</v>
      </c>
      <c r="AF26" s="140">
        <f t="shared" si="3"/>
        <v>3369.6814917960437</v>
      </c>
      <c r="AG26" s="140">
        <f t="shared" si="3"/>
        <v>3367.9868753205519</v>
      </c>
      <c r="AH26" s="141">
        <f t="shared" si="3"/>
        <v>3349.5876666661352</v>
      </c>
      <c r="AI26" s="142">
        <f t="shared" si="4"/>
        <v>3370.0326425555781</v>
      </c>
      <c r="AJ26" s="143">
        <f t="shared" si="5"/>
        <v>11.233442141851928</v>
      </c>
    </row>
    <row r="27" spans="1:36">
      <c r="A27" s="115">
        <v>350</v>
      </c>
      <c r="B27" s="145">
        <f t="shared" si="7"/>
        <v>1</v>
      </c>
      <c r="C27" s="132">
        <f t="shared" si="7"/>
        <v>2674</v>
      </c>
      <c r="D27" s="133">
        <v>5.0000000000000001E-3</v>
      </c>
      <c r="E27" s="134">
        <v>0.94576829268292673</v>
      </c>
      <c r="F27" s="144">
        <v>0.94245121951219502</v>
      </c>
      <c r="G27" s="144">
        <v>0.94302439024390239</v>
      </c>
      <c r="H27" s="144">
        <v>0.94428048780487794</v>
      </c>
      <c r="I27" s="144">
        <v>0.94736585365853654</v>
      </c>
      <c r="J27" s="136">
        <v>0.9479390243902438</v>
      </c>
      <c r="K27" s="137">
        <f t="shared" si="0"/>
        <v>0.94076829268292672</v>
      </c>
      <c r="L27" s="133">
        <f t="shared" si="0"/>
        <v>0.93745121951219501</v>
      </c>
      <c r="M27" s="133">
        <f t="shared" si="0"/>
        <v>0.93802439024390238</v>
      </c>
      <c r="N27" s="133">
        <f t="shared" si="0"/>
        <v>0.93928048780487794</v>
      </c>
      <c r="O27" s="133">
        <f t="shared" si="0"/>
        <v>0.94236585365853653</v>
      </c>
      <c r="P27" s="138">
        <f t="shared" si="0"/>
        <v>0.9429390243902438</v>
      </c>
      <c r="Q27" s="139">
        <f t="shared" si="1"/>
        <v>738216.12058850098</v>
      </c>
      <c r="R27" s="140">
        <f t="shared" si="1"/>
        <v>740814.36316817859</v>
      </c>
      <c r="S27" s="140">
        <f t="shared" si="1"/>
        <v>740364.09579971037</v>
      </c>
      <c r="T27" s="140">
        <f t="shared" si="1"/>
        <v>739379.25120429811</v>
      </c>
      <c r="U27" s="140">
        <f t="shared" si="1"/>
        <v>736971.25276762282</v>
      </c>
      <c r="V27" s="141">
        <f t="shared" si="1"/>
        <v>736525.64356563031</v>
      </c>
      <c r="W27" s="139">
        <f t="shared" si="2"/>
        <v>742139.59529704589</v>
      </c>
      <c r="X27" s="140">
        <f t="shared" si="2"/>
        <v>744765.57869677781</v>
      </c>
      <c r="Y27" s="140">
        <f t="shared" si="2"/>
        <v>744310.49689279497</v>
      </c>
      <c r="Z27" s="140">
        <f t="shared" si="2"/>
        <v>743315.1322366629</v>
      </c>
      <c r="AA27" s="140">
        <f t="shared" si="2"/>
        <v>740881.47112871089</v>
      </c>
      <c r="AB27" s="141">
        <f t="shared" si="2"/>
        <v>740431.12220483448</v>
      </c>
      <c r="AC27" s="139">
        <f t="shared" si="3"/>
        <v>3923.4747085449053</v>
      </c>
      <c r="AD27" s="140">
        <f t="shared" si="3"/>
        <v>3951.2155285992194</v>
      </c>
      <c r="AE27" s="140">
        <f t="shared" si="3"/>
        <v>3946.401093084598</v>
      </c>
      <c r="AF27" s="140">
        <f t="shared" si="3"/>
        <v>3935.8810323647922</v>
      </c>
      <c r="AG27" s="140">
        <f t="shared" si="3"/>
        <v>3910.2183610880747</v>
      </c>
      <c r="AH27" s="141">
        <f t="shared" si="3"/>
        <v>3905.4786392041715</v>
      </c>
      <c r="AI27" s="142">
        <f t="shared" si="4"/>
        <v>3928.7782271476267</v>
      </c>
      <c r="AJ27" s="143">
        <f t="shared" si="5"/>
        <v>11.225080648993218</v>
      </c>
    </row>
    <row r="28" spans="1:36">
      <c r="A28" s="115">
        <v>400</v>
      </c>
      <c r="B28" s="145">
        <f t="shared" si="7"/>
        <v>1</v>
      </c>
      <c r="C28" s="146">
        <f t="shared" si="7"/>
        <v>2674</v>
      </c>
      <c r="D28" s="133">
        <v>5.0000000000000001E-3</v>
      </c>
      <c r="E28" s="134">
        <v>0.95414545454545452</v>
      </c>
      <c r="F28" s="144">
        <v>0.94740000000000002</v>
      </c>
      <c r="G28" s="144">
        <v>0.94354545454545447</v>
      </c>
      <c r="H28" s="144">
        <v>0.95029090909090908</v>
      </c>
      <c r="I28" s="144">
        <v>0.94850909090909086</v>
      </c>
      <c r="J28" s="136">
        <v>0.9483636363636363</v>
      </c>
      <c r="K28" s="137">
        <f t="shared" si="0"/>
        <v>0.94914545454545451</v>
      </c>
      <c r="L28" s="133">
        <f t="shared" si="0"/>
        <v>0.94240000000000002</v>
      </c>
      <c r="M28" s="133">
        <f t="shared" si="0"/>
        <v>0.93854545454545446</v>
      </c>
      <c r="N28" s="133">
        <f t="shared" si="0"/>
        <v>0.94529090909090907</v>
      </c>
      <c r="O28" s="133">
        <f t="shared" si="0"/>
        <v>0.94350909090909085</v>
      </c>
      <c r="P28" s="138">
        <f t="shared" si="0"/>
        <v>0.94336363636363629</v>
      </c>
      <c r="Q28" s="139">
        <f t="shared" si="1"/>
        <v>836268.30290788517</v>
      </c>
      <c r="R28" s="140">
        <f t="shared" si="1"/>
        <v>842222.50369432115</v>
      </c>
      <c r="S28" s="140">
        <f t="shared" si="1"/>
        <v>845663.12746892765</v>
      </c>
      <c r="T28" s="140">
        <f t="shared" si="1"/>
        <v>839660.35281062254</v>
      </c>
      <c r="U28" s="140">
        <f t="shared" si="1"/>
        <v>841237.69360527524</v>
      </c>
      <c r="V28" s="141">
        <f t="shared" si="1"/>
        <v>841366.71779141098</v>
      </c>
      <c r="W28" s="139">
        <f t="shared" si="2"/>
        <v>840673.67775798333</v>
      </c>
      <c r="X28" s="140">
        <f t="shared" si="2"/>
        <v>846691.00169779279</v>
      </c>
      <c r="Y28" s="140">
        <f t="shared" si="2"/>
        <v>850168.30685780721</v>
      </c>
      <c r="Z28" s="140">
        <f t="shared" si="2"/>
        <v>844101.63297493802</v>
      </c>
      <c r="AA28" s="140">
        <f t="shared" si="2"/>
        <v>845695.72003931156</v>
      </c>
      <c r="AB28" s="141">
        <f t="shared" si="2"/>
        <v>845826.1154476247</v>
      </c>
      <c r="AC28" s="139">
        <f t="shared" si="3"/>
        <v>4405.3748500981601</v>
      </c>
      <c r="AD28" s="140">
        <f t="shared" si="3"/>
        <v>4468.4980034716427</v>
      </c>
      <c r="AE28" s="140">
        <f t="shared" si="3"/>
        <v>4505.1793888795655</v>
      </c>
      <c r="AF28" s="140">
        <f t="shared" si="3"/>
        <v>4441.2801643154817</v>
      </c>
      <c r="AG28" s="140">
        <f t="shared" si="3"/>
        <v>4458.026434036321</v>
      </c>
      <c r="AH28" s="141">
        <f t="shared" si="3"/>
        <v>4459.397656213725</v>
      </c>
      <c r="AI28" s="142">
        <f t="shared" si="4"/>
        <v>4456.2927495024824</v>
      </c>
      <c r="AJ28" s="143">
        <f t="shared" si="5"/>
        <v>11.140731873756206</v>
      </c>
    </row>
    <row r="29" spans="1:36">
      <c r="A29" s="115">
        <v>450</v>
      </c>
      <c r="B29" s="145">
        <f t="shared" si="7"/>
        <v>1</v>
      </c>
      <c r="C29" s="146">
        <f t="shared" si="7"/>
        <v>2674</v>
      </c>
      <c r="D29" s="133">
        <v>5.0000000000000001E-3</v>
      </c>
      <c r="E29" s="134">
        <v>0.95448484848484849</v>
      </c>
      <c r="F29" s="144">
        <v>0.95072727272727275</v>
      </c>
      <c r="G29" s="144">
        <v>0.94672727272727275</v>
      </c>
      <c r="H29" s="144">
        <v>0.95048484848484849</v>
      </c>
      <c r="I29" s="144">
        <v>0.94978787878787885</v>
      </c>
      <c r="J29" s="136">
        <v>0.94578787878787873</v>
      </c>
      <c r="K29" s="137">
        <f t="shared" si="0"/>
        <v>0.94948484848484849</v>
      </c>
      <c r="L29" s="133">
        <f t="shared" si="0"/>
        <v>0.94572727272727275</v>
      </c>
      <c r="M29" s="133">
        <f t="shared" si="0"/>
        <v>0.94172727272727275</v>
      </c>
      <c r="N29" s="133">
        <f t="shared" si="0"/>
        <v>0.94548484848484848</v>
      </c>
      <c r="O29" s="133">
        <f t="shared" si="0"/>
        <v>0.94478787878787884</v>
      </c>
      <c r="P29" s="138">
        <f t="shared" si="0"/>
        <v>0.94078787878787873</v>
      </c>
      <c r="Q29" s="139">
        <f t="shared" si="1"/>
        <v>940467.31221029896</v>
      </c>
      <c r="R29" s="140">
        <f t="shared" si="1"/>
        <v>944184.33734939748</v>
      </c>
      <c r="S29" s="140">
        <f t="shared" si="1"/>
        <v>948173.59323986934</v>
      </c>
      <c r="T29" s="140">
        <f t="shared" si="1"/>
        <v>944425.15462602815</v>
      </c>
      <c r="U29" s="140">
        <f t="shared" si="1"/>
        <v>945118.18906932964</v>
      </c>
      <c r="V29" s="141">
        <f t="shared" si="1"/>
        <v>949115.35676524288</v>
      </c>
      <c r="W29" s="139">
        <f t="shared" si="2"/>
        <v>945419.82574282703</v>
      </c>
      <c r="X29" s="140">
        <f t="shared" si="2"/>
        <v>949176.17994809174</v>
      </c>
      <c r="Y29" s="140">
        <f t="shared" si="2"/>
        <v>953207.81928757601</v>
      </c>
      <c r="Z29" s="140">
        <f t="shared" si="2"/>
        <v>949419.55065542751</v>
      </c>
      <c r="AA29" s="140">
        <f t="shared" si="2"/>
        <v>950119.93713515927</v>
      </c>
      <c r="AB29" s="141">
        <f t="shared" si="2"/>
        <v>954159.61476518714</v>
      </c>
      <c r="AC29" s="139">
        <f t="shared" si="3"/>
        <v>4952.5135325280717</v>
      </c>
      <c r="AD29" s="140">
        <f t="shared" si="3"/>
        <v>4991.8425986942602</v>
      </c>
      <c r="AE29" s="140">
        <f t="shared" si="3"/>
        <v>5034.2260477066739</v>
      </c>
      <c r="AF29" s="140">
        <f t="shared" si="3"/>
        <v>4994.3960293993587</v>
      </c>
      <c r="AG29" s="140">
        <f t="shared" si="3"/>
        <v>5001.7480658296263</v>
      </c>
      <c r="AH29" s="141">
        <f t="shared" si="3"/>
        <v>5044.2579999442678</v>
      </c>
      <c r="AI29" s="142">
        <f t="shared" si="4"/>
        <v>5003.1640456837094</v>
      </c>
      <c r="AJ29" s="143">
        <f t="shared" si="5"/>
        <v>11.118142323741576</v>
      </c>
    </row>
    <row r="30" spans="1:36">
      <c r="A30" s="115">
        <v>500</v>
      </c>
      <c r="B30" s="145">
        <f t="shared" si="7"/>
        <v>1</v>
      </c>
      <c r="C30" s="146">
        <f t="shared" si="7"/>
        <v>2674</v>
      </c>
      <c r="D30" s="133">
        <v>5.0000000000000001E-3</v>
      </c>
      <c r="E30" s="134">
        <v>0.95399999999999996</v>
      </c>
      <c r="F30" s="144">
        <v>0.95</v>
      </c>
      <c r="G30" s="144">
        <v>0.94599999999999995</v>
      </c>
      <c r="H30" s="144">
        <v>0.95</v>
      </c>
      <c r="I30" s="144">
        <v>0.94899999999999995</v>
      </c>
      <c r="J30" s="136">
        <v>0.94499999999999995</v>
      </c>
      <c r="K30" s="137">
        <f t="shared" si="0"/>
        <v>0.94899999999999995</v>
      </c>
      <c r="L30" s="133">
        <f t="shared" si="0"/>
        <v>0.94499999999999995</v>
      </c>
      <c r="M30" s="133">
        <f t="shared" si="0"/>
        <v>0.94099999999999995</v>
      </c>
      <c r="N30" s="133">
        <f t="shared" si="0"/>
        <v>0.94499999999999995</v>
      </c>
      <c r="O30" s="133">
        <f t="shared" si="0"/>
        <v>0.94399999999999995</v>
      </c>
      <c r="P30" s="138">
        <f t="shared" si="0"/>
        <v>0.94</v>
      </c>
      <c r="Q30" s="139">
        <f t="shared" si="1"/>
        <v>1045494.7589098533</v>
      </c>
      <c r="R30" s="140">
        <f t="shared" si="1"/>
        <v>1049896.8421052631</v>
      </c>
      <c r="S30" s="140">
        <f t="shared" si="1"/>
        <v>1054336.1522198732</v>
      </c>
      <c r="T30" s="140">
        <f t="shared" si="1"/>
        <v>1049896.8421052631</v>
      </c>
      <c r="U30" s="140">
        <f t="shared" si="1"/>
        <v>1051003.1612223394</v>
      </c>
      <c r="V30" s="141">
        <f t="shared" si="1"/>
        <v>1055451.8518518519</v>
      </c>
      <c r="W30" s="139">
        <f t="shared" si="2"/>
        <v>1051003.1612223394</v>
      </c>
      <c r="X30" s="140">
        <f t="shared" si="2"/>
        <v>1055451.8518518519</v>
      </c>
      <c r="Y30" s="140">
        <f t="shared" si="2"/>
        <v>1059938.3634431458</v>
      </c>
      <c r="Z30" s="140">
        <f t="shared" si="2"/>
        <v>1055451.8518518519</v>
      </c>
      <c r="AA30" s="140">
        <f t="shared" si="2"/>
        <v>1056569.9152542374</v>
      </c>
      <c r="AB30" s="141">
        <f t="shared" si="2"/>
        <v>1061065.9574468085</v>
      </c>
      <c r="AC30" s="139">
        <f t="shared" si="3"/>
        <v>5508.4023124860832</v>
      </c>
      <c r="AD30" s="140">
        <f t="shared" si="3"/>
        <v>5555.0097465887666</v>
      </c>
      <c r="AE30" s="140">
        <f t="shared" si="3"/>
        <v>5602.2112232726067</v>
      </c>
      <c r="AF30" s="140">
        <f t="shared" si="3"/>
        <v>5555.0097465887666</v>
      </c>
      <c r="AG30" s="140">
        <f t="shared" si="3"/>
        <v>5566.7540318979882</v>
      </c>
      <c r="AH30" s="141">
        <f t="shared" si="3"/>
        <v>5614.1055949565489</v>
      </c>
      <c r="AI30" s="142">
        <f t="shared" si="4"/>
        <v>5566.9154426317937</v>
      </c>
      <c r="AJ30" s="143">
        <f t="shared" si="5"/>
        <v>11.133830885263587</v>
      </c>
    </row>
    <row r="31" spans="1:36">
      <c r="A31" s="115">
        <v>600</v>
      </c>
      <c r="B31" s="147">
        <v>1.1499999999999999</v>
      </c>
      <c r="C31" s="146">
        <v>2124</v>
      </c>
      <c r="D31" s="133">
        <v>5.0000000000000001E-3</v>
      </c>
      <c r="E31" s="311">
        <v>0.94199999999999995</v>
      </c>
      <c r="F31" s="312"/>
      <c r="G31" s="312"/>
      <c r="H31" s="312"/>
      <c r="I31" s="312"/>
      <c r="J31" s="313"/>
      <c r="K31" s="311">
        <f t="shared" ref="K31:K46" si="8">E31-D31</f>
        <v>0.93699999999999994</v>
      </c>
      <c r="L31" s="312"/>
      <c r="M31" s="312"/>
      <c r="N31" s="312"/>
      <c r="O31" s="312"/>
      <c r="P31" s="313"/>
      <c r="Q31" s="314">
        <f t="shared" ref="Q31:Q46" si="9">($A31*0.746*$B31*$C31*(1/E31))</f>
        <v>1160623.9490445859</v>
      </c>
      <c r="R31" s="315"/>
      <c r="S31" s="315"/>
      <c r="T31" s="315"/>
      <c r="U31" s="315"/>
      <c r="V31" s="316"/>
      <c r="W31" s="314">
        <f t="shared" ref="W31:W46" si="10">($A31*0.746*$B31*$C31*(1/(K31)))</f>
        <v>1166817.2465314837</v>
      </c>
      <c r="X31" s="315"/>
      <c r="Y31" s="315"/>
      <c r="Z31" s="315"/>
      <c r="AA31" s="315"/>
      <c r="AB31" s="316"/>
      <c r="AC31" s="317">
        <f t="shared" ref="AC31:AC46" si="11">W31-Q31</f>
        <v>6193.2974868977908</v>
      </c>
      <c r="AD31" s="318"/>
      <c r="AE31" s="318"/>
      <c r="AF31" s="318"/>
      <c r="AG31" s="318"/>
      <c r="AH31" s="319"/>
      <c r="AI31" s="142">
        <f t="shared" ref="AI31:AI46" si="12">AC31</f>
        <v>6193.2974868977908</v>
      </c>
      <c r="AJ31" s="143">
        <f t="shared" si="5"/>
        <v>10.322162478162985</v>
      </c>
    </row>
    <row r="32" spans="1:36">
      <c r="A32" s="115">
        <v>700</v>
      </c>
      <c r="B32" s="147">
        <f t="shared" ref="B32:C34" si="13">B31</f>
        <v>1.1499999999999999</v>
      </c>
      <c r="C32" s="146">
        <f t="shared" si="13"/>
        <v>2124</v>
      </c>
      <c r="D32" s="133">
        <v>5.0000000000000001E-3</v>
      </c>
      <c r="E32" s="311">
        <v>0.94399999999999995</v>
      </c>
      <c r="F32" s="312"/>
      <c r="G32" s="312"/>
      <c r="H32" s="312"/>
      <c r="I32" s="312"/>
      <c r="J32" s="313"/>
      <c r="K32" s="311">
        <f t="shared" si="8"/>
        <v>0.93899999999999995</v>
      </c>
      <c r="L32" s="312"/>
      <c r="M32" s="312"/>
      <c r="N32" s="312"/>
      <c r="O32" s="312"/>
      <c r="P32" s="313"/>
      <c r="Q32" s="314">
        <f t="shared" si="9"/>
        <v>1351192.5</v>
      </c>
      <c r="R32" s="315"/>
      <c r="S32" s="315"/>
      <c r="T32" s="315"/>
      <c r="U32" s="315"/>
      <c r="V32" s="316"/>
      <c r="W32" s="314">
        <f t="shared" si="10"/>
        <v>1358387.3482428114</v>
      </c>
      <c r="X32" s="315"/>
      <c r="Y32" s="315"/>
      <c r="Z32" s="315"/>
      <c r="AA32" s="315"/>
      <c r="AB32" s="316"/>
      <c r="AC32" s="317">
        <f t="shared" si="11"/>
        <v>7194.848242811393</v>
      </c>
      <c r="AD32" s="318"/>
      <c r="AE32" s="318"/>
      <c r="AF32" s="318"/>
      <c r="AG32" s="318"/>
      <c r="AH32" s="319"/>
      <c r="AI32" s="142">
        <f t="shared" si="12"/>
        <v>7194.848242811393</v>
      </c>
      <c r="AJ32" s="143">
        <f t="shared" si="5"/>
        <v>10.278354632587705</v>
      </c>
    </row>
    <row r="33" spans="1:36">
      <c r="A33" s="115">
        <v>800</v>
      </c>
      <c r="B33" s="147">
        <f t="shared" si="13"/>
        <v>1.1499999999999999</v>
      </c>
      <c r="C33" s="146">
        <f t="shared" si="13"/>
        <v>2124</v>
      </c>
      <c r="D33" s="133">
        <v>5.0000000000000001E-3</v>
      </c>
      <c r="E33" s="311">
        <v>0.94499999999999995</v>
      </c>
      <c r="F33" s="312"/>
      <c r="G33" s="312"/>
      <c r="H33" s="312"/>
      <c r="I33" s="312"/>
      <c r="J33" s="313"/>
      <c r="K33" s="311">
        <f t="shared" si="8"/>
        <v>0.94</v>
      </c>
      <c r="L33" s="312"/>
      <c r="M33" s="312"/>
      <c r="N33" s="312"/>
      <c r="O33" s="312"/>
      <c r="P33" s="313"/>
      <c r="Q33" s="314">
        <f t="shared" si="9"/>
        <v>1542585.9047619049</v>
      </c>
      <c r="R33" s="315"/>
      <c r="S33" s="315"/>
      <c r="T33" s="315"/>
      <c r="U33" s="315"/>
      <c r="V33" s="316"/>
      <c r="W33" s="314">
        <f t="shared" si="10"/>
        <v>1550791.1489361702</v>
      </c>
      <c r="X33" s="315"/>
      <c r="Y33" s="315"/>
      <c r="Z33" s="315"/>
      <c r="AA33" s="315"/>
      <c r="AB33" s="316"/>
      <c r="AC33" s="317">
        <f t="shared" si="11"/>
        <v>8205.2441742653027</v>
      </c>
      <c r="AD33" s="318"/>
      <c r="AE33" s="318"/>
      <c r="AF33" s="318"/>
      <c r="AG33" s="318"/>
      <c r="AH33" s="319"/>
      <c r="AI33" s="142">
        <f t="shared" si="12"/>
        <v>8205.2441742653027</v>
      </c>
      <c r="AJ33" s="143">
        <f t="shared" si="5"/>
        <v>10.256555217831629</v>
      </c>
    </row>
    <row r="34" spans="1:36">
      <c r="A34" s="115">
        <v>900</v>
      </c>
      <c r="B34" s="147">
        <f t="shared" si="13"/>
        <v>1.1499999999999999</v>
      </c>
      <c r="C34" s="146">
        <f t="shared" si="13"/>
        <v>2124</v>
      </c>
      <c r="D34" s="133">
        <v>5.0000000000000001E-3</v>
      </c>
      <c r="E34" s="311">
        <v>0.94599999999999995</v>
      </c>
      <c r="F34" s="312"/>
      <c r="G34" s="312"/>
      <c r="H34" s="312"/>
      <c r="I34" s="312"/>
      <c r="J34" s="313"/>
      <c r="K34" s="311">
        <f t="shared" si="8"/>
        <v>0.94099999999999995</v>
      </c>
      <c r="L34" s="312"/>
      <c r="M34" s="312"/>
      <c r="N34" s="312"/>
      <c r="O34" s="312"/>
      <c r="P34" s="313"/>
      <c r="Q34" s="314">
        <f t="shared" si="9"/>
        <v>1733574.6723044396</v>
      </c>
      <c r="R34" s="315"/>
      <c r="S34" s="315"/>
      <c r="T34" s="315"/>
      <c r="U34" s="315"/>
      <c r="V34" s="316"/>
      <c r="W34" s="314">
        <f t="shared" si="10"/>
        <v>1742786.0148777897</v>
      </c>
      <c r="X34" s="315"/>
      <c r="Y34" s="315"/>
      <c r="Z34" s="315"/>
      <c r="AA34" s="315"/>
      <c r="AB34" s="316"/>
      <c r="AC34" s="317">
        <f t="shared" si="11"/>
        <v>9211.3425733500626</v>
      </c>
      <c r="AD34" s="318"/>
      <c r="AE34" s="318"/>
      <c r="AF34" s="318"/>
      <c r="AG34" s="318"/>
      <c r="AH34" s="319"/>
      <c r="AI34" s="142">
        <f t="shared" si="12"/>
        <v>9211.3425733500626</v>
      </c>
      <c r="AJ34" s="143">
        <f t="shared" si="5"/>
        <v>10.23482508150007</v>
      </c>
    </row>
    <row r="35" spans="1:36">
      <c r="A35" s="115">
        <v>1000</v>
      </c>
      <c r="B35" s="147">
        <f>B34</f>
        <v>1.1499999999999999</v>
      </c>
      <c r="C35" s="146">
        <v>2124</v>
      </c>
      <c r="D35" s="133">
        <v>5.0000000000000001E-3</v>
      </c>
      <c r="E35" s="311">
        <v>0.94799999999999995</v>
      </c>
      <c r="F35" s="312"/>
      <c r="G35" s="312"/>
      <c r="H35" s="312"/>
      <c r="I35" s="312"/>
      <c r="J35" s="313"/>
      <c r="K35" s="311">
        <f t="shared" si="8"/>
        <v>0.94299999999999995</v>
      </c>
      <c r="L35" s="312"/>
      <c r="M35" s="312"/>
      <c r="N35" s="312"/>
      <c r="O35" s="312"/>
      <c r="P35" s="313"/>
      <c r="Q35" s="314">
        <f t="shared" si="9"/>
        <v>1922130.3797468352</v>
      </c>
      <c r="R35" s="315"/>
      <c r="S35" s="315"/>
      <c r="T35" s="315"/>
      <c r="U35" s="315"/>
      <c r="V35" s="316"/>
      <c r="W35" s="314">
        <f t="shared" si="10"/>
        <v>1932321.9512195121</v>
      </c>
      <c r="X35" s="315"/>
      <c r="Y35" s="315"/>
      <c r="Z35" s="315"/>
      <c r="AA35" s="315"/>
      <c r="AB35" s="316"/>
      <c r="AC35" s="317">
        <f t="shared" si="11"/>
        <v>10191.571472676937</v>
      </c>
      <c r="AD35" s="318"/>
      <c r="AE35" s="318"/>
      <c r="AF35" s="318"/>
      <c r="AG35" s="318"/>
      <c r="AH35" s="319"/>
      <c r="AI35" s="142">
        <f t="shared" si="12"/>
        <v>10191.571472676937</v>
      </c>
      <c r="AJ35" s="143">
        <f t="shared" si="5"/>
        <v>10.191571472676937</v>
      </c>
    </row>
    <row r="36" spans="1:36">
      <c r="A36" s="115">
        <v>1250</v>
      </c>
      <c r="B36" s="147">
        <v>0.96</v>
      </c>
      <c r="C36" s="146">
        <f t="shared" ref="C36:C46" si="14">C35</f>
        <v>2124</v>
      </c>
      <c r="D36" s="133">
        <v>5.0000000000000001E-3</v>
      </c>
      <c r="E36" s="311">
        <v>0.95</v>
      </c>
      <c r="F36" s="312"/>
      <c r="G36" s="312"/>
      <c r="H36" s="312"/>
      <c r="I36" s="312"/>
      <c r="J36" s="313"/>
      <c r="K36" s="311">
        <f t="shared" si="8"/>
        <v>0.94499999999999995</v>
      </c>
      <c r="L36" s="312"/>
      <c r="M36" s="312"/>
      <c r="N36" s="312"/>
      <c r="O36" s="312"/>
      <c r="P36" s="313"/>
      <c r="Q36" s="314">
        <f t="shared" si="9"/>
        <v>2001478.7368421049</v>
      </c>
      <c r="R36" s="315"/>
      <c r="S36" s="315"/>
      <c r="T36" s="315"/>
      <c r="U36" s="315"/>
      <c r="V36" s="316"/>
      <c r="W36" s="314">
        <f t="shared" si="10"/>
        <v>2012068.5714285716</v>
      </c>
      <c r="X36" s="315"/>
      <c r="Y36" s="315"/>
      <c r="Z36" s="315"/>
      <c r="AA36" s="315"/>
      <c r="AB36" s="316"/>
      <c r="AC36" s="317">
        <f t="shared" si="11"/>
        <v>10589.834586466663</v>
      </c>
      <c r="AD36" s="318"/>
      <c r="AE36" s="318"/>
      <c r="AF36" s="318"/>
      <c r="AG36" s="318"/>
      <c r="AH36" s="319"/>
      <c r="AI36" s="142">
        <f t="shared" si="12"/>
        <v>10589.834586466663</v>
      </c>
      <c r="AJ36" s="143">
        <f t="shared" si="5"/>
        <v>8.4718676691733297</v>
      </c>
    </row>
    <row r="37" spans="1:36">
      <c r="A37" s="115">
        <v>1500</v>
      </c>
      <c r="B37" s="147">
        <f t="shared" ref="B37:B46" si="15">B36</f>
        <v>0.96</v>
      </c>
      <c r="C37" s="146">
        <f t="shared" si="14"/>
        <v>2124</v>
      </c>
      <c r="D37" s="133">
        <v>5.0000000000000001E-3</v>
      </c>
      <c r="E37" s="311">
        <v>0.95099999999999996</v>
      </c>
      <c r="F37" s="312"/>
      <c r="G37" s="312"/>
      <c r="H37" s="312"/>
      <c r="I37" s="312"/>
      <c r="J37" s="313"/>
      <c r="K37" s="311">
        <f t="shared" si="8"/>
        <v>0.94599999999999995</v>
      </c>
      <c r="L37" s="312"/>
      <c r="M37" s="312"/>
      <c r="N37" s="312"/>
      <c r="O37" s="312"/>
      <c r="P37" s="313"/>
      <c r="Q37" s="314">
        <f t="shared" si="9"/>
        <v>2399248.9589905366</v>
      </c>
      <c r="R37" s="315"/>
      <c r="S37" s="315"/>
      <c r="T37" s="315"/>
      <c r="U37" s="315"/>
      <c r="V37" s="316"/>
      <c r="W37" s="314">
        <f t="shared" si="10"/>
        <v>2411929.9788583512</v>
      </c>
      <c r="X37" s="315"/>
      <c r="Y37" s="315"/>
      <c r="Z37" s="315"/>
      <c r="AA37" s="315"/>
      <c r="AB37" s="316"/>
      <c r="AC37" s="317">
        <f t="shared" si="11"/>
        <v>12681.019867814612</v>
      </c>
      <c r="AD37" s="318"/>
      <c r="AE37" s="318"/>
      <c r="AF37" s="318"/>
      <c r="AG37" s="318"/>
      <c r="AH37" s="319"/>
      <c r="AI37" s="142">
        <f t="shared" si="12"/>
        <v>12681.019867814612</v>
      </c>
      <c r="AJ37" s="143">
        <f t="shared" si="5"/>
        <v>8.4540132452097403</v>
      </c>
    </row>
    <row r="38" spans="1:36">
      <c r="A38" s="115">
        <v>1750</v>
      </c>
      <c r="B38" s="147">
        <f t="shared" si="15"/>
        <v>0.96</v>
      </c>
      <c r="C38" s="146">
        <f t="shared" si="14"/>
        <v>2124</v>
      </c>
      <c r="D38" s="133">
        <v>5.0000000000000001E-3</v>
      </c>
      <c r="E38" s="311">
        <v>0.95299999999999996</v>
      </c>
      <c r="F38" s="312"/>
      <c r="G38" s="312"/>
      <c r="H38" s="312"/>
      <c r="I38" s="312"/>
      <c r="J38" s="313"/>
      <c r="K38" s="311">
        <f t="shared" si="8"/>
        <v>0.94799999999999995</v>
      </c>
      <c r="L38" s="312"/>
      <c r="M38" s="312"/>
      <c r="N38" s="312"/>
      <c r="O38" s="312"/>
      <c r="P38" s="313"/>
      <c r="Q38" s="314">
        <f t="shared" si="9"/>
        <v>2793249.4438614901</v>
      </c>
      <c r="R38" s="315"/>
      <c r="S38" s="315"/>
      <c r="T38" s="315"/>
      <c r="U38" s="315"/>
      <c r="V38" s="316"/>
      <c r="W38" s="314">
        <f t="shared" si="10"/>
        <v>2807981.7721518986</v>
      </c>
      <c r="X38" s="315"/>
      <c r="Y38" s="315"/>
      <c r="Z38" s="315"/>
      <c r="AA38" s="315"/>
      <c r="AB38" s="316"/>
      <c r="AC38" s="317">
        <f t="shared" si="11"/>
        <v>14732.328290408477</v>
      </c>
      <c r="AD38" s="318"/>
      <c r="AE38" s="318"/>
      <c r="AF38" s="318"/>
      <c r="AG38" s="318"/>
      <c r="AH38" s="319"/>
      <c r="AI38" s="142">
        <f t="shared" si="12"/>
        <v>14732.328290408477</v>
      </c>
      <c r="AJ38" s="143">
        <f t="shared" si="5"/>
        <v>8.4184733088048436</v>
      </c>
    </row>
    <row r="39" spans="1:36">
      <c r="A39" s="115">
        <v>2000</v>
      </c>
      <c r="B39" s="147">
        <f t="shared" si="15"/>
        <v>0.96</v>
      </c>
      <c r="C39" s="146">
        <f t="shared" si="14"/>
        <v>2124</v>
      </c>
      <c r="D39" s="133">
        <v>5.0000000000000001E-3</v>
      </c>
      <c r="E39" s="311">
        <v>0.95499999999999996</v>
      </c>
      <c r="F39" s="312"/>
      <c r="G39" s="312"/>
      <c r="H39" s="312"/>
      <c r="I39" s="312"/>
      <c r="J39" s="313"/>
      <c r="K39" s="311">
        <f t="shared" si="8"/>
        <v>0.95</v>
      </c>
      <c r="L39" s="312"/>
      <c r="M39" s="312"/>
      <c r="N39" s="312"/>
      <c r="O39" s="312"/>
      <c r="P39" s="313"/>
      <c r="Q39" s="314">
        <f t="shared" si="9"/>
        <v>3185599.6649214658</v>
      </c>
      <c r="R39" s="315"/>
      <c r="S39" s="315"/>
      <c r="T39" s="315"/>
      <c r="U39" s="315"/>
      <c r="V39" s="316"/>
      <c r="W39" s="314">
        <f t="shared" si="10"/>
        <v>3202365.978947368</v>
      </c>
      <c r="X39" s="315"/>
      <c r="Y39" s="315"/>
      <c r="Z39" s="315"/>
      <c r="AA39" s="315"/>
      <c r="AB39" s="316"/>
      <c r="AC39" s="317">
        <f t="shared" si="11"/>
        <v>16766.314025902189</v>
      </c>
      <c r="AD39" s="318"/>
      <c r="AE39" s="318"/>
      <c r="AF39" s="318"/>
      <c r="AG39" s="318"/>
      <c r="AH39" s="319"/>
      <c r="AI39" s="142">
        <f t="shared" si="12"/>
        <v>16766.314025902189</v>
      </c>
      <c r="AJ39" s="143">
        <f t="shared" si="5"/>
        <v>8.3831570129510951</v>
      </c>
    </row>
    <row r="40" spans="1:36">
      <c r="A40" s="115">
        <v>2250</v>
      </c>
      <c r="B40" s="147">
        <f t="shared" si="15"/>
        <v>0.96</v>
      </c>
      <c r="C40" s="146">
        <f t="shared" si="14"/>
        <v>2124</v>
      </c>
      <c r="D40" s="133">
        <v>5.0000000000000001E-3</v>
      </c>
      <c r="E40" s="311">
        <v>0.95799999999999996</v>
      </c>
      <c r="F40" s="312"/>
      <c r="G40" s="312"/>
      <c r="H40" s="312"/>
      <c r="I40" s="312"/>
      <c r="J40" s="313"/>
      <c r="K40" s="311">
        <f t="shared" si="8"/>
        <v>0.95299999999999996</v>
      </c>
      <c r="L40" s="312"/>
      <c r="M40" s="312"/>
      <c r="N40" s="312"/>
      <c r="O40" s="312"/>
      <c r="P40" s="313"/>
      <c r="Q40" s="314">
        <f t="shared" si="9"/>
        <v>3572576.8684759918</v>
      </c>
      <c r="R40" s="315"/>
      <c r="S40" s="315"/>
      <c r="T40" s="315"/>
      <c r="U40" s="315"/>
      <c r="V40" s="316"/>
      <c r="W40" s="314">
        <f t="shared" si="10"/>
        <v>3591320.7135362015</v>
      </c>
      <c r="X40" s="315"/>
      <c r="Y40" s="315"/>
      <c r="Z40" s="315"/>
      <c r="AA40" s="315"/>
      <c r="AB40" s="316"/>
      <c r="AC40" s="317">
        <f t="shared" si="11"/>
        <v>18743.845060209744</v>
      </c>
      <c r="AD40" s="318"/>
      <c r="AE40" s="318"/>
      <c r="AF40" s="318"/>
      <c r="AG40" s="318"/>
      <c r="AH40" s="319"/>
      <c r="AI40" s="142">
        <f t="shared" si="12"/>
        <v>18743.845060209744</v>
      </c>
      <c r="AJ40" s="143">
        <f t="shared" si="5"/>
        <v>8.3305978045376641</v>
      </c>
    </row>
    <row r="41" spans="1:36">
      <c r="A41" s="115">
        <v>2500</v>
      </c>
      <c r="B41" s="147">
        <f t="shared" si="15"/>
        <v>0.96</v>
      </c>
      <c r="C41" s="146">
        <f t="shared" si="14"/>
        <v>2124</v>
      </c>
      <c r="D41" s="133">
        <v>5.0000000000000001E-3</v>
      </c>
      <c r="E41" s="311">
        <v>0.95899999999999996</v>
      </c>
      <c r="F41" s="312"/>
      <c r="G41" s="312"/>
      <c r="H41" s="312"/>
      <c r="I41" s="312"/>
      <c r="J41" s="313"/>
      <c r="K41" s="311">
        <f t="shared" si="8"/>
        <v>0.95399999999999996</v>
      </c>
      <c r="L41" s="312"/>
      <c r="M41" s="312"/>
      <c r="N41" s="312"/>
      <c r="O41" s="312"/>
      <c r="P41" s="313"/>
      <c r="Q41" s="314">
        <f t="shared" si="9"/>
        <v>3965390.6152241919</v>
      </c>
      <c r="R41" s="315"/>
      <c r="S41" s="315"/>
      <c r="T41" s="315"/>
      <c r="U41" s="315"/>
      <c r="V41" s="316"/>
      <c r="W41" s="314">
        <f t="shared" si="10"/>
        <v>3986173.5849056602</v>
      </c>
      <c r="X41" s="315"/>
      <c r="Y41" s="315"/>
      <c r="Z41" s="315"/>
      <c r="AA41" s="315"/>
      <c r="AB41" s="316"/>
      <c r="AC41" s="317">
        <f t="shared" si="11"/>
        <v>20782.969681468327</v>
      </c>
      <c r="AD41" s="318"/>
      <c r="AE41" s="318"/>
      <c r="AF41" s="318"/>
      <c r="AG41" s="318"/>
      <c r="AH41" s="319"/>
      <c r="AI41" s="142">
        <f t="shared" si="12"/>
        <v>20782.969681468327</v>
      </c>
      <c r="AJ41" s="143">
        <f t="shared" si="5"/>
        <v>8.3131878725873314</v>
      </c>
    </row>
    <row r="42" spans="1:36">
      <c r="A42" s="115">
        <v>3000</v>
      </c>
      <c r="B42" s="147">
        <f t="shared" si="15"/>
        <v>0.96</v>
      </c>
      <c r="C42" s="146">
        <f t="shared" si="14"/>
        <v>2124</v>
      </c>
      <c r="D42" s="133">
        <v>5.0000000000000001E-3</v>
      </c>
      <c r="E42" s="311">
        <v>0.96199999999999997</v>
      </c>
      <c r="F42" s="312"/>
      <c r="G42" s="312"/>
      <c r="H42" s="312"/>
      <c r="I42" s="312"/>
      <c r="J42" s="313"/>
      <c r="K42" s="311">
        <f t="shared" si="8"/>
        <v>0.95699999999999996</v>
      </c>
      <c r="L42" s="312"/>
      <c r="M42" s="312"/>
      <c r="N42" s="312"/>
      <c r="O42" s="312"/>
      <c r="P42" s="313"/>
      <c r="Q42" s="314">
        <f t="shared" si="9"/>
        <v>4743629.4386694394</v>
      </c>
      <c r="R42" s="315"/>
      <c r="S42" s="315"/>
      <c r="T42" s="315"/>
      <c r="U42" s="315"/>
      <c r="V42" s="316"/>
      <c r="W42" s="314">
        <f t="shared" si="10"/>
        <v>4768413.2915360508</v>
      </c>
      <c r="X42" s="315"/>
      <c r="Y42" s="315"/>
      <c r="Z42" s="315"/>
      <c r="AA42" s="315"/>
      <c r="AB42" s="316"/>
      <c r="AC42" s="317">
        <f t="shared" si="11"/>
        <v>24783.852866611443</v>
      </c>
      <c r="AD42" s="318"/>
      <c r="AE42" s="318"/>
      <c r="AF42" s="318"/>
      <c r="AG42" s="318"/>
      <c r="AH42" s="319"/>
      <c r="AI42" s="142">
        <f t="shared" si="12"/>
        <v>24783.852866611443</v>
      </c>
      <c r="AJ42" s="143">
        <f t="shared" si="5"/>
        <v>8.2612842888704812</v>
      </c>
    </row>
    <row r="43" spans="1:36">
      <c r="A43" s="115">
        <v>3500</v>
      </c>
      <c r="B43" s="147">
        <f t="shared" si="15"/>
        <v>0.96</v>
      </c>
      <c r="C43" s="146">
        <f t="shared" si="14"/>
        <v>2124</v>
      </c>
      <c r="D43" s="133">
        <v>5.0000000000000001E-3</v>
      </c>
      <c r="E43" s="311">
        <v>0.96299999999999997</v>
      </c>
      <c r="F43" s="312"/>
      <c r="G43" s="312"/>
      <c r="H43" s="312"/>
      <c r="I43" s="312"/>
      <c r="J43" s="313"/>
      <c r="K43" s="311">
        <f t="shared" si="8"/>
        <v>0.95799999999999996</v>
      </c>
      <c r="L43" s="312"/>
      <c r="M43" s="312"/>
      <c r="N43" s="312"/>
      <c r="O43" s="312"/>
      <c r="P43" s="313"/>
      <c r="Q43" s="314">
        <f t="shared" si="9"/>
        <v>5528487.4766355129</v>
      </c>
      <c r="R43" s="315"/>
      <c r="S43" s="315"/>
      <c r="T43" s="315"/>
      <c r="U43" s="315"/>
      <c r="V43" s="316"/>
      <c r="W43" s="314">
        <f t="shared" si="10"/>
        <v>5557341.7954070978</v>
      </c>
      <c r="X43" s="315"/>
      <c r="Y43" s="315"/>
      <c r="Z43" s="315"/>
      <c r="AA43" s="315"/>
      <c r="AB43" s="316"/>
      <c r="AC43" s="317">
        <f t="shared" si="11"/>
        <v>28854.318771584891</v>
      </c>
      <c r="AD43" s="318"/>
      <c r="AE43" s="318"/>
      <c r="AF43" s="318"/>
      <c r="AG43" s="318"/>
      <c r="AH43" s="319"/>
      <c r="AI43" s="142">
        <f t="shared" si="12"/>
        <v>28854.318771584891</v>
      </c>
      <c r="AJ43" s="143">
        <f t="shared" si="5"/>
        <v>8.2440910775956837</v>
      </c>
    </row>
    <row r="44" spans="1:36">
      <c r="A44" s="115">
        <v>4000</v>
      </c>
      <c r="B44" s="147">
        <f t="shared" si="15"/>
        <v>0.96</v>
      </c>
      <c r="C44" s="146">
        <f t="shared" si="14"/>
        <v>2124</v>
      </c>
      <c r="D44" s="133">
        <v>5.0000000000000001E-3</v>
      </c>
      <c r="E44" s="311">
        <v>0.96299999999999997</v>
      </c>
      <c r="F44" s="312"/>
      <c r="G44" s="312"/>
      <c r="H44" s="312"/>
      <c r="I44" s="312"/>
      <c r="J44" s="313"/>
      <c r="K44" s="311">
        <f t="shared" si="8"/>
        <v>0.95799999999999996</v>
      </c>
      <c r="L44" s="312"/>
      <c r="M44" s="312"/>
      <c r="N44" s="312"/>
      <c r="O44" s="312"/>
      <c r="P44" s="313"/>
      <c r="Q44" s="314">
        <f t="shared" si="9"/>
        <v>6318271.4018691583</v>
      </c>
      <c r="R44" s="315"/>
      <c r="S44" s="315"/>
      <c r="T44" s="315"/>
      <c r="U44" s="315"/>
      <c r="V44" s="316"/>
      <c r="W44" s="314">
        <f t="shared" si="10"/>
        <v>6351247.7661795402</v>
      </c>
      <c r="X44" s="315"/>
      <c r="Y44" s="315"/>
      <c r="Z44" s="315"/>
      <c r="AA44" s="315"/>
      <c r="AB44" s="316"/>
      <c r="AC44" s="317">
        <f t="shared" si="11"/>
        <v>32976.364310381934</v>
      </c>
      <c r="AD44" s="318"/>
      <c r="AE44" s="318"/>
      <c r="AF44" s="318"/>
      <c r="AG44" s="318"/>
      <c r="AH44" s="319"/>
      <c r="AI44" s="142">
        <f t="shared" si="12"/>
        <v>32976.364310381934</v>
      </c>
      <c r="AJ44" s="143">
        <f t="shared" si="5"/>
        <v>8.244091077595483</v>
      </c>
    </row>
    <row r="45" spans="1:36">
      <c r="A45" s="115">
        <v>4500</v>
      </c>
      <c r="B45" s="147">
        <f t="shared" si="15"/>
        <v>0.96</v>
      </c>
      <c r="C45" s="146">
        <f t="shared" si="14"/>
        <v>2124</v>
      </c>
      <c r="D45" s="133">
        <v>5.0000000000000001E-3</v>
      </c>
      <c r="E45" s="311">
        <v>0.96399999999999997</v>
      </c>
      <c r="F45" s="312"/>
      <c r="G45" s="312"/>
      <c r="H45" s="312"/>
      <c r="I45" s="312"/>
      <c r="J45" s="313"/>
      <c r="K45" s="311">
        <f t="shared" si="8"/>
        <v>0.95899999999999996</v>
      </c>
      <c r="L45" s="312"/>
      <c r="M45" s="312"/>
      <c r="N45" s="312"/>
      <c r="O45" s="312"/>
      <c r="P45" s="313"/>
      <c r="Q45" s="314">
        <f t="shared" si="9"/>
        <v>7100681.8257261412</v>
      </c>
      <c r="R45" s="315"/>
      <c r="S45" s="315"/>
      <c r="T45" s="315"/>
      <c r="U45" s="315"/>
      <c r="V45" s="316"/>
      <c r="W45" s="314">
        <f t="shared" si="10"/>
        <v>7137703.1074035447</v>
      </c>
      <c r="X45" s="315"/>
      <c r="Y45" s="315"/>
      <c r="Z45" s="315"/>
      <c r="AA45" s="315"/>
      <c r="AB45" s="316"/>
      <c r="AC45" s="317">
        <f t="shared" si="11"/>
        <v>37021.281677403487</v>
      </c>
      <c r="AD45" s="318"/>
      <c r="AE45" s="318"/>
      <c r="AF45" s="318"/>
      <c r="AG45" s="318"/>
      <c r="AH45" s="319"/>
      <c r="AI45" s="142">
        <f t="shared" si="12"/>
        <v>37021.281677403487</v>
      </c>
      <c r="AJ45" s="143">
        <f t="shared" si="5"/>
        <v>8.2269514838674418</v>
      </c>
    </row>
    <row r="46" spans="1:36">
      <c r="A46" s="115">
        <v>5000</v>
      </c>
      <c r="B46" s="147">
        <f t="shared" si="15"/>
        <v>0.96</v>
      </c>
      <c r="C46" s="146">
        <f t="shared" si="14"/>
        <v>2124</v>
      </c>
      <c r="D46" s="133">
        <v>5.0000000000000001E-3</v>
      </c>
      <c r="E46" s="302">
        <v>0.96499999999999997</v>
      </c>
      <c r="F46" s="303"/>
      <c r="G46" s="303"/>
      <c r="H46" s="303"/>
      <c r="I46" s="303"/>
      <c r="J46" s="304"/>
      <c r="K46" s="302">
        <f t="shared" si="8"/>
        <v>0.96</v>
      </c>
      <c r="L46" s="303"/>
      <c r="M46" s="303"/>
      <c r="N46" s="303"/>
      <c r="O46" s="303"/>
      <c r="P46" s="304"/>
      <c r="Q46" s="305">
        <f t="shared" si="9"/>
        <v>7881470.6735751294</v>
      </c>
      <c r="R46" s="306"/>
      <c r="S46" s="306"/>
      <c r="T46" s="306"/>
      <c r="U46" s="306"/>
      <c r="V46" s="307"/>
      <c r="W46" s="305">
        <f t="shared" si="10"/>
        <v>7922520</v>
      </c>
      <c r="X46" s="306"/>
      <c r="Y46" s="306"/>
      <c r="Z46" s="306"/>
      <c r="AA46" s="306"/>
      <c r="AB46" s="307"/>
      <c r="AC46" s="308">
        <f t="shared" si="11"/>
        <v>41049.32642487064</v>
      </c>
      <c r="AD46" s="309"/>
      <c r="AE46" s="309"/>
      <c r="AF46" s="309"/>
      <c r="AG46" s="309"/>
      <c r="AH46" s="310"/>
      <c r="AI46" s="142">
        <f t="shared" si="12"/>
        <v>41049.32642487064</v>
      </c>
      <c r="AJ46" s="143">
        <f t="shared" si="5"/>
        <v>8.2098652849741285</v>
      </c>
    </row>
    <row r="48" spans="1:36">
      <c r="E48" s="148" t="s">
        <v>218</v>
      </c>
    </row>
    <row r="49" spans="5:5">
      <c r="E49" s="148" t="s">
        <v>219</v>
      </c>
    </row>
    <row r="50" spans="5:5">
      <c r="E50" s="115" t="s">
        <v>220</v>
      </c>
    </row>
  </sheetData>
  <mergeCells count="95">
    <mergeCell ref="E11:G11"/>
    <mergeCell ref="H11:J11"/>
    <mergeCell ref="K11:M11"/>
    <mergeCell ref="N11:P11"/>
    <mergeCell ref="Q11:S11"/>
    <mergeCell ref="E10:J10"/>
    <mergeCell ref="K10:P10"/>
    <mergeCell ref="Q10:V10"/>
    <mergeCell ref="W10:AB10"/>
    <mergeCell ref="AC10:AH10"/>
    <mergeCell ref="E31:J31"/>
    <mergeCell ref="K31:P31"/>
    <mergeCell ref="Q31:V31"/>
    <mergeCell ref="W31:AB31"/>
    <mergeCell ref="AC31:AH31"/>
    <mergeCell ref="T11:V11"/>
    <mergeCell ref="W11:Y11"/>
    <mergeCell ref="Z11:AB11"/>
    <mergeCell ref="AC11:AE11"/>
    <mergeCell ref="AF11:AH11"/>
    <mergeCell ref="E33:J33"/>
    <mergeCell ref="K33:P33"/>
    <mergeCell ref="Q33:V33"/>
    <mergeCell ref="W33:AB33"/>
    <mergeCell ref="AC33:AH33"/>
    <mergeCell ref="E32:J32"/>
    <mergeCell ref="K32:P32"/>
    <mergeCell ref="Q32:V32"/>
    <mergeCell ref="W32:AB32"/>
    <mergeCell ref="AC32:AH32"/>
    <mergeCell ref="E35:J35"/>
    <mergeCell ref="K35:P35"/>
    <mergeCell ref="Q35:V35"/>
    <mergeCell ref="W35:AB35"/>
    <mergeCell ref="AC35:AH35"/>
    <mergeCell ref="E34:J34"/>
    <mergeCell ref="K34:P34"/>
    <mergeCell ref="Q34:V34"/>
    <mergeCell ref="W34:AB34"/>
    <mergeCell ref="AC34:AH34"/>
    <mergeCell ref="E37:J37"/>
    <mergeCell ref="K37:P37"/>
    <mergeCell ref="Q37:V37"/>
    <mergeCell ref="W37:AB37"/>
    <mergeCell ref="AC37:AH37"/>
    <mergeCell ref="E36:J36"/>
    <mergeCell ref="K36:P36"/>
    <mergeCell ref="Q36:V36"/>
    <mergeCell ref="W36:AB36"/>
    <mergeCell ref="AC36:AH36"/>
    <mergeCell ref="E39:J39"/>
    <mergeCell ref="K39:P39"/>
    <mergeCell ref="Q39:V39"/>
    <mergeCell ref="W39:AB39"/>
    <mergeCell ref="AC39:AH39"/>
    <mergeCell ref="E38:J38"/>
    <mergeCell ref="K38:P38"/>
    <mergeCell ref="Q38:V38"/>
    <mergeCell ref="W38:AB38"/>
    <mergeCell ref="AC38:AH38"/>
    <mergeCell ref="E41:J41"/>
    <mergeCell ref="K41:P41"/>
    <mergeCell ref="Q41:V41"/>
    <mergeCell ref="W41:AB41"/>
    <mergeCell ref="AC41:AH41"/>
    <mergeCell ref="E40:J40"/>
    <mergeCell ref="K40:P40"/>
    <mergeCell ref="Q40:V40"/>
    <mergeCell ref="W40:AB40"/>
    <mergeCell ref="AC40:AH40"/>
    <mergeCell ref="E43:J43"/>
    <mergeCell ref="K43:P43"/>
    <mergeCell ref="Q43:V43"/>
    <mergeCell ref="W43:AB43"/>
    <mergeCell ref="AC43:AH43"/>
    <mergeCell ref="E42:J42"/>
    <mergeCell ref="K42:P42"/>
    <mergeCell ref="Q42:V42"/>
    <mergeCell ref="W42:AB42"/>
    <mergeCell ref="AC42:AH42"/>
    <mergeCell ref="E45:J45"/>
    <mergeCell ref="K45:P45"/>
    <mergeCell ref="Q45:V45"/>
    <mergeCell ref="W45:AB45"/>
    <mergeCell ref="AC45:AH45"/>
    <mergeCell ref="E44:J44"/>
    <mergeCell ref="K44:P44"/>
    <mergeCell ref="Q44:V44"/>
    <mergeCell ref="W44:AB44"/>
    <mergeCell ref="AC44:AH44"/>
    <mergeCell ref="E46:J46"/>
    <mergeCell ref="K46:P46"/>
    <mergeCell ref="Q46:V46"/>
    <mergeCell ref="W46:AB46"/>
    <mergeCell ref="AC46:AH4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dimension ref="A1:O71"/>
  <sheetViews>
    <sheetView topLeftCell="A10" workbookViewId="0">
      <selection activeCell="N11" sqref="N11:N46"/>
    </sheetView>
  </sheetViews>
  <sheetFormatPr defaultColWidth="8.85546875" defaultRowHeight="12.75"/>
  <cols>
    <col min="1" max="9" width="8.85546875" style="150"/>
    <col min="10" max="10" width="10" style="150" customWidth="1"/>
    <col min="11" max="11" width="8.85546875" style="150"/>
    <col min="12" max="12" width="12.42578125" style="150" customWidth="1"/>
    <col min="13" max="13" width="12.5703125" style="150" customWidth="1"/>
    <col min="14" max="14" width="10.42578125" style="150" customWidth="1"/>
    <col min="15" max="16384" width="8.85546875" style="150"/>
  </cols>
  <sheetData>
    <row r="1" spans="1:15">
      <c r="A1" s="149" t="s">
        <v>223</v>
      </c>
      <c r="C1" s="151"/>
      <c r="D1" s="115" t="s">
        <v>221</v>
      </c>
      <c r="E1" s="115" t="s">
        <v>222</v>
      </c>
      <c r="F1" s="115"/>
    </row>
    <row r="3" spans="1:15">
      <c r="A3" s="150" t="s">
        <v>224</v>
      </c>
    </row>
    <row r="4" spans="1:15">
      <c r="A4" s="150" t="s">
        <v>225</v>
      </c>
      <c r="B4" s="152" t="s">
        <v>226</v>
      </c>
    </row>
    <row r="6" spans="1:15">
      <c r="A6" s="150" t="s">
        <v>227</v>
      </c>
      <c r="C6" s="150">
        <v>1.0780000000000001</v>
      </c>
      <c r="D6" s="150" t="s">
        <v>254</v>
      </c>
    </row>
    <row r="8" spans="1:15" ht="13.5" thickBot="1"/>
    <row r="9" spans="1:15" ht="13.5" thickBot="1">
      <c r="A9" s="153"/>
      <c r="B9" s="336" t="s">
        <v>228</v>
      </c>
      <c r="C9" s="337"/>
      <c r="D9" s="338"/>
      <c r="E9" s="336" t="s">
        <v>229</v>
      </c>
      <c r="F9" s="337"/>
      <c r="G9" s="338"/>
      <c r="H9" s="336" t="s">
        <v>230</v>
      </c>
      <c r="I9" s="337"/>
      <c r="J9" s="337"/>
      <c r="K9" s="339" t="s">
        <v>231</v>
      </c>
      <c r="L9" s="340"/>
      <c r="M9" s="341"/>
    </row>
    <row r="10" spans="1:15" ht="41.25" customHeight="1" thickBot="1">
      <c r="A10" s="154" t="s">
        <v>194</v>
      </c>
      <c r="B10" s="155" t="s">
        <v>232</v>
      </c>
      <c r="C10" s="156" t="s">
        <v>233</v>
      </c>
      <c r="D10" s="157" t="s">
        <v>234</v>
      </c>
      <c r="E10" s="158" t="s">
        <v>232</v>
      </c>
      <c r="F10" s="159" t="s">
        <v>233</v>
      </c>
      <c r="G10" s="160" t="s">
        <v>234</v>
      </c>
      <c r="H10" s="161" t="s">
        <v>232</v>
      </c>
      <c r="I10" s="162" t="s">
        <v>233</v>
      </c>
      <c r="J10" s="162" t="s">
        <v>234</v>
      </c>
      <c r="K10" s="163" t="s">
        <v>194</v>
      </c>
      <c r="L10" s="163" t="s">
        <v>235</v>
      </c>
      <c r="M10" s="163" t="s">
        <v>236</v>
      </c>
      <c r="N10" s="164" t="s">
        <v>255</v>
      </c>
      <c r="O10" s="164" t="s">
        <v>237</v>
      </c>
    </row>
    <row r="11" spans="1:15">
      <c r="A11" s="153">
        <v>7.5</v>
      </c>
      <c r="B11" s="165">
        <v>429</v>
      </c>
      <c r="C11" s="166">
        <v>429</v>
      </c>
      <c r="D11" s="167">
        <v>429</v>
      </c>
      <c r="E11" s="165">
        <v>536</v>
      </c>
      <c r="F11" s="166">
        <v>536</v>
      </c>
      <c r="G11" s="166">
        <v>536</v>
      </c>
      <c r="H11" s="168">
        <f t="shared" ref="H11:J30" si="0">E11-B11</f>
        <v>107</v>
      </c>
      <c r="I11" s="169">
        <f t="shared" si="0"/>
        <v>107</v>
      </c>
      <c r="J11" s="169">
        <f t="shared" si="0"/>
        <v>107</v>
      </c>
      <c r="K11" s="170" t="str">
        <f t="shared" ref="K11:K46" si="1">A11&amp;" HP"</f>
        <v>7.5 HP</v>
      </c>
      <c r="L11" s="171">
        <v>0.25</v>
      </c>
      <c r="M11" s="172">
        <f t="shared" ref="M11:M30" si="2">AVERAGE(H11:J11)</f>
        <v>107</v>
      </c>
      <c r="N11" s="173">
        <f t="shared" ref="N11:N46" si="3">M11*Deflator</f>
        <v>115.346</v>
      </c>
      <c r="O11" s="173">
        <f t="shared" ref="O11:O46" si="4">M11/A11</f>
        <v>14.266666666666667</v>
      </c>
    </row>
    <row r="12" spans="1:15">
      <c r="A12" s="153">
        <v>10</v>
      </c>
      <c r="B12" s="165">
        <v>459</v>
      </c>
      <c r="C12" s="166">
        <v>429</v>
      </c>
      <c r="D12" s="167">
        <v>444</v>
      </c>
      <c r="E12" s="165">
        <v>569</v>
      </c>
      <c r="F12" s="166">
        <v>532</v>
      </c>
      <c r="G12" s="166">
        <v>551</v>
      </c>
      <c r="H12" s="165">
        <f t="shared" si="0"/>
        <v>110</v>
      </c>
      <c r="I12" s="166">
        <f t="shared" si="0"/>
        <v>103</v>
      </c>
      <c r="J12" s="166">
        <f t="shared" si="0"/>
        <v>107</v>
      </c>
      <c r="K12" s="170" t="str">
        <f t="shared" si="1"/>
        <v>10 HP</v>
      </c>
      <c r="L12" s="171">
        <v>0.24</v>
      </c>
      <c r="M12" s="172">
        <f t="shared" si="2"/>
        <v>106.66666666666667</v>
      </c>
      <c r="N12" s="173">
        <f t="shared" si="3"/>
        <v>114.98666666666668</v>
      </c>
      <c r="O12" s="173">
        <f t="shared" si="4"/>
        <v>10.666666666666668</v>
      </c>
    </row>
    <row r="13" spans="1:15">
      <c r="A13" s="153">
        <v>15</v>
      </c>
      <c r="B13" s="165">
        <v>670</v>
      </c>
      <c r="C13" s="166">
        <v>506</v>
      </c>
      <c r="D13" s="167">
        <v>554</v>
      </c>
      <c r="E13" s="165">
        <v>831</v>
      </c>
      <c r="F13" s="166">
        <v>627</v>
      </c>
      <c r="G13" s="166">
        <v>687</v>
      </c>
      <c r="H13" s="165">
        <f t="shared" si="0"/>
        <v>161</v>
      </c>
      <c r="I13" s="166">
        <f t="shared" si="0"/>
        <v>121</v>
      </c>
      <c r="J13" s="166">
        <f t="shared" si="0"/>
        <v>133</v>
      </c>
      <c r="K13" s="170" t="str">
        <f t="shared" si="1"/>
        <v>15 HP</v>
      </c>
      <c r="L13" s="171">
        <v>0.24</v>
      </c>
      <c r="M13" s="172">
        <f t="shared" si="2"/>
        <v>138.33333333333334</v>
      </c>
      <c r="N13" s="173">
        <f t="shared" si="3"/>
        <v>149.12333333333336</v>
      </c>
      <c r="O13" s="173">
        <f t="shared" si="4"/>
        <v>9.2222222222222232</v>
      </c>
    </row>
    <row r="14" spans="1:15">
      <c r="A14" s="153">
        <v>20</v>
      </c>
      <c r="B14" s="165">
        <v>754</v>
      </c>
      <c r="C14" s="166">
        <v>560</v>
      </c>
      <c r="D14" s="167">
        <v>617</v>
      </c>
      <c r="E14" s="165">
        <v>935</v>
      </c>
      <c r="F14" s="166">
        <v>694</v>
      </c>
      <c r="G14" s="166">
        <v>765</v>
      </c>
      <c r="H14" s="165">
        <f t="shared" si="0"/>
        <v>181</v>
      </c>
      <c r="I14" s="166">
        <f t="shared" si="0"/>
        <v>134</v>
      </c>
      <c r="J14" s="166">
        <f t="shared" si="0"/>
        <v>148</v>
      </c>
      <c r="K14" s="170" t="str">
        <f t="shared" si="1"/>
        <v>20 HP</v>
      </c>
      <c r="L14" s="171">
        <v>0.24</v>
      </c>
      <c r="M14" s="172">
        <f t="shared" si="2"/>
        <v>154.33333333333334</v>
      </c>
      <c r="N14" s="173">
        <f t="shared" si="3"/>
        <v>166.37133333333335</v>
      </c>
      <c r="O14" s="173">
        <f t="shared" si="4"/>
        <v>7.7166666666666668</v>
      </c>
    </row>
    <row r="15" spans="1:15">
      <c r="A15" s="153">
        <v>25</v>
      </c>
      <c r="B15" s="165">
        <v>859</v>
      </c>
      <c r="C15" s="166">
        <v>669</v>
      </c>
      <c r="D15" s="167">
        <v>771</v>
      </c>
      <c r="E15" s="165">
        <v>1057</v>
      </c>
      <c r="F15" s="166">
        <v>823</v>
      </c>
      <c r="G15" s="166">
        <v>948</v>
      </c>
      <c r="H15" s="165">
        <f t="shared" si="0"/>
        <v>198</v>
      </c>
      <c r="I15" s="166">
        <f t="shared" si="0"/>
        <v>154</v>
      </c>
      <c r="J15" s="166">
        <f t="shared" si="0"/>
        <v>177</v>
      </c>
      <c r="K15" s="170" t="str">
        <f t="shared" si="1"/>
        <v>25 HP</v>
      </c>
      <c r="L15" s="171">
        <v>0.23</v>
      </c>
      <c r="M15" s="172">
        <f t="shared" si="2"/>
        <v>176.33333333333334</v>
      </c>
      <c r="N15" s="173">
        <f t="shared" si="3"/>
        <v>190.08733333333336</v>
      </c>
      <c r="O15" s="173">
        <f t="shared" si="4"/>
        <v>7.0533333333333337</v>
      </c>
    </row>
    <row r="16" spans="1:15">
      <c r="A16" s="153">
        <v>30</v>
      </c>
      <c r="B16" s="165">
        <v>945</v>
      </c>
      <c r="C16" s="166">
        <v>754</v>
      </c>
      <c r="D16" s="167">
        <v>831</v>
      </c>
      <c r="E16" s="165">
        <v>1162</v>
      </c>
      <c r="F16" s="166">
        <v>927</v>
      </c>
      <c r="G16" s="166">
        <v>1022</v>
      </c>
      <c r="H16" s="165">
        <f t="shared" si="0"/>
        <v>217</v>
      </c>
      <c r="I16" s="166">
        <f t="shared" si="0"/>
        <v>173</v>
      </c>
      <c r="J16" s="166">
        <f t="shared" si="0"/>
        <v>191</v>
      </c>
      <c r="K16" s="170" t="str">
        <f t="shared" si="1"/>
        <v>30 HP</v>
      </c>
      <c r="L16" s="171">
        <v>0.23</v>
      </c>
      <c r="M16" s="172">
        <f t="shared" si="2"/>
        <v>193.66666666666666</v>
      </c>
      <c r="N16" s="173">
        <f t="shared" si="3"/>
        <v>208.77266666666668</v>
      </c>
      <c r="O16" s="173">
        <f t="shared" si="4"/>
        <v>6.4555555555555548</v>
      </c>
    </row>
    <row r="17" spans="1:15">
      <c r="A17" s="153">
        <v>40</v>
      </c>
      <c r="B17" s="165">
        <v>1143</v>
      </c>
      <c r="C17" s="166">
        <v>932</v>
      </c>
      <c r="D17" s="167">
        <v>1015</v>
      </c>
      <c r="E17" s="165">
        <v>1406</v>
      </c>
      <c r="F17" s="166">
        <v>1146</v>
      </c>
      <c r="G17" s="166">
        <v>1248</v>
      </c>
      <c r="H17" s="165">
        <f t="shared" si="0"/>
        <v>263</v>
      </c>
      <c r="I17" s="166">
        <f t="shared" si="0"/>
        <v>214</v>
      </c>
      <c r="J17" s="166">
        <f t="shared" si="0"/>
        <v>233</v>
      </c>
      <c r="K17" s="170" t="str">
        <f t="shared" si="1"/>
        <v>40 HP</v>
      </c>
      <c r="L17" s="171">
        <v>0.23</v>
      </c>
      <c r="M17" s="172">
        <f t="shared" si="2"/>
        <v>236.66666666666666</v>
      </c>
      <c r="N17" s="173">
        <f t="shared" si="3"/>
        <v>255.12666666666667</v>
      </c>
      <c r="O17" s="173">
        <f t="shared" si="4"/>
        <v>5.9166666666666661</v>
      </c>
    </row>
    <row r="18" spans="1:15">
      <c r="A18" s="153">
        <v>50</v>
      </c>
      <c r="B18" s="165">
        <v>1330</v>
      </c>
      <c r="C18" s="166">
        <v>1069</v>
      </c>
      <c r="D18" s="167">
        <v>1173</v>
      </c>
      <c r="E18" s="165">
        <v>1623</v>
      </c>
      <c r="F18" s="166">
        <v>1304</v>
      </c>
      <c r="G18" s="166">
        <v>1431</v>
      </c>
      <c r="H18" s="165">
        <f t="shared" si="0"/>
        <v>293</v>
      </c>
      <c r="I18" s="166">
        <f t="shared" si="0"/>
        <v>235</v>
      </c>
      <c r="J18" s="166">
        <f t="shared" si="0"/>
        <v>258</v>
      </c>
      <c r="K18" s="170" t="str">
        <f t="shared" si="1"/>
        <v>50 HP</v>
      </c>
      <c r="L18" s="171">
        <v>0.22</v>
      </c>
      <c r="M18" s="172">
        <f t="shared" si="2"/>
        <v>262</v>
      </c>
      <c r="N18" s="173">
        <f t="shared" si="3"/>
        <v>282.43600000000004</v>
      </c>
      <c r="O18" s="173">
        <f t="shared" si="4"/>
        <v>5.24</v>
      </c>
    </row>
    <row r="19" spans="1:15">
      <c r="A19" s="153">
        <v>60</v>
      </c>
      <c r="B19" s="165">
        <v>1576</v>
      </c>
      <c r="C19" s="166">
        <v>1257</v>
      </c>
      <c r="D19" s="167">
        <v>1379</v>
      </c>
      <c r="E19" s="165">
        <v>1923</v>
      </c>
      <c r="F19" s="166">
        <v>1534</v>
      </c>
      <c r="G19" s="166">
        <v>1682</v>
      </c>
      <c r="H19" s="165">
        <f t="shared" si="0"/>
        <v>347</v>
      </c>
      <c r="I19" s="166">
        <f t="shared" si="0"/>
        <v>277</v>
      </c>
      <c r="J19" s="166">
        <f t="shared" si="0"/>
        <v>303</v>
      </c>
      <c r="K19" s="170" t="str">
        <f t="shared" si="1"/>
        <v>60 HP</v>
      </c>
      <c r="L19" s="171">
        <v>0.22</v>
      </c>
      <c r="M19" s="172">
        <f t="shared" si="2"/>
        <v>309</v>
      </c>
      <c r="N19" s="173">
        <f t="shared" si="3"/>
        <v>333.10200000000003</v>
      </c>
      <c r="O19" s="173">
        <f t="shared" si="4"/>
        <v>5.15</v>
      </c>
    </row>
    <row r="20" spans="1:15">
      <c r="A20" s="153">
        <v>75</v>
      </c>
      <c r="B20" s="165">
        <v>1789</v>
      </c>
      <c r="C20" s="166">
        <v>1437</v>
      </c>
      <c r="D20" s="167">
        <v>1544</v>
      </c>
      <c r="E20" s="165">
        <v>2165</v>
      </c>
      <c r="F20" s="166">
        <v>1739</v>
      </c>
      <c r="G20" s="166">
        <v>1868</v>
      </c>
      <c r="H20" s="165">
        <f t="shared" si="0"/>
        <v>376</v>
      </c>
      <c r="I20" s="166">
        <f t="shared" si="0"/>
        <v>302</v>
      </c>
      <c r="J20" s="166">
        <f t="shared" si="0"/>
        <v>324</v>
      </c>
      <c r="K20" s="170" t="str">
        <f t="shared" si="1"/>
        <v>75 HP</v>
      </c>
      <c r="L20" s="171">
        <v>0.21</v>
      </c>
      <c r="M20" s="172">
        <f t="shared" si="2"/>
        <v>334</v>
      </c>
      <c r="N20" s="173">
        <f t="shared" si="3"/>
        <v>360.05200000000002</v>
      </c>
      <c r="O20" s="173">
        <f t="shared" si="4"/>
        <v>4.4533333333333331</v>
      </c>
    </row>
    <row r="21" spans="1:15">
      <c r="A21" s="153">
        <v>100</v>
      </c>
      <c r="B21" s="165">
        <v>2207</v>
      </c>
      <c r="C21" s="166">
        <v>1790</v>
      </c>
      <c r="D21" s="167">
        <v>1924</v>
      </c>
      <c r="E21" s="165">
        <v>2670</v>
      </c>
      <c r="F21" s="166">
        <v>2166</v>
      </c>
      <c r="G21" s="166">
        <v>2328</v>
      </c>
      <c r="H21" s="165">
        <f t="shared" si="0"/>
        <v>463</v>
      </c>
      <c r="I21" s="166">
        <f t="shared" si="0"/>
        <v>376</v>
      </c>
      <c r="J21" s="166">
        <f t="shared" si="0"/>
        <v>404</v>
      </c>
      <c r="K21" s="170" t="str">
        <f t="shared" si="1"/>
        <v>100 HP</v>
      </c>
      <c r="L21" s="171">
        <v>0.21</v>
      </c>
      <c r="M21" s="172">
        <f t="shared" si="2"/>
        <v>414.33333333333331</v>
      </c>
      <c r="N21" s="173">
        <f t="shared" si="3"/>
        <v>446.65133333333335</v>
      </c>
      <c r="O21" s="173">
        <f t="shared" si="4"/>
        <v>4.1433333333333335</v>
      </c>
    </row>
    <row r="22" spans="1:15">
      <c r="A22" s="153">
        <v>125</v>
      </c>
      <c r="B22" s="165">
        <v>2500</v>
      </c>
      <c r="C22" s="166">
        <v>2192</v>
      </c>
      <c r="D22" s="167">
        <v>2291</v>
      </c>
      <c r="E22" s="165">
        <v>3000</v>
      </c>
      <c r="F22" s="166">
        <v>2630</v>
      </c>
      <c r="G22" s="166">
        <v>2749</v>
      </c>
      <c r="H22" s="165">
        <f t="shared" si="0"/>
        <v>500</v>
      </c>
      <c r="I22" s="166">
        <f t="shared" si="0"/>
        <v>438</v>
      </c>
      <c r="J22" s="166">
        <f t="shared" si="0"/>
        <v>458</v>
      </c>
      <c r="K22" s="170" t="str">
        <f t="shared" si="1"/>
        <v>125 HP</v>
      </c>
      <c r="L22" s="171">
        <v>0.2</v>
      </c>
      <c r="M22" s="172">
        <f t="shared" si="2"/>
        <v>465.33333333333331</v>
      </c>
      <c r="N22" s="173">
        <f t="shared" si="3"/>
        <v>501.62933333333336</v>
      </c>
      <c r="O22" s="173">
        <f t="shared" si="4"/>
        <v>3.7226666666666666</v>
      </c>
    </row>
    <row r="23" spans="1:15">
      <c r="A23" s="153">
        <v>150</v>
      </c>
      <c r="B23" s="165">
        <v>2785</v>
      </c>
      <c r="C23" s="166">
        <v>2398</v>
      </c>
      <c r="D23" s="167">
        <v>2599</v>
      </c>
      <c r="E23" s="165">
        <v>3342</v>
      </c>
      <c r="F23" s="166">
        <v>2876</v>
      </c>
      <c r="G23" s="166">
        <v>3119</v>
      </c>
      <c r="H23" s="165">
        <f t="shared" si="0"/>
        <v>557</v>
      </c>
      <c r="I23" s="166">
        <f t="shared" si="0"/>
        <v>478</v>
      </c>
      <c r="J23" s="166">
        <f t="shared" si="0"/>
        <v>520</v>
      </c>
      <c r="K23" s="170" t="str">
        <f t="shared" si="1"/>
        <v>150 HP</v>
      </c>
      <c r="L23" s="171">
        <v>0.2</v>
      </c>
      <c r="M23" s="172">
        <f t="shared" si="2"/>
        <v>518.33333333333337</v>
      </c>
      <c r="N23" s="173">
        <f t="shared" si="3"/>
        <v>558.76333333333343</v>
      </c>
      <c r="O23" s="173">
        <f t="shared" si="4"/>
        <v>3.4555555555555557</v>
      </c>
    </row>
    <row r="24" spans="1:15">
      <c r="A24" s="153">
        <v>200</v>
      </c>
      <c r="B24" s="165">
        <v>3539</v>
      </c>
      <c r="C24" s="166">
        <v>2994</v>
      </c>
      <c r="D24" s="167">
        <v>3321</v>
      </c>
      <c r="E24" s="165">
        <v>4211</v>
      </c>
      <c r="F24" s="166">
        <v>3563</v>
      </c>
      <c r="G24" s="166">
        <v>3952</v>
      </c>
      <c r="H24" s="165">
        <f t="shared" si="0"/>
        <v>672</v>
      </c>
      <c r="I24" s="166">
        <f t="shared" si="0"/>
        <v>569</v>
      </c>
      <c r="J24" s="166">
        <f t="shared" si="0"/>
        <v>631</v>
      </c>
      <c r="K24" s="170" t="str">
        <f t="shared" si="1"/>
        <v>200 HP</v>
      </c>
      <c r="L24" s="171">
        <v>0.19</v>
      </c>
      <c r="M24" s="172">
        <f t="shared" si="2"/>
        <v>624</v>
      </c>
      <c r="N24" s="173">
        <f t="shared" si="3"/>
        <v>672.67200000000003</v>
      </c>
      <c r="O24" s="173">
        <f t="shared" si="4"/>
        <v>3.12</v>
      </c>
    </row>
    <row r="25" spans="1:15">
      <c r="A25" s="153">
        <v>250</v>
      </c>
      <c r="B25" s="165">
        <v>4461</v>
      </c>
      <c r="C25" s="166">
        <v>4012</v>
      </c>
      <c r="D25" s="167">
        <v>4192</v>
      </c>
      <c r="E25" s="165">
        <v>5309</v>
      </c>
      <c r="F25" s="166">
        <v>4774</v>
      </c>
      <c r="G25" s="166">
        <v>4988</v>
      </c>
      <c r="H25" s="165">
        <f t="shared" si="0"/>
        <v>848</v>
      </c>
      <c r="I25" s="166">
        <f t="shared" si="0"/>
        <v>762</v>
      </c>
      <c r="J25" s="166">
        <f t="shared" si="0"/>
        <v>796</v>
      </c>
      <c r="K25" s="170" t="str">
        <f t="shared" si="1"/>
        <v>250 HP</v>
      </c>
      <c r="L25" s="171">
        <v>0.19</v>
      </c>
      <c r="M25" s="172">
        <f t="shared" si="2"/>
        <v>802</v>
      </c>
      <c r="N25" s="173">
        <f t="shared" si="3"/>
        <v>864.55600000000004</v>
      </c>
      <c r="O25" s="173">
        <f t="shared" si="4"/>
        <v>3.2080000000000002</v>
      </c>
    </row>
    <row r="26" spans="1:15">
      <c r="A26" s="153">
        <v>300</v>
      </c>
      <c r="B26" s="165">
        <v>4889</v>
      </c>
      <c r="C26" s="166">
        <v>4134</v>
      </c>
      <c r="D26" s="167">
        <v>4489</v>
      </c>
      <c r="E26" s="165">
        <v>5769</v>
      </c>
      <c r="F26" s="166">
        <v>4878</v>
      </c>
      <c r="G26" s="166">
        <v>5297</v>
      </c>
      <c r="H26" s="165">
        <f t="shared" si="0"/>
        <v>880</v>
      </c>
      <c r="I26" s="166">
        <f t="shared" si="0"/>
        <v>744</v>
      </c>
      <c r="J26" s="166">
        <f t="shared" si="0"/>
        <v>808</v>
      </c>
      <c r="K26" s="170" t="str">
        <f t="shared" si="1"/>
        <v>300 HP</v>
      </c>
      <c r="L26" s="171">
        <v>0.18</v>
      </c>
      <c r="M26" s="172">
        <f t="shared" si="2"/>
        <v>810.66666666666663</v>
      </c>
      <c r="N26" s="173">
        <f t="shared" si="3"/>
        <v>873.89866666666671</v>
      </c>
      <c r="O26" s="173">
        <f t="shared" si="4"/>
        <v>2.7022222222222223</v>
      </c>
    </row>
    <row r="27" spans="1:15">
      <c r="A27" s="153">
        <v>350</v>
      </c>
      <c r="B27" s="165">
        <v>5400</v>
      </c>
      <c r="C27" s="166">
        <v>4594</v>
      </c>
      <c r="D27" s="167">
        <v>4999</v>
      </c>
      <c r="E27" s="165">
        <v>6318</v>
      </c>
      <c r="F27" s="166">
        <v>5375</v>
      </c>
      <c r="G27" s="166">
        <v>5849</v>
      </c>
      <c r="H27" s="165">
        <f t="shared" si="0"/>
        <v>918</v>
      </c>
      <c r="I27" s="166">
        <f t="shared" si="0"/>
        <v>781</v>
      </c>
      <c r="J27" s="166">
        <f t="shared" si="0"/>
        <v>850</v>
      </c>
      <c r="K27" s="170" t="str">
        <f t="shared" si="1"/>
        <v>350 HP</v>
      </c>
      <c r="L27" s="171">
        <v>0.17</v>
      </c>
      <c r="M27" s="172">
        <f t="shared" si="2"/>
        <v>849.66666666666663</v>
      </c>
      <c r="N27" s="173">
        <f t="shared" si="3"/>
        <v>915.94066666666663</v>
      </c>
      <c r="O27" s="173">
        <f t="shared" si="4"/>
        <v>2.4276190476190473</v>
      </c>
    </row>
    <row r="28" spans="1:15">
      <c r="A28" s="153">
        <v>400</v>
      </c>
      <c r="B28" s="165">
        <v>5868</v>
      </c>
      <c r="C28" s="166">
        <v>5090</v>
      </c>
      <c r="D28" s="167">
        <v>5788</v>
      </c>
      <c r="E28" s="165">
        <v>6866</v>
      </c>
      <c r="F28" s="166">
        <v>5955</v>
      </c>
      <c r="G28" s="166">
        <v>6772</v>
      </c>
      <c r="H28" s="165">
        <f t="shared" si="0"/>
        <v>998</v>
      </c>
      <c r="I28" s="166">
        <f t="shared" si="0"/>
        <v>865</v>
      </c>
      <c r="J28" s="166">
        <f t="shared" si="0"/>
        <v>984</v>
      </c>
      <c r="K28" s="170" t="str">
        <f t="shared" si="1"/>
        <v>400 HP</v>
      </c>
      <c r="L28" s="171">
        <v>0.17</v>
      </c>
      <c r="M28" s="172">
        <f t="shared" si="2"/>
        <v>949</v>
      </c>
      <c r="N28" s="173">
        <f t="shared" si="3"/>
        <v>1023.022</v>
      </c>
      <c r="O28" s="173">
        <f t="shared" si="4"/>
        <v>2.3725000000000001</v>
      </c>
    </row>
    <row r="29" spans="1:15">
      <c r="A29" s="153">
        <v>450</v>
      </c>
      <c r="B29" s="165">
        <v>6294</v>
      </c>
      <c r="C29" s="166">
        <v>5611</v>
      </c>
      <c r="D29" s="167">
        <v>6400</v>
      </c>
      <c r="E29" s="165">
        <v>7364</v>
      </c>
      <c r="F29" s="166">
        <v>6565</v>
      </c>
      <c r="G29" s="166">
        <v>7488</v>
      </c>
      <c r="H29" s="165">
        <f t="shared" si="0"/>
        <v>1070</v>
      </c>
      <c r="I29" s="166">
        <f t="shared" si="0"/>
        <v>954</v>
      </c>
      <c r="J29" s="166">
        <f t="shared" si="0"/>
        <v>1088</v>
      </c>
      <c r="K29" s="170" t="str">
        <f t="shared" si="1"/>
        <v>450 HP</v>
      </c>
      <c r="L29" s="171">
        <v>0.17</v>
      </c>
      <c r="M29" s="172">
        <f t="shared" si="2"/>
        <v>1037.3333333333333</v>
      </c>
      <c r="N29" s="173">
        <f t="shared" si="3"/>
        <v>1118.2453333333333</v>
      </c>
      <c r="O29" s="173">
        <f t="shared" si="4"/>
        <v>2.3051851851851852</v>
      </c>
    </row>
    <row r="30" spans="1:15" ht="13.5" thickBot="1">
      <c r="A30" s="153">
        <v>500</v>
      </c>
      <c r="B30" s="174">
        <v>7006</v>
      </c>
      <c r="C30" s="175">
        <v>6122</v>
      </c>
      <c r="D30" s="176">
        <v>6649</v>
      </c>
      <c r="E30" s="174">
        <v>8197</v>
      </c>
      <c r="F30" s="175">
        <v>7163</v>
      </c>
      <c r="G30" s="175">
        <v>7779</v>
      </c>
      <c r="H30" s="174">
        <f t="shared" si="0"/>
        <v>1191</v>
      </c>
      <c r="I30" s="175">
        <f t="shared" si="0"/>
        <v>1041</v>
      </c>
      <c r="J30" s="175">
        <f t="shared" si="0"/>
        <v>1130</v>
      </c>
      <c r="K30" s="177" t="str">
        <f t="shared" si="1"/>
        <v>500 HP</v>
      </c>
      <c r="L30" s="178">
        <v>0.17</v>
      </c>
      <c r="M30" s="179">
        <f t="shared" si="2"/>
        <v>1120.6666666666667</v>
      </c>
      <c r="N30" s="173">
        <f t="shared" si="3"/>
        <v>1208.0786666666668</v>
      </c>
      <c r="O30" s="173">
        <f t="shared" si="4"/>
        <v>2.2413333333333334</v>
      </c>
    </row>
    <row r="31" spans="1:15">
      <c r="A31" s="115">
        <v>600</v>
      </c>
      <c r="K31" s="150" t="str">
        <f t="shared" si="1"/>
        <v>600 HP</v>
      </c>
      <c r="M31" s="180">
        <f t="shared" ref="M31:M46" si="5">E55</f>
        <v>1651.4479999999985</v>
      </c>
      <c r="N31" s="173">
        <f t="shared" si="3"/>
        <v>1780.2609439999985</v>
      </c>
      <c r="O31" s="173">
        <f t="shared" si="4"/>
        <v>2.7524133333333309</v>
      </c>
    </row>
    <row r="32" spans="1:15">
      <c r="A32" s="115">
        <v>700</v>
      </c>
      <c r="K32" s="150" t="str">
        <f t="shared" si="1"/>
        <v>700 HP</v>
      </c>
      <c r="M32" s="180">
        <f t="shared" si="5"/>
        <v>1801.7279999999992</v>
      </c>
      <c r="N32" s="173">
        <f t="shared" si="3"/>
        <v>1942.2627839999993</v>
      </c>
      <c r="O32" s="173">
        <f t="shared" si="4"/>
        <v>2.5738971428571418</v>
      </c>
    </row>
    <row r="33" spans="1:15">
      <c r="A33" s="115">
        <v>800</v>
      </c>
      <c r="K33" s="150" t="str">
        <f t="shared" si="1"/>
        <v>800 HP</v>
      </c>
      <c r="M33" s="180">
        <f t="shared" si="5"/>
        <v>1999.0639999999985</v>
      </c>
      <c r="N33" s="173">
        <f t="shared" si="3"/>
        <v>2154.9909919999986</v>
      </c>
      <c r="O33" s="173">
        <f t="shared" si="4"/>
        <v>2.4988299999999981</v>
      </c>
    </row>
    <row r="34" spans="1:15">
      <c r="A34" s="115">
        <v>900</v>
      </c>
      <c r="K34" s="150" t="str">
        <f t="shared" si="1"/>
        <v>900 HP</v>
      </c>
      <c r="M34" s="180">
        <f t="shared" si="5"/>
        <v>2203.8799999999992</v>
      </c>
      <c r="N34" s="173">
        <f t="shared" si="3"/>
        <v>2375.7826399999994</v>
      </c>
      <c r="O34" s="173">
        <f t="shared" si="4"/>
        <v>2.4487555555555547</v>
      </c>
    </row>
    <row r="35" spans="1:15">
      <c r="A35" s="115">
        <v>1000</v>
      </c>
      <c r="K35" s="150" t="str">
        <f t="shared" si="1"/>
        <v>1000 HP</v>
      </c>
      <c r="M35" s="180">
        <f t="shared" si="5"/>
        <v>2375.1039999999994</v>
      </c>
      <c r="N35" s="173">
        <f t="shared" si="3"/>
        <v>2560.3621119999993</v>
      </c>
      <c r="O35" s="173">
        <f t="shared" si="4"/>
        <v>2.3751039999999994</v>
      </c>
    </row>
    <row r="36" spans="1:15">
      <c r="A36" s="115">
        <v>1250</v>
      </c>
      <c r="K36" s="150" t="str">
        <f t="shared" si="1"/>
        <v>1250 HP</v>
      </c>
      <c r="M36" s="180">
        <f t="shared" si="5"/>
        <v>2837.232</v>
      </c>
      <c r="N36" s="173">
        <f t="shared" si="3"/>
        <v>3058.5360960000003</v>
      </c>
      <c r="O36" s="173">
        <f t="shared" si="4"/>
        <v>2.2697856000000001</v>
      </c>
    </row>
    <row r="37" spans="1:15">
      <c r="A37" s="115">
        <v>1500</v>
      </c>
      <c r="K37" s="150" t="str">
        <f t="shared" si="1"/>
        <v>1500 HP</v>
      </c>
      <c r="M37" s="180">
        <f t="shared" si="5"/>
        <v>3250.1280000000006</v>
      </c>
      <c r="N37" s="173">
        <f t="shared" si="3"/>
        <v>3503.6379840000009</v>
      </c>
      <c r="O37" s="173">
        <f t="shared" si="4"/>
        <v>2.1667520000000002</v>
      </c>
    </row>
    <row r="38" spans="1:15">
      <c r="A38" s="115">
        <v>1750</v>
      </c>
      <c r="K38" s="150" t="str">
        <f t="shared" si="1"/>
        <v>1750 HP</v>
      </c>
      <c r="M38" s="180">
        <f t="shared" si="5"/>
        <v>3709.5360000000001</v>
      </c>
      <c r="N38" s="173">
        <f t="shared" si="3"/>
        <v>3998.8798080000001</v>
      </c>
      <c r="O38" s="173">
        <f t="shared" si="4"/>
        <v>2.1197348571428574</v>
      </c>
    </row>
    <row r="39" spans="1:15">
      <c r="A39" s="115">
        <v>2000</v>
      </c>
      <c r="K39" s="150" t="str">
        <f t="shared" si="1"/>
        <v>2000 HP</v>
      </c>
      <c r="M39" s="180">
        <f t="shared" si="5"/>
        <v>4161.1919999999991</v>
      </c>
      <c r="N39" s="173">
        <f t="shared" si="3"/>
        <v>4485.7649759999995</v>
      </c>
      <c r="O39" s="173">
        <f t="shared" si="4"/>
        <v>2.0805959999999994</v>
      </c>
    </row>
    <row r="40" spans="1:15">
      <c r="A40" s="115">
        <v>2250</v>
      </c>
      <c r="K40" s="150" t="str">
        <f t="shared" si="1"/>
        <v>2250 HP</v>
      </c>
      <c r="M40" s="180">
        <f t="shared" si="5"/>
        <v>4533.2879999999968</v>
      </c>
      <c r="N40" s="173">
        <f t="shared" si="3"/>
        <v>4886.884463999997</v>
      </c>
      <c r="O40" s="173">
        <f t="shared" si="4"/>
        <v>2.0147946666666652</v>
      </c>
    </row>
    <row r="41" spans="1:15">
      <c r="A41" s="115">
        <v>2500</v>
      </c>
      <c r="K41" s="150" t="str">
        <f t="shared" si="1"/>
        <v>2500 HP</v>
      </c>
      <c r="M41" s="180">
        <f t="shared" si="5"/>
        <v>4959.783999999996</v>
      </c>
      <c r="N41" s="173">
        <f t="shared" si="3"/>
        <v>5346.6471519999959</v>
      </c>
      <c r="O41" s="173">
        <f t="shared" si="4"/>
        <v>1.9839135999999984</v>
      </c>
    </row>
    <row r="42" spans="1:15">
      <c r="A42" s="115">
        <v>3000</v>
      </c>
      <c r="K42" s="150" t="str">
        <f t="shared" si="1"/>
        <v>3000 HP</v>
      </c>
      <c r="M42" s="180">
        <f t="shared" si="5"/>
        <v>5798.903999999995</v>
      </c>
      <c r="N42" s="173">
        <f t="shared" si="3"/>
        <v>6251.2185119999949</v>
      </c>
      <c r="O42" s="173">
        <f t="shared" si="4"/>
        <v>1.9329679999999982</v>
      </c>
    </row>
    <row r="43" spans="1:15">
      <c r="A43" s="115">
        <v>3500</v>
      </c>
      <c r="K43" s="150" t="str">
        <f t="shared" si="1"/>
        <v>3500 HP</v>
      </c>
      <c r="M43" s="180">
        <f t="shared" si="5"/>
        <v>6408.0479999999952</v>
      </c>
      <c r="N43" s="173">
        <f t="shared" si="3"/>
        <v>6907.8757439999954</v>
      </c>
      <c r="O43" s="173">
        <f t="shared" si="4"/>
        <v>1.8308708571428558</v>
      </c>
    </row>
    <row r="44" spans="1:15">
      <c r="A44" s="115">
        <v>4000</v>
      </c>
      <c r="K44" s="150" t="str">
        <f t="shared" si="1"/>
        <v>4000 HP</v>
      </c>
      <c r="M44" s="180">
        <f t="shared" si="5"/>
        <v>7154.2799999999988</v>
      </c>
      <c r="N44" s="173">
        <f t="shared" si="3"/>
        <v>7712.3138399999989</v>
      </c>
      <c r="O44" s="173">
        <f t="shared" si="4"/>
        <v>1.7885699999999998</v>
      </c>
    </row>
    <row r="45" spans="1:15">
      <c r="A45" s="115">
        <v>4500</v>
      </c>
      <c r="K45" s="150" t="str">
        <f t="shared" si="1"/>
        <v>4500 HP</v>
      </c>
      <c r="M45" s="180">
        <f t="shared" si="5"/>
        <v>7710.112000000001</v>
      </c>
      <c r="N45" s="173">
        <f t="shared" si="3"/>
        <v>8311.5007360000018</v>
      </c>
      <c r="O45" s="173">
        <f t="shared" si="4"/>
        <v>1.7133582222222223</v>
      </c>
    </row>
    <row r="46" spans="1:15">
      <c r="A46" s="115">
        <v>5000</v>
      </c>
      <c r="K46" s="150" t="str">
        <f t="shared" si="1"/>
        <v>5000 HP</v>
      </c>
      <c r="M46" s="180">
        <f t="shared" si="5"/>
        <v>8230.1759999999995</v>
      </c>
      <c r="N46" s="173">
        <f t="shared" si="3"/>
        <v>8872.1297279999999</v>
      </c>
      <c r="O46" s="173">
        <f t="shared" si="4"/>
        <v>1.6460351999999998</v>
      </c>
    </row>
    <row r="50" spans="1:14" ht="15">
      <c r="A50" s="342" t="s">
        <v>238</v>
      </c>
      <c r="B50" s="342"/>
      <c r="C50" s="342"/>
      <c r="D50" s="342"/>
      <c r="E50" s="342"/>
      <c r="F50" s="342"/>
      <c r="G50" s="342"/>
      <c r="H50" s="342"/>
      <c r="I50" s="342"/>
      <c r="J50" s="342"/>
      <c r="K50" s="342"/>
      <c r="L50" s="342"/>
      <c r="M50" s="342"/>
      <c r="N50" s="342"/>
    </row>
    <row r="51" spans="1:14">
      <c r="A51" s="329" t="s">
        <v>239</v>
      </c>
      <c r="B51" s="329" t="s">
        <v>240</v>
      </c>
      <c r="C51" s="329" t="s">
        <v>241</v>
      </c>
      <c r="D51" s="329" t="s">
        <v>242</v>
      </c>
      <c r="E51" s="344" t="s">
        <v>243</v>
      </c>
      <c r="F51" s="331" t="s">
        <v>244</v>
      </c>
      <c r="G51" s="331"/>
      <c r="H51" s="181">
        <v>0.8</v>
      </c>
      <c r="I51" s="182"/>
      <c r="J51" s="183"/>
      <c r="K51" s="183"/>
      <c r="L51" s="183"/>
      <c r="M51" s="183"/>
      <c r="N51" s="183"/>
    </row>
    <row r="52" spans="1:14">
      <c r="A52" s="329"/>
      <c r="B52" s="329"/>
      <c r="C52" s="329"/>
      <c r="D52" s="329"/>
      <c r="E52" s="344"/>
      <c r="F52" s="332" t="s">
        <v>245</v>
      </c>
      <c r="G52" s="332"/>
      <c r="H52" s="184">
        <v>1.17</v>
      </c>
      <c r="I52" s="326" t="s">
        <v>246</v>
      </c>
      <c r="J52" s="326" t="s">
        <v>247</v>
      </c>
      <c r="K52" s="333" t="s">
        <v>248</v>
      </c>
      <c r="L52" s="333" t="s">
        <v>249</v>
      </c>
      <c r="M52" s="326" t="s">
        <v>250</v>
      </c>
      <c r="N52" s="183"/>
    </row>
    <row r="53" spans="1:14">
      <c r="A53" s="329"/>
      <c r="B53" s="329"/>
      <c r="C53" s="329"/>
      <c r="D53" s="329"/>
      <c r="E53" s="344"/>
      <c r="F53" s="329" t="s">
        <v>210</v>
      </c>
      <c r="G53" s="330" t="s">
        <v>251</v>
      </c>
      <c r="H53" s="185" t="s">
        <v>252</v>
      </c>
      <c r="I53" s="327"/>
      <c r="J53" s="327"/>
      <c r="K53" s="334"/>
      <c r="L53" s="334"/>
      <c r="M53" s="327" t="s">
        <v>250</v>
      </c>
      <c r="N53" s="183"/>
    </row>
    <row r="54" spans="1:14">
      <c r="A54" s="343"/>
      <c r="B54" s="343"/>
      <c r="C54" s="343"/>
      <c r="D54" s="329"/>
      <c r="E54" s="344"/>
      <c r="F54" s="329"/>
      <c r="G54" s="329"/>
      <c r="H54" s="186" t="s">
        <v>253</v>
      </c>
      <c r="I54" s="328"/>
      <c r="J54" s="328"/>
      <c r="K54" s="335"/>
      <c r="L54" s="335"/>
      <c r="M54" s="328"/>
      <c r="N54" s="183"/>
    </row>
    <row r="55" spans="1:14">
      <c r="A55" s="187">
        <v>600</v>
      </c>
      <c r="B55" s="188">
        <v>12143</v>
      </c>
      <c r="C55" s="188">
        <f>B55*H51</f>
        <v>9714.4</v>
      </c>
      <c r="D55" s="188">
        <f>C55*H52</f>
        <v>11365.847999999998</v>
      </c>
      <c r="E55" s="188">
        <f t="shared" ref="E55:E70" si="6">D55-C55</f>
        <v>1651.4479999999985</v>
      </c>
      <c r="F55" s="189">
        <v>0.7</v>
      </c>
      <c r="G55" s="190">
        <v>5.0000000000000001E-3</v>
      </c>
      <c r="H55" s="191">
        <v>12584</v>
      </c>
      <c r="I55" s="192">
        <v>2</v>
      </c>
      <c r="J55" s="193">
        <f t="shared" ref="J55:J70" si="7">A55*I55</f>
        <v>1200</v>
      </c>
      <c r="K55" s="185">
        <v>52</v>
      </c>
      <c r="L55" s="194">
        <f t="shared" ref="L55:L70" si="8">K55*0.7</f>
        <v>36.4</v>
      </c>
      <c r="M55" s="195">
        <f t="shared" ref="M55:M70" si="9">L55*H55</f>
        <v>458057.6</v>
      </c>
      <c r="N55" s="183"/>
    </row>
    <row r="56" spans="1:14">
      <c r="A56" s="196">
        <v>700</v>
      </c>
      <c r="B56" s="197">
        <v>13248</v>
      </c>
      <c r="C56" s="197">
        <f>B56*H51</f>
        <v>10598.400000000001</v>
      </c>
      <c r="D56" s="197">
        <f>C56*H52</f>
        <v>12400.128000000001</v>
      </c>
      <c r="E56" s="197">
        <f t="shared" si="6"/>
        <v>1801.7279999999992</v>
      </c>
      <c r="F56" s="198">
        <v>0.7</v>
      </c>
      <c r="G56" s="199">
        <v>5.0000000000000001E-3</v>
      </c>
      <c r="H56" s="200">
        <v>14682</v>
      </c>
      <c r="I56" s="201">
        <v>2</v>
      </c>
      <c r="J56" s="202">
        <f t="shared" si="7"/>
        <v>1400</v>
      </c>
      <c r="K56" s="186">
        <v>33</v>
      </c>
      <c r="L56" s="203">
        <f t="shared" si="8"/>
        <v>23.099999999999998</v>
      </c>
      <c r="M56" s="204">
        <f t="shared" si="9"/>
        <v>339154.19999999995</v>
      </c>
      <c r="N56" s="183"/>
    </row>
    <row r="57" spans="1:14">
      <c r="A57" s="187">
        <v>800</v>
      </c>
      <c r="B57" s="205">
        <v>14699</v>
      </c>
      <c r="C57" s="205">
        <f>B57*H51</f>
        <v>11759.2</v>
      </c>
      <c r="D57" s="205">
        <f>C57*H52</f>
        <v>13758.263999999999</v>
      </c>
      <c r="E57" s="205">
        <f t="shared" si="6"/>
        <v>1999.0639999999985</v>
      </c>
      <c r="F57" s="206">
        <v>0.7</v>
      </c>
      <c r="G57" s="207">
        <v>5.0000000000000001E-3</v>
      </c>
      <c r="H57" s="208">
        <v>16708</v>
      </c>
      <c r="I57" s="209">
        <v>2</v>
      </c>
      <c r="J57" s="210">
        <f t="shared" si="7"/>
        <v>1600</v>
      </c>
      <c r="K57" s="211">
        <v>24</v>
      </c>
      <c r="L57" s="212">
        <f t="shared" si="8"/>
        <v>16.799999999999997</v>
      </c>
      <c r="M57" s="213">
        <f t="shared" si="9"/>
        <v>280694.39999999997</v>
      </c>
      <c r="N57" s="183"/>
    </row>
    <row r="58" spans="1:14">
      <c r="A58" s="187">
        <v>900</v>
      </c>
      <c r="B58" s="205">
        <v>16205</v>
      </c>
      <c r="C58" s="205">
        <f>B58*H51</f>
        <v>12964</v>
      </c>
      <c r="D58" s="205">
        <f>C58*H52</f>
        <v>15167.88</v>
      </c>
      <c r="E58" s="205">
        <f t="shared" si="6"/>
        <v>2203.8799999999992</v>
      </c>
      <c r="F58" s="206">
        <v>0.7</v>
      </c>
      <c r="G58" s="207">
        <v>5.0000000000000001E-3</v>
      </c>
      <c r="H58" s="208">
        <v>18737</v>
      </c>
      <c r="I58" s="209">
        <v>2</v>
      </c>
      <c r="J58" s="210">
        <f t="shared" si="7"/>
        <v>1800</v>
      </c>
      <c r="K58" s="211">
        <v>14</v>
      </c>
      <c r="L58" s="212">
        <f t="shared" si="8"/>
        <v>9.7999999999999989</v>
      </c>
      <c r="M58" s="213">
        <f t="shared" si="9"/>
        <v>183622.59999999998</v>
      </c>
      <c r="N58" s="183"/>
    </row>
    <row r="59" spans="1:14">
      <c r="A59" s="214">
        <v>1000</v>
      </c>
      <c r="B59" s="188">
        <v>17464</v>
      </c>
      <c r="C59" s="188">
        <f>B59*H51</f>
        <v>13971.2</v>
      </c>
      <c r="D59" s="188">
        <f>C59*H52</f>
        <v>16346.304</v>
      </c>
      <c r="E59" s="188">
        <f t="shared" si="6"/>
        <v>2375.1039999999994</v>
      </c>
      <c r="F59" s="189">
        <v>0.7</v>
      </c>
      <c r="G59" s="190">
        <v>5.0000000000000001E-3</v>
      </c>
      <c r="H59" s="191">
        <v>20754</v>
      </c>
      <c r="I59" s="192">
        <v>2</v>
      </c>
      <c r="J59" s="193">
        <f t="shared" si="7"/>
        <v>2000</v>
      </c>
      <c r="K59" s="185">
        <v>14</v>
      </c>
      <c r="L59" s="194">
        <f t="shared" si="8"/>
        <v>9.7999999999999989</v>
      </c>
      <c r="M59" s="195">
        <f t="shared" si="9"/>
        <v>203389.19999999998</v>
      </c>
      <c r="N59" s="183"/>
    </row>
    <row r="60" spans="1:14">
      <c r="A60" s="196">
        <v>1250</v>
      </c>
      <c r="B60" s="197">
        <v>20862</v>
      </c>
      <c r="C60" s="197">
        <f>B60*H51</f>
        <v>16689.600000000002</v>
      </c>
      <c r="D60" s="197">
        <f>C60*H52</f>
        <v>19526.832000000002</v>
      </c>
      <c r="E60" s="197">
        <f t="shared" si="6"/>
        <v>2837.232</v>
      </c>
      <c r="F60" s="198">
        <v>0.7</v>
      </c>
      <c r="G60" s="199">
        <v>5.0000000000000001E-3</v>
      </c>
      <c r="H60" s="200">
        <v>26695</v>
      </c>
      <c r="I60" s="201">
        <v>2</v>
      </c>
      <c r="J60" s="202">
        <f t="shared" si="7"/>
        <v>2500</v>
      </c>
      <c r="K60" s="186">
        <v>12</v>
      </c>
      <c r="L60" s="203">
        <f t="shared" si="8"/>
        <v>8.3999999999999986</v>
      </c>
      <c r="M60" s="204">
        <f t="shared" si="9"/>
        <v>224237.99999999997</v>
      </c>
      <c r="N60" s="183"/>
    </row>
    <row r="61" spans="1:14">
      <c r="A61" s="187">
        <v>1500</v>
      </c>
      <c r="B61" s="205">
        <v>23898</v>
      </c>
      <c r="C61" s="205">
        <f>B61*H51</f>
        <v>19118.400000000001</v>
      </c>
      <c r="D61" s="205">
        <f>C61*H52</f>
        <v>22368.528000000002</v>
      </c>
      <c r="E61" s="205">
        <f t="shared" si="6"/>
        <v>3250.1280000000006</v>
      </c>
      <c r="F61" s="206">
        <v>0.7</v>
      </c>
      <c r="G61" s="207">
        <v>5.0000000000000001E-3</v>
      </c>
      <c r="H61" s="208">
        <v>31867</v>
      </c>
      <c r="I61" s="209">
        <v>2</v>
      </c>
      <c r="J61" s="210">
        <f t="shared" si="7"/>
        <v>3000</v>
      </c>
      <c r="K61" s="211">
        <v>12</v>
      </c>
      <c r="L61" s="212">
        <f t="shared" si="8"/>
        <v>8.3999999999999986</v>
      </c>
      <c r="M61" s="213">
        <f t="shared" si="9"/>
        <v>267682.79999999993</v>
      </c>
      <c r="N61" s="183"/>
    </row>
    <row r="62" spans="1:14">
      <c r="A62" s="187">
        <v>1750</v>
      </c>
      <c r="B62" s="205">
        <v>27276</v>
      </c>
      <c r="C62" s="205">
        <f>B62*H51</f>
        <v>21820.800000000003</v>
      </c>
      <c r="D62" s="205">
        <f>C62*H52</f>
        <v>25530.336000000003</v>
      </c>
      <c r="E62" s="215">
        <f t="shared" si="6"/>
        <v>3709.5360000000001</v>
      </c>
      <c r="F62" s="216">
        <v>0.7</v>
      </c>
      <c r="G62" s="217">
        <v>5.0000000000000001E-3</v>
      </c>
      <c r="H62" s="218">
        <v>37035</v>
      </c>
      <c r="I62" s="219">
        <v>2</v>
      </c>
      <c r="J62" s="210">
        <f t="shared" si="7"/>
        <v>3500</v>
      </c>
      <c r="K62" s="211">
        <v>11</v>
      </c>
      <c r="L62" s="212">
        <f t="shared" si="8"/>
        <v>7.6999999999999993</v>
      </c>
      <c r="M62" s="213">
        <f t="shared" si="9"/>
        <v>285169.5</v>
      </c>
      <c r="N62" s="183"/>
    </row>
    <row r="63" spans="1:14">
      <c r="A63" s="214">
        <v>2000</v>
      </c>
      <c r="B63" s="188">
        <v>30597</v>
      </c>
      <c r="C63" s="188">
        <f>B63*H51</f>
        <v>24477.600000000002</v>
      </c>
      <c r="D63" s="188">
        <f>C63*H52</f>
        <v>28638.792000000001</v>
      </c>
      <c r="E63" s="220">
        <f t="shared" si="6"/>
        <v>4161.1919999999991</v>
      </c>
      <c r="F63" s="221">
        <v>0.7</v>
      </c>
      <c r="G63" s="222">
        <v>5.0000000000000001E-3</v>
      </c>
      <c r="H63" s="223">
        <v>42355</v>
      </c>
      <c r="I63" s="224">
        <v>2</v>
      </c>
      <c r="J63" s="193">
        <f t="shared" si="7"/>
        <v>4000</v>
      </c>
      <c r="K63" s="185">
        <v>7</v>
      </c>
      <c r="L63" s="194">
        <f t="shared" si="8"/>
        <v>4.8999999999999995</v>
      </c>
      <c r="M63" s="195">
        <f t="shared" si="9"/>
        <v>207539.49999999997</v>
      </c>
      <c r="N63" s="183"/>
    </row>
    <row r="64" spans="1:14">
      <c r="A64" s="196">
        <v>2250</v>
      </c>
      <c r="B64" s="197">
        <v>33333</v>
      </c>
      <c r="C64" s="197">
        <f>B64*H51</f>
        <v>26666.400000000001</v>
      </c>
      <c r="D64" s="197">
        <f>C64*H52</f>
        <v>31199.687999999998</v>
      </c>
      <c r="E64" s="197">
        <f t="shared" si="6"/>
        <v>4533.2879999999968</v>
      </c>
      <c r="F64" s="198">
        <v>0.7</v>
      </c>
      <c r="G64" s="199">
        <v>5.0000000000000001E-3</v>
      </c>
      <c r="H64" s="200">
        <v>47468</v>
      </c>
      <c r="I64" s="201">
        <v>2</v>
      </c>
      <c r="J64" s="202">
        <f t="shared" si="7"/>
        <v>4500</v>
      </c>
      <c r="K64" s="186">
        <v>7</v>
      </c>
      <c r="L64" s="203">
        <f t="shared" si="8"/>
        <v>4.8999999999999995</v>
      </c>
      <c r="M64" s="204">
        <f t="shared" si="9"/>
        <v>232593.19999999998</v>
      </c>
      <c r="N64" s="183"/>
    </row>
    <row r="65" spans="1:14">
      <c r="A65" s="187">
        <v>2500</v>
      </c>
      <c r="B65" s="205">
        <v>36469</v>
      </c>
      <c r="C65" s="205">
        <f>B65*H51</f>
        <v>29175.200000000001</v>
      </c>
      <c r="D65" s="205">
        <f>C65*H52</f>
        <v>34134.983999999997</v>
      </c>
      <c r="E65" s="215">
        <f t="shared" si="6"/>
        <v>4959.783999999996</v>
      </c>
      <c r="F65" s="216">
        <v>0.7</v>
      </c>
      <c r="G65" s="217">
        <v>5.0000000000000001E-3</v>
      </c>
      <c r="H65" s="218">
        <v>52450</v>
      </c>
      <c r="I65" s="219">
        <v>2</v>
      </c>
      <c r="J65" s="210">
        <f t="shared" si="7"/>
        <v>5000</v>
      </c>
      <c r="K65" s="211">
        <v>5</v>
      </c>
      <c r="L65" s="212">
        <f t="shared" si="8"/>
        <v>3.5</v>
      </c>
      <c r="M65" s="213">
        <f t="shared" si="9"/>
        <v>183575</v>
      </c>
      <c r="N65" s="183"/>
    </row>
    <row r="66" spans="1:14">
      <c r="A66" s="187">
        <v>3000</v>
      </c>
      <c r="B66" s="205">
        <v>42639</v>
      </c>
      <c r="C66" s="205">
        <f>B66*H51</f>
        <v>34111.200000000004</v>
      </c>
      <c r="D66" s="205">
        <f>C66*H52</f>
        <v>39910.103999999999</v>
      </c>
      <c r="E66" s="205">
        <f t="shared" si="6"/>
        <v>5798.903999999995</v>
      </c>
      <c r="F66" s="206">
        <v>0.7</v>
      </c>
      <c r="G66" s="207">
        <v>5.0000000000000001E-3</v>
      </c>
      <c r="H66" s="208">
        <v>63071</v>
      </c>
      <c r="I66" s="209">
        <v>2</v>
      </c>
      <c r="J66" s="210">
        <f t="shared" si="7"/>
        <v>6000</v>
      </c>
      <c r="K66" s="211">
        <v>3</v>
      </c>
      <c r="L66" s="212">
        <f t="shared" si="8"/>
        <v>2.0999999999999996</v>
      </c>
      <c r="M66" s="213">
        <f t="shared" si="9"/>
        <v>132449.09999999998</v>
      </c>
      <c r="N66" s="183"/>
    </row>
    <row r="67" spans="1:14">
      <c r="A67" s="214">
        <v>3500</v>
      </c>
      <c r="B67" s="188">
        <v>47118</v>
      </c>
      <c r="C67" s="188">
        <f>B67*H51</f>
        <v>37694.400000000001</v>
      </c>
      <c r="D67" s="188">
        <f>C67*H52</f>
        <v>44102.447999999997</v>
      </c>
      <c r="E67" s="188">
        <f t="shared" si="6"/>
        <v>6408.0479999999952</v>
      </c>
      <c r="F67" s="189">
        <v>0.7</v>
      </c>
      <c r="G67" s="190">
        <v>5.0000000000000001E-3</v>
      </c>
      <c r="H67" s="191">
        <v>73392</v>
      </c>
      <c r="I67" s="192">
        <v>2</v>
      </c>
      <c r="J67" s="193">
        <f t="shared" si="7"/>
        <v>7000</v>
      </c>
      <c r="K67" s="185">
        <v>1</v>
      </c>
      <c r="L67" s="194">
        <f t="shared" si="8"/>
        <v>0.7</v>
      </c>
      <c r="M67" s="195">
        <f t="shared" si="9"/>
        <v>51374.399999999994</v>
      </c>
      <c r="N67" s="183"/>
    </row>
    <row r="68" spans="1:14">
      <c r="A68" s="196">
        <v>4000</v>
      </c>
      <c r="B68" s="197">
        <v>52605</v>
      </c>
      <c r="C68" s="197">
        <f>B68*H51</f>
        <v>42084</v>
      </c>
      <c r="D68" s="197">
        <f>C68*H52</f>
        <v>49238.28</v>
      </c>
      <c r="E68" s="197">
        <f t="shared" si="6"/>
        <v>7154.2799999999988</v>
      </c>
      <c r="F68" s="198">
        <v>0.7</v>
      </c>
      <c r="G68" s="199">
        <v>5.0000000000000001E-3</v>
      </c>
      <c r="H68" s="200">
        <v>83919</v>
      </c>
      <c r="I68" s="201">
        <v>2</v>
      </c>
      <c r="J68" s="202">
        <f t="shared" si="7"/>
        <v>8000</v>
      </c>
      <c r="K68" s="186">
        <v>3</v>
      </c>
      <c r="L68" s="203">
        <f t="shared" si="8"/>
        <v>2.0999999999999996</v>
      </c>
      <c r="M68" s="204">
        <f t="shared" si="9"/>
        <v>176229.89999999997</v>
      </c>
      <c r="N68" s="183"/>
    </row>
    <row r="69" spans="1:14">
      <c r="A69" s="214">
        <v>4500</v>
      </c>
      <c r="B69" s="188">
        <v>56692</v>
      </c>
      <c r="C69" s="188">
        <f>B69*H51</f>
        <v>45353.600000000006</v>
      </c>
      <c r="D69" s="188">
        <f>C69*H52</f>
        <v>53063.712000000007</v>
      </c>
      <c r="E69" s="188">
        <f t="shared" si="6"/>
        <v>7710.112000000001</v>
      </c>
      <c r="F69" s="189">
        <v>0.7</v>
      </c>
      <c r="G69" s="190">
        <v>5.0000000000000001E-3</v>
      </c>
      <c r="H69" s="191">
        <v>94213</v>
      </c>
      <c r="I69" s="225">
        <v>2</v>
      </c>
      <c r="J69" s="226">
        <f t="shared" si="7"/>
        <v>9000</v>
      </c>
      <c r="K69" s="185">
        <v>1</v>
      </c>
      <c r="L69" s="194">
        <f t="shared" si="8"/>
        <v>0.7</v>
      </c>
      <c r="M69" s="195">
        <f t="shared" si="9"/>
        <v>65949.099999999991</v>
      </c>
      <c r="N69" s="183"/>
    </row>
    <row r="70" spans="1:14">
      <c r="A70" s="196">
        <v>5000</v>
      </c>
      <c r="B70" s="197">
        <v>60516</v>
      </c>
      <c r="C70" s="197">
        <f>B70*H51</f>
        <v>48412.800000000003</v>
      </c>
      <c r="D70" s="197">
        <f>C70*H52</f>
        <v>56642.976000000002</v>
      </c>
      <c r="E70" s="197">
        <f t="shared" si="6"/>
        <v>8230.1759999999995</v>
      </c>
      <c r="F70" s="198">
        <v>0.7</v>
      </c>
      <c r="G70" s="199">
        <v>5.0000000000000001E-3</v>
      </c>
      <c r="H70" s="200">
        <v>104681</v>
      </c>
      <c r="I70" s="227">
        <v>2</v>
      </c>
      <c r="J70" s="228">
        <f t="shared" si="7"/>
        <v>10000</v>
      </c>
      <c r="K70" s="186">
        <v>1</v>
      </c>
      <c r="L70" s="203">
        <f t="shared" si="8"/>
        <v>0.7</v>
      </c>
      <c r="M70" s="204">
        <f t="shared" si="9"/>
        <v>73276.7</v>
      </c>
      <c r="N70" s="183"/>
    </row>
    <row r="71" spans="1:14">
      <c r="A71" s="183"/>
      <c r="B71" s="183"/>
      <c r="C71" s="183"/>
      <c r="D71" s="183"/>
      <c r="E71" s="183"/>
      <c r="F71" s="183"/>
      <c r="G71" s="183"/>
      <c r="H71" s="183"/>
      <c r="I71" s="183"/>
      <c r="J71" s="183"/>
      <c r="K71" s="229"/>
      <c r="L71" s="230"/>
      <c r="M71" s="231">
        <f>SUM(M55:M70)</f>
        <v>3364995.2</v>
      </c>
      <c r="N71" s="183"/>
    </row>
  </sheetData>
  <mergeCells count="19">
    <mergeCell ref="A51:A54"/>
    <mergeCell ref="B51:B54"/>
    <mergeCell ref="C51:C54"/>
    <mergeCell ref="D51:D54"/>
    <mergeCell ref="E51:E54"/>
    <mergeCell ref="B9:D9"/>
    <mergeCell ref="E9:G9"/>
    <mergeCell ref="H9:J9"/>
    <mergeCell ref="K9:M9"/>
    <mergeCell ref="A50:N50"/>
    <mergeCell ref="M52:M54"/>
    <mergeCell ref="F53:F54"/>
    <mergeCell ref="G53:G54"/>
    <mergeCell ref="F51:G51"/>
    <mergeCell ref="F52:G52"/>
    <mergeCell ref="I52:I54"/>
    <mergeCell ref="J52:J54"/>
    <mergeCell ref="K52:K54"/>
    <mergeCell ref="L52:L5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dimension ref="A1:P44"/>
  <sheetViews>
    <sheetView workbookViewId="0">
      <selection activeCell="B44" sqref="B44"/>
    </sheetView>
  </sheetViews>
  <sheetFormatPr defaultColWidth="8.85546875" defaultRowHeight="12.75"/>
  <cols>
    <col min="1" max="1" width="8.85546875" style="150"/>
    <col min="2" max="2" width="9.28515625" style="150" bestFit="1" customWidth="1"/>
    <col min="3" max="3" width="10.28515625" style="150" bestFit="1" customWidth="1"/>
    <col min="4" max="4" width="11.7109375" style="150" bestFit="1" customWidth="1"/>
    <col min="5" max="16384" width="8.85546875" style="150"/>
  </cols>
  <sheetData>
    <row r="1" spans="1:4">
      <c r="A1" s="150" t="s">
        <v>290</v>
      </c>
    </row>
    <row r="10" spans="1:4">
      <c r="A10" s="233" t="s">
        <v>194</v>
      </c>
      <c r="B10" s="234" t="s">
        <v>291</v>
      </c>
      <c r="C10" s="150" t="s">
        <v>292</v>
      </c>
      <c r="D10" s="235" t="s">
        <v>293</v>
      </c>
    </row>
    <row r="11" spans="1:4">
      <c r="A11" s="128">
        <v>15</v>
      </c>
      <c r="B11" s="236">
        <f>SavingsAnalysis!C13</f>
        <v>2221</v>
      </c>
      <c r="C11" s="237">
        <v>40000</v>
      </c>
      <c r="D11" s="238">
        <f t="shared" ref="D11:D44" si="0">ROUND(MIN(C11/B11,20),0)</f>
        <v>18</v>
      </c>
    </row>
    <row r="12" spans="1:4">
      <c r="A12" s="128">
        <v>20</v>
      </c>
      <c r="B12" s="236">
        <f>SavingsAnalysis!C14</f>
        <v>2221</v>
      </c>
      <c r="C12" s="237">
        <v>40000</v>
      </c>
      <c r="D12" s="238">
        <f t="shared" si="0"/>
        <v>18</v>
      </c>
    </row>
    <row r="13" spans="1:4">
      <c r="A13" s="128">
        <v>25</v>
      </c>
      <c r="B13" s="236">
        <f>SavingsAnalysis!C15</f>
        <v>2691</v>
      </c>
      <c r="C13" s="237">
        <v>45000</v>
      </c>
      <c r="D13" s="238">
        <f t="shared" si="0"/>
        <v>17</v>
      </c>
    </row>
    <row r="14" spans="1:4">
      <c r="A14" s="128">
        <v>30</v>
      </c>
      <c r="B14" s="236">
        <f>SavingsAnalysis!C16</f>
        <v>2691</v>
      </c>
      <c r="C14" s="237">
        <v>45000</v>
      </c>
      <c r="D14" s="238">
        <f t="shared" si="0"/>
        <v>17</v>
      </c>
    </row>
    <row r="15" spans="1:4">
      <c r="A15" s="128">
        <v>40</v>
      </c>
      <c r="B15" s="236">
        <f>SavingsAnalysis!C17</f>
        <v>2691</v>
      </c>
      <c r="C15" s="237">
        <v>45000</v>
      </c>
      <c r="D15" s="238">
        <f t="shared" si="0"/>
        <v>17</v>
      </c>
    </row>
    <row r="16" spans="1:4">
      <c r="A16" s="128">
        <v>50</v>
      </c>
      <c r="B16" s="236">
        <f>SavingsAnalysis!C18</f>
        <v>2691</v>
      </c>
      <c r="C16" s="237">
        <v>45000</v>
      </c>
      <c r="D16" s="238">
        <f t="shared" si="0"/>
        <v>17</v>
      </c>
    </row>
    <row r="17" spans="1:16">
      <c r="A17" s="128">
        <v>60</v>
      </c>
      <c r="B17" s="236">
        <f>SavingsAnalysis!C19</f>
        <v>2357</v>
      </c>
      <c r="C17" s="237">
        <v>50000</v>
      </c>
      <c r="D17" s="238">
        <f t="shared" si="0"/>
        <v>20</v>
      </c>
    </row>
    <row r="18" spans="1:16">
      <c r="A18" s="128">
        <v>75</v>
      </c>
      <c r="B18" s="236">
        <f>SavingsAnalysis!C20</f>
        <v>2357</v>
      </c>
      <c r="C18" s="237">
        <v>50000</v>
      </c>
      <c r="D18" s="238">
        <f t="shared" si="0"/>
        <v>20</v>
      </c>
    </row>
    <row r="19" spans="1:16">
      <c r="A19" s="128">
        <v>100</v>
      </c>
      <c r="B19" s="236">
        <f>SavingsAnalysis!C21</f>
        <v>2357</v>
      </c>
      <c r="C19" s="237">
        <v>50000</v>
      </c>
      <c r="D19" s="238">
        <f t="shared" si="0"/>
        <v>20</v>
      </c>
    </row>
    <row r="20" spans="1:16">
      <c r="A20" s="128">
        <v>125</v>
      </c>
      <c r="B20" s="236">
        <f>SavingsAnalysis!C22</f>
        <v>2198</v>
      </c>
      <c r="C20" s="237">
        <v>50000</v>
      </c>
      <c r="D20" s="238">
        <f t="shared" si="0"/>
        <v>20</v>
      </c>
    </row>
    <row r="21" spans="1:16">
      <c r="A21" s="128">
        <v>150</v>
      </c>
      <c r="B21" s="236">
        <f>SavingsAnalysis!C23</f>
        <v>2198</v>
      </c>
      <c r="C21" s="237">
        <v>50000</v>
      </c>
      <c r="D21" s="238">
        <f t="shared" si="0"/>
        <v>20</v>
      </c>
    </row>
    <row r="22" spans="1:16">
      <c r="A22" s="128">
        <v>200</v>
      </c>
      <c r="B22" s="236">
        <f>SavingsAnalysis!C24</f>
        <v>2198</v>
      </c>
      <c r="C22" s="237">
        <v>50000</v>
      </c>
      <c r="D22" s="238">
        <f t="shared" si="0"/>
        <v>20</v>
      </c>
    </row>
    <row r="23" spans="1:16">
      <c r="A23" s="128">
        <v>250</v>
      </c>
      <c r="B23" s="236">
        <f>SavingsAnalysis!C25</f>
        <v>2674</v>
      </c>
      <c r="C23" s="237">
        <v>50000</v>
      </c>
      <c r="D23" s="238">
        <f t="shared" si="0"/>
        <v>19</v>
      </c>
    </row>
    <row r="24" spans="1:16">
      <c r="A24" s="128">
        <v>300</v>
      </c>
      <c r="B24" s="236">
        <f>SavingsAnalysis!C26</f>
        <v>2674</v>
      </c>
      <c r="C24" s="237">
        <v>50000</v>
      </c>
      <c r="D24" s="238">
        <f t="shared" si="0"/>
        <v>19</v>
      </c>
    </row>
    <row r="25" spans="1:16">
      <c r="A25" s="128">
        <v>350</v>
      </c>
      <c r="B25" s="236">
        <f>SavingsAnalysis!C27</f>
        <v>2674</v>
      </c>
      <c r="C25" s="237">
        <v>50000</v>
      </c>
      <c r="D25" s="238">
        <f t="shared" si="0"/>
        <v>19</v>
      </c>
      <c r="N25" s="149"/>
      <c r="O25" s="149"/>
      <c r="P25" s="149"/>
    </row>
    <row r="26" spans="1:16">
      <c r="A26" s="128">
        <v>400</v>
      </c>
      <c r="B26" s="236">
        <f>SavingsAnalysis!C28</f>
        <v>2674</v>
      </c>
      <c r="C26" s="237">
        <v>50000</v>
      </c>
      <c r="D26" s="238">
        <f t="shared" si="0"/>
        <v>19</v>
      </c>
      <c r="N26" s="149"/>
      <c r="O26" s="149"/>
      <c r="P26" s="149"/>
    </row>
    <row r="27" spans="1:16">
      <c r="A27" s="128">
        <v>450</v>
      </c>
      <c r="B27" s="236">
        <f>SavingsAnalysis!C29</f>
        <v>2674</v>
      </c>
      <c r="C27" s="237">
        <v>50000</v>
      </c>
      <c r="D27" s="238">
        <f t="shared" si="0"/>
        <v>19</v>
      </c>
      <c r="N27" s="149"/>
      <c r="O27" s="149"/>
      <c r="P27" s="149"/>
    </row>
    <row r="28" spans="1:16">
      <c r="A28" s="128">
        <v>500</v>
      </c>
      <c r="B28" s="236">
        <f>SavingsAnalysis!C30</f>
        <v>2674</v>
      </c>
      <c r="C28" s="237">
        <v>50000</v>
      </c>
      <c r="D28" s="238">
        <f t="shared" si="0"/>
        <v>19</v>
      </c>
      <c r="N28" s="149"/>
      <c r="O28" s="149"/>
      <c r="P28" s="149"/>
    </row>
    <row r="29" spans="1:16">
      <c r="A29" s="128">
        <f>'[3]CostData&amp;Analysis'!A55</f>
        <v>600</v>
      </c>
      <c r="B29" s="236">
        <f>SavingsAnalysis!C31</f>
        <v>2124</v>
      </c>
      <c r="C29" s="237">
        <v>50000</v>
      </c>
      <c r="D29" s="238">
        <f t="shared" si="0"/>
        <v>20</v>
      </c>
      <c r="N29" s="149"/>
      <c r="O29" s="149"/>
      <c r="P29" s="149"/>
    </row>
    <row r="30" spans="1:16">
      <c r="A30" s="128">
        <f>'[3]CostData&amp;Analysis'!A56</f>
        <v>700</v>
      </c>
      <c r="B30" s="236">
        <f>SavingsAnalysis!C32</f>
        <v>2124</v>
      </c>
      <c r="C30" s="237">
        <v>50000</v>
      </c>
      <c r="D30" s="238">
        <f t="shared" si="0"/>
        <v>20</v>
      </c>
      <c r="N30" s="149"/>
      <c r="O30" s="149"/>
      <c r="P30" s="149"/>
    </row>
    <row r="31" spans="1:16">
      <c r="A31" s="128">
        <f>'[3]CostData&amp;Analysis'!A57</f>
        <v>800</v>
      </c>
      <c r="B31" s="236">
        <f>SavingsAnalysis!C33</f>
        <v>2124</v>
      </c>
      <c r="C31" s="237">
        <v>50000</v>
      </c>
      <c r="D31" s="238">
        <f t="shared" si="0"/>
        <v>20</v>
      </c>
      <c r="N31" s="149"/>
      <c r="O31" s="149"/>
      <c r="P31" s="149"/>
    </row>
    <row r="32" spans="1:16">
      <c r="A32" s="128">
        <f>'[3]CostData&amp;Analysis'!A58</f>
        <v>900</v>
      </c>
      <c r="B32" s="236">
        <f>SavingsAnalysis!C34</f>
        <v>2124</v>
      </c>
      <c r="C32" s="237">
        <v>50000</v>
      </c>
      <c r="D32" s="238">
        <f t="shared" si="0"/>
        <v>20</v>
      </c>
      <c r="N32" s="149"/>
      <c r="O32" s="149"/>
      <c r="P32" s="149"/>
    </row>
    <row r="33" spans="1:16">
      <c r="A33" s="128">
        <f>'[3]CostData&amp;Analysis'!A59</f>
        <v>1000</v>
      </c>
      <c r="B33" s="236">
        <f>SavingsAnalysis!C35</f>
        <v>2124</v>
      </c>
      <c r="C33" s="237">
        <v>50000</v>
      </c>
      <c r="D33" s="238">
        <f t="shared" si="0"/>
        <v>20</v>
      </c>
      <c r="N33" s="149"/>
      <c r="O33" s="149"/>
      <c r="P33" s="149"/>
    </row>
    <row r="34" spans="1:16">
      <c r="A34" s="128">
        <f>'[3]CostData&amp;Analysis'!A60</f>
        <v>1250</v>
      </c>
      <c r="B34" s="236">
        <f>SavingsAnalysis!C36</f>
        <v>2124</v>
      </c>
      <c r="C34" s="237">
        <v>50000</v>
      </c>
      <c r="D34" s="238">
        <f t="shared" si="0"/>
        <v>20</v>
      </c>
      <c r="N34" s="149"/>
      <c r="O34" s="149"/>
      <c r="P34" s="149"/>
    </row>
    <row r="35" spans="1:16">
      <c r="A35" s="128">
        <f>'[3]CostData&amp;Analysis'!A61</f>
        <v>1500</v>
      </c>
      <c r="B35" s="236">
        <f>SavingsAnalysis!C37</f>
        <v>2124</v>
      </c>
      <c r="C35" s="237">
        <v>50000</v>
      </c>
      <c r="D35" s="238">
        <f t="shared" si="0"/>
        <v>20</v>
      </c>
      <c r="N35" s="149"/>
      <c r="O35" s="149"/>
      <c r="P35" s="149"/>
    </row>
    <row r="36" spans="1:16">
      <c r="A36" s="128">
        <f>'[3]CostData&amp;Analysis'!A62</f>
        <v>1750</v>
      </c>
      <c r="B36" s="236">
        <f>SavingsAnalysis!C38</f>
        <v>2124</v>
      </c>
      <c r="C36" s="237">
        <v>50000</v>
      </c>
      <c r="D36" s="238">
        <f t="shared" si="0"/>
        <v>20</v>
      </c>
    </row>
    <row r="37" spans="1:16">
      <c r="A37" s="128">
        <f>'[3]CostData&amp;Analysis'!A63</f>
        <v>2000</v>
      </c>
      <c r="B37" s="236">
        <f>SavingsAnalysis!C39</f>
        <v>2124</v>
      </c>
      <c r="C37" s="237">
        <v>50000</v>
      </c>
      <c r="D37" s="238">
        <f t="shared" si="0"/>
        <v>20</v>
      </c>
    </row>
    <row r="38" spans="1:16">
      <c r="A38" s="128">
        <f>'[3]CostData&amp;Analysis'!A64</f>
        <v>2250</v>
      </c>
      <c r="B38" s="236">
        <f>SavingsAnalysis!C40</f>
        <v>2124</v>
      </c>
      <c r="C38" s="237">
        <v>50000</v>
      </c>
      <c r="D38" s="238">
        <f t="shared" si="0"/>
        <v>20</v>
      </c>
    </row>
    <row r="39" spans="1:16">
      <c r="A39" s="128">
        <f>'[3]CostData&amp;Analysis'!A65</f>
        <v>2500</v>
      </c>
      <c r="B39" s="236">
        <f>SavingsAnalysis!C41</f>
        <v>2124</v>
      </c>
      <c r="C39" s="237">
        <v>50000</v>
      </c>
      <c r="D39" s="238">
        <f t="shared" si="0"/>
        <v>20</v>
      </c>
    </row>
    <row r="40" spans="1:16">
      <c r="A40" s="128">
        <f>'[3]CostData&amp;Analysis'!A66</f>
        <v>3000</v>
      </c>
      <c r="B40" s="236">
        <f>SavingsAnalysis!C42</f>
        <v>2124</v>
      </c>
      <c r="C40" s="237">
        <v>50000</v>
      </c>
      <c r="D40" s="238">
        <f t="shared" si="0"/>
        <v>20</v>
      </c>
    </row>
    <row r="41" spans="1:16">
      <c r="A41" s="128">
        <f>'[3]CostData&amp;Analysis'!A67</f>
        <v>3500</v>
      </c>
      <c r="B41" s="236">
        <f>SavingsAnalysis!C43</f>
        <v>2124</v>
      </c>
      <c r="C41" s="237">
        <v>50000</v>
      </c>
      <c r="D41" s="238">
        <f t="shared" si="0"/>
        <v>20</v>
      </c>
    </row>
    <row r="42" spans="1:16">
      <c r="A42" s="128">
        <f>'[3]CostData&amp;Analysis'!A68</f>
        <v>4000</v>
      </c>
      <c r="B42" s="236">
        <f>SavingsAnalysis!C44</f>
        <v>2124</v>
      </c>
      <c r="C42" s="237">
        <v>50000</v>
      </c>
      <c r="D42" s="238">
        <f t="shared" si="0"/>
        <v>20</v>
      </c>
    </row>
    <row r="43" spans="1:16">
      <c r="A43" s="128">
        <f>'[3]CostData&amp;Analysis'!A69</f>
        <v>4500</v>
      </c>
      <c r="B43" s="236">
        <f>SavingsAnalysis!C45</f>
        <v>2124</v>
      </c>
      <c r="C43" s="237">
        <v>50000</v>
      </c>
      <c r="D43" s="238">
        <f t="shared" si="0"/>
        <v>20</v>
      </c>
    </row>
    <row r="44" spans="1:16">
      <c r="A44" s="128">
        <f>'[3]CostData&amp;Analysis'!A70</f>
        <v>5000</v>
      </c>
      <c r="B44" s="236">
        <f>SavingsAnalysis!C46</f>
        <v>2124</v>
      </c>
      <c r="C44" s="237">
        <v>50000</v>
      </c>
      <c r="D44" s="238">
        <f t="shared" si="0"/>
        <v>20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BD54"/>
  <sheetViews>
    <sheetView workbookViewId="0">
      <selection activeCell="C13" sqref="C13"/>
    </sheetView>
  </sheetViews>
  <sheetFormatPr defaultRowHeight="12.75"/>
  <cols>
    <col min="1" max="2" width="21.85546875" style="247" customWidth="1"/>
    <col min="3" max="3" width="40.28515625" style="247" bestFit="1" customWidth="1"/>
    <col min="4" max="4" width="12.28515625" style="247" bestFit="1" customWidth="1"/>
    <col min="5" max="5" width="30.5703125" style="247" bestFit="1" customWidth="1"/>
    <col min="6" max="16384" width="9.140625" style="247"/>
  </cols>
  <sheetData>
    <row r="1" spans="1:56" ht="15.75" thickBot="1">
      <c r="A1" s="239" t="s">
        <v>327</v>
      </c>
      <c r="B1" s="239" t="s">
        <v>328</v>
      </c>
      <c r="C1" s="239" t="s">
        <v>329</v>
      </c>
      <c r="D1" s="239" t="s">
        <v>330</v>
      </c>
      <c r="E1" s="239" t="s">
        <v>331</v>
      </c>
      <c r="F1" s="239" t="s">
        <v>332</v>
      </c>
      <c r="G1" s="239" t="s">
        <v>333</v>
      </c>
      <c r="H1" s="239" t="s">
        <v>334</v>
      </c>
      <c r="I1" s="239" t="s">
        <v>335</v>
      </c>
      <c r="J1" s="239" t="s">
        <v>36</v>
      </c>
      <c r="K1" s="240">
        <v>2016</v>
      </c>
      <c r="L1" s="241">
        <v>2017</v>
      </c>
      <c r="M1" s="241">
        <v>2018</v>
      </c>
      <c r="N1" s="241">
        <v>2019</v>
      </c>
      <c r="O1" s="241">
        <v>2020</v>
      </c>
      <c r="P1" s="241">
        <v>2021</v>
      </c>
      <c r="Q1" s="241">
        <v>2022</v>
      </c>
      <c r="R1" s="241">
        <v>2023</v>
      </c>
      <c r="S1" s="241">
        <v>2024</v>
      </c>
      <c r="T1" s="241">
        <v>2025</v>
      </c>
      <c r="U1" s="241">
        <v>2026</v>
      </c>
      <c r="V1" s="241">
        <v>2027</v>
      </c>
      <c r="W1" s="241">
        <v>2028</v>
      </c>
      <c r="X1" s="241">
        <v>2029</v>
      </c>
      <c r="Y1" s="241">
        <v>2030</v>
      </c>
      <c r="Z1" s="241">
        <v>2031</v>
      </c>
      <c r="AA1" s="241">
        <v>2032</v>
      </c>
      <c r="AB1" s="241">
        <v>2033</v>
      </c>
      <c r="AC1" s="241">
        <v>2034</v>
      </c>
      <c r="AD1" s="241">
        <v>2035</v>
      </c>
      <c r="AE1" s="242" t="s">
        <v>31</v>
      </c>
      <c r="AF1" s="243" t="s">
        <v>191</v>
      </c>
      <c r="AG1" s="244"/>
      <c r="AH1" s="244"/>
      <c r="AI1" s="244"/>
      <c r="AJ1" s="244"/>
      <c r="AK1" s="244"/>
      <c r="AL1" s="244"/>
      <c r="AM1" s="244"/>
      <c r="AN1" s="244"/>
      <c r="AO1" s="244"/>
      <c r="AP1" s="244"/>
      <c r="AQ1" s="245"/>
      <c r="AR1" s="246"/>
      <c r="AS1" s="243" t="s">
        <v>192</v>
      </c>
      <c r="AT1" s="244"/>
      <c r="AU1" s="244"/>
      <c r="AV1" s="244"/>
      <c r="AW1" s="244"/>
      <c r="AX1" s="244"/>
      <c r="AY1" s="244"/>
      <c r="AZ1" s="244"/>
      <c r="BA1" s="244"/>
      <c r="BB1" s="244"/>
      <c r="BC1" s="244"/>
      <c r="BD1" s="245"/>
    </row>
    <row r="2" spans="1:56" ht="15">
      <c r="A2" s="239"/>
      <c r="B2" s="239"/>
      <c r="C2" s="239"/>
      <c r="D2" s="239"/>
      <c r="E2" s="239"/>
      <c r="F2" s="239" t="s">
        <v>193</v>
      </c>
      <c r="G2" s="239" t="s">
        <v>22</v>
      </c>
      <c r="H2" s="239" t="s">
        <v>35</v>
      </c>
      <c r="I2" s="239">
        <v>1</v>
      </c>
      <c r="J2" s="239"/>
      <c r="K2" s="248" t="str">
        <f t="shared" ref="K2:AD2" si="0">CONCATENATE("aMW_",K$1)</f>
        <v>aMW_2016</v>
      </c>
      <c r="L2" s="249" t="str">
        <f t="shared" si="0"/>
        <v>aMW_2017</v>
      </c>
      <c r="M2" s="249" t="str">
        <f t="shared" si="0"/>
        <v>aMW_2018</v>
      </c>
      <c r="N2" s="249" t="str">
        <f t="shared" si="0"/>
        <v>aMW_2019</v>
      </c>
      <c r="O2" s="249" t="str">
        <f t="shared" si="0"/>
        <v>aMW_2020</v>
      </c>
      <c r="P2" s="249" t="str">
        <f t="shared" si="0"/>
        <v>aMW_2021</v>
      </c>
      <c r="Q2" s="249" t="str">
        <f t="shared" si="0"/>
        <v>aMW_2022</v>
      </c>
      <c r="R2" s="249" t="str">
        <f t="shared" si="0"/>
        <v>aMW_2023</v>
      </c>
      <c r="S2" s="249" t="str">
        <f t="shared" si="0"/>
        <v>aMW_2024</v>
      </c>
      <c r="T2" s="249" t="str">
        <f t="shared" si="0"/>
        <v>aMW_2025</v>
      </c>
      <c r="U2" s="249" t="str">
        <f t="shared" si="0"/>
        <v>aMW_2026</v>
      </c>
      <c r="V2" s="249" t="str">
        <f t="shared" si="0"/>
        <v>aMW_2027</v>
      </c>
      <c r="W2" s="249" t="str">
        <f t="shared" si="0"/>
        <v>aMW_2028</v>
      </c>
      <c r="X2" s="249" t="str">
        <f t="shared" si="0"/>
        <v>aMW_2029</v>
      </c>
      <c r="Y2" s="249" t="str">
        <f t="shared" si="0"/>
        <v>aMW_2030</v>
      </c>
      <c r="Z2" s="249" t="str">
        <f t="shared" si="0"/>
        <v>aMW_2031</v>
      </c>
      <c r="AA2" s="249" t="str">
        <f t="shared" si="0"/>
        <v>aMW_2032</v>
      </c>
      <c r="AB2" s="249" t="str">
        <f t="shared" si="0"/>
        <v>aMW_2033</v>
      </c>
      <c r="AC2" s="249" t="str">
        <f t="shared" si="0"/>
        <v>aMW_2034</v>
      </c>
      <c r="AD2" s="249" t="str">
        <f t="shared" si="0"/>
        <v>aMW_2035</v>
      </c>
      <c r="AE2" s="250" t="s">
        <v>31</v>
      </c>
      <c r="AF2" s="251" t="s">
        <v>147</v>
      </c>
      <c r="AG2" s="251" t="s">
        <v>148</v>
      </c>
      <c r="AH2" s="251" t="s">
        <v>149</v>
      </c>
      <c r="AI2" s="251" t="s">
        <v>150</v>
      </c>
      <c r="AJ2" s="251" t="s">
        <v>151</v>
      </c>
      <c r="AK2" s="251" t="s">
        <v>152</v>
      </c>
      <c r="AL2" s="251" t="s">
        <v>153</v>
      </c>
      <c r="AM2" s="251" t="s">
        <v>154</v>
      </c>
      <c r="AN2" s="251" t="s">
        <v>155</v>
      </c>
      <c r="AO2" s="251" t="s">
        <v>156</v>
      </c>
      <c r="AP2" s="251" t="s">
        <v>157</v>
      </c>
      <c r="AQ2" s="251" t="s">
        <v>158</v>
      </c>
      <c r="AR2" s="251"/>
      <c r="AS2" s="251" t="s">
        <v>147</v>
      </c>
      <c r="AT2" s="251" t="s">
        <v>148</v>
      </c>
      <c r="AU2" s="251" t="s">
        <v>149</v>
      </c>
      <c r="AV2" s="251" t="s">
        <v>150</v>
      </c>
      <c r="AW2" s="251" t="s">
        <v>151</v>
      </c>
      <c r="AX2" s="251" t="s">
        <v>152</v>
      </c>
      <c r="AY2" s="251" t="s">
        <v>153</v>
      </c>
      <c r="AZ2" s="251" t="s">
        <v>154</v>
      </c>
      <c r="BA2" s="251" t="s">
        <v>155</v>
      </c>
      <c r="BB2" s="251" t="s">
        <v>156</v>
      </c>
      <c r="BC2" s="251" t="s">
        <v>157</v>
      </c>
      <c r="BD2" s="251" t="s">
        <v>158</v>
      </c>
    </row>
    <row r="3" spans="1:56" ht="15">
      <c r="A3" s="252" t="str">
        <f>VLOOKUP(CONCATENATE($C3," - ",$B3),[2]ACHIEV!$B$17:$C$50,2,FALSE)</f>
        <v>Retro12Med</v>
      </c>
      <c r="B3" s="252" t="str">
        <f>'SC-Retro'!$C$7</f>
        <v>Retro</v>
      </c>
      <c r="C3" s="252" t="str">
        <f>'SC-Retro'!$C$8</f>
        <v>Irrigation Motor</v>
      </c>
      <c r="D3" s="252" t="s">
        <v>336</v>
      </c>
      <c r="E3" s="252" t="str">
        <f>'SC-Retro'!$A$9</f>
        <v>Motors/Drives</v>
      </c>
      <c r="F3" s="253">
        <f t="shared" ref="F3:F10" si="1">VLOOKUP($I3,MeasureOutput,14,FALSE)</f>
        <v>2.2804118462575679E-3</v>
      </c>
      <c r="G3" s="254">
        <f>'SC-Retro'!A58</f>
        <v>857.35378710031875</v>
      </c>
      <c r="H3" s="254">
        <f>'SC-Retro'!B58</f>
        <v>25.043599008275351</v>
      </c>
      <c r="I3" s="255" t="str">
        <f>'SC-Retro'!C58</f>
        <v>Montana Wells Green Motors Program Rewind vs. Standard Practice:  Motor size 50HP</v>
      </c>
      <c r="J3" s="255" t="str">
        <f>'SC-Retro'!D58</f>
        <v xml:space="preserve">Montana </v>
      </c>
      <c r="K3" s="256">
        <f>'SC-Retro'!E58</f>
        <v>7.6778953928241488E-3</v>
      </c>
      <c r="L3" s="256">
        <f>'SC-Retro'!F58</f>
        <v>7.7611870623983305E-3</v>
      </c>
      <c r="M3" s="256">
        <f>'SC-Retro'!G58</f>
        <v>7.8433988066139559E-3</v>
      </c>
      <c r="N3" s="256">
        <f>'SC-Retro'!H58</f>
        <v>7.9277334784225873E-3</v>
      </c>
      <c r="O3" s="256">
        <f>'SC-Retro'!I58</f>
        <v>8.0130239857249558E-3</v>
      </c>
      <c r="P3" s="256">
        <f>'SC-Retro'!J58</f>
        <v>7.2669398614618429E-3</v>
      </c>
      <c r="Q3" s="256">
        <f>'SC-Retro'!K58</f>
        <v>5.8580442044336746E-3</v>
      </c>
      <c r="R3" s="256">
        <f>'SC-Retro'!L58</f>
        <v>4.7235686527653982E-3</v>
      </c>
      <c r="S3" s="256">
        <f>'SC-Retro'!M58</f>
        <v>3.8096371168694597E-3</v>
      </c>
      <c r="T3" s="256">
        <f>'SC-Retro'!N58</f>
        <v>3.0731010297885808E-3</v>
      </c>
      <c r="U3" s="256">
        <f>'SC-Retro'!O58</f>
        <v>2.4793074961665402E-3</v>
      </c>
      <c r="V3" s="256">
        <f>'SC-Retro'!P58</f>
        <v>2.0004915067029666E-3</v>
      </c>
      <c r="W3" s="256">
        <f>'SC-Retro'!Q58</f>
        <v>1.6142951862269459E-3</v>
      </c>
      <c r="X3" s="256">
        <f>'SC-Retro'!R58</f>
        <v>1.3027595645386963E-3</v>
      </c>
      <c r="Y3" s="256">
        <f>'SC-Retro'!S58</f>
        <v>1.0514074132413826E-3</v>
      </c>
      <c r="Z3" s="256">
        <f>'SC-Retro'!T58</f>
        <v>8.4855774639708769E-4</v>
      </c>
      <c r="AA3" s="256">
        <f>'SC-Retro'!U58</f>
        <v>5.8392172482990838E-6</v>
      </c>
      <c r="AB3" s="256">
        <f>'SC-Retro'!V58</f>
        <v>2.1039907327641473E-6</v>
      </c>
      <c r="AC3" s="256">
        <f>'SC-Retro'!W58</f>
        <v>7.2366178744344973E-7</v>
      </c>
      <c r="AD3" s="256">
        <f>'SC-Retro'!X58</f>
        <v>2.3807722220931111E-7</v>
      </c>
      <c r="AE3" s="256">
        <f>'SC-Retro'!Y58</f>
        <v>8.3178643104776379E-2</v>
      </c>
      <c r="AF3" s="257">
        <f t="shared" ref="AF3:AF10" si="2">VLOOKUP($I3,MeasureOutput,15,FALSE)</f>
        <v>0</v>
      </c>
      <c r="AG3" s="257">
        <f t="shared" ref="AG3:AG10" si="3">VLOOKUP($I3,MeasureOutput,16,FALSE)</f>
        <v>3.0034672521128153E-2</v>
      </c>
      <c r="AH3" s="257">
        <f t="shared" ref="AH3:AH10" si="4">VLOOKUP($I3,MeasureOutput,17,FALSE)</f>
        <v>1.6536834026619174</v>
      </c>
      <c r="AI3" s="257">
        <f t="shared" ref="AI3:AI10" si="5">VLOOKUP($I3,MeasureOutput,18,FALSE)</f>
        <v>19.919506623975991</v>
      </c>
      <c r="AJ3" s="257">
        <f t="shared" ref="AJ3:AJ10" si="6">VLOOKUP($I3,MeasureOutput,19,FALSE)</f>
        <v>78.900210297596146</v>
      </c>
      <c r="AK3" s="257">
        <f t="shared" ref="AK3:AK10" si="7">VLOOKUP($I3,MeasureOutput,20,FALSE)</f>
        <v>104.56881655080335</v>
      </c>
      <c r="AL3" s="257">
        <f t="shared" ref="AL3:AL10" si="8">VLOOKUP($I3,MeasureOutput,21,FALSE)</f>
        <v>101.23553641306827</v>
      </c>
      <c r="AM3" s="257">
        <f t="shared" ref="AM3:AM10" si="9">VLOOKUP($I3,MeasureOutput,22,FALSE)</f>
        <v>102.6842072288087</v>
      </c>
      <c r="AN3" s="257">
        <f t="shared" ref="AN3:AN10" si="10">VLOOKUP($I3,MeasureOutput,23,FALSE)</f>
        <v>48.273047282539828</v>
      </c>
      <c r="AO3" s="257">
        <f t="shared" ref="AO3:AO10" si="11">VLOOKUP($I3,MeasureOutput,24,FALSE)</f>
        <v>27.758337838882262</v>
      </c>
      <c r="AP3" s="257">
        <f t="shared" ref="AP3:AP10" si="12">VLOOKUP($I3,MeasureOutput,25,FALSE)</f>
        <v>7.8454451853470353</v>
      </c>
      <c r="AQ3" s="257">
        <f t="shared" ref="AQ3:AQ10" si="13">VLOOKUP($I3,MeasureOutput,26,FALSE)</f>
        <v>5.3760405231991534E-2</v>
      </c>
      <c r="AR3" s="257"/>
      <c r="AS3" s="257">
        <f t="shared" ref="AS3:AS10" si="14">VLOOKUP($I3,MeasureOutput,28,FALSE)</f>
        <v>0</v>
      </c>
      <c r="AT3" s="257">
        <f t="shared" ref="AT3:AT10" si="15">VLOOKUP($I3,MeasureOutput,29,FALSE)</f>
        <v>2.0540058684893368E-2</v>
      </c>
      <c r="AU3" s="257">
        <f t="shared" ref="AU3:AU10" si="16">VLOOKUP($I3,MeasureOutput,30,FALSE)</f>
        <v>0.60976139482095681</v>
      </c>
      <c r="AV3" s="257">
        <f t="shared" ref="AV3:AV10" si="17">VLOOKUP($I3,MeasureOutput,31,FALSE)</f>
        <v>13.127848025560443</v>
      </c>
      <c r="AW3" s="257">
        <f t="shared" ref="AW3:AW10" si="18">VLOOKUP($I3,MeasureOutput,32,FALSE)</f>
        <v>51.160940446266068</v>
      </c>
      <c r="AX3" s="257">
        <f t="shared" ref="AX3:AX10" si="19">VLOOKUP($I3,MeasureOutput,33,FALSE)</f>
        <v>76.86595314556061</v>
      </c>
      <c r="AY3" s="257">
        <f t="shared" ref="AY3:AY10" si="20">VLOOKUP($I3,MeasureOutput,34,FALSE)</f>
        <v>87.188491300034229</v>
      </c>
      <c r="AZ3" s="257">
        <f t="shared" ref="AZ3:AZ10" si="21">VLOOKUP($I3,MeasureOutput,35,FALSE)</f>
        <v>74.67423466068233</v>
      </c>
      <c r="BA3" s="257">
        <f t="shared" ref="BA3:BA10" si="22">VLOOKUP($I3,MeasureOutput,36,FALSE)</f>
        <v>38.637844326565698</v>
      </c>
      <c r="BB3" s="257">
        <f t="shared" ref="BB3:BB10" si="23">VLOOKUP($I3,MeasureOutput,37,FALSE)</f>
        <v>18.234799736803428</v>
      </c>
      <c r="BC3" s="257">
        <f t="shared" ref="BC3:BC10" si="24">VLOOKUP($I3,MeasureOutput,38,FALSE)</f>
        <v>3.871059348762671</v>
      </c>
      <c r="BD3" s="257">
        <f t="shared" ref="BD3:BD10" si="25">VLOOKUP($I3,MeasureOutput,39,FALSE)</f>
        <v>3.9728755140788267E-2</v>
      </c>
    </row>
    <row r="4" spans="1:56" ht="15">
      <c r="A4" s="252" t="str">
        <f>VLOOKUP(CONCATENATE($C4," - ",$B4),[2]ACHIEV!$B$17:$C$50,2,FALSE)</f>
        <v>Retro12Med</v>
      </c>
      <c r="B4" s="252" t="str">
        <f>'SC-Retro'!$C$7</f>
        <v>Retro</v>
      </c>
      <c r="C4" s="252" t="str">
        <f>'SC-Retro'!$C$8</f>
        <v>Irrigation Motor</v>
      </c>
      <c r="D4" s="252" t="s">
        <v>336</v>
      </c>
      <c r="E4" s="252" t="str">
        <f>'SC-Retro'!$A$9</f>
        <v>Motors/Drives</v>
      </c>
      <c r="F4" s="253">
        <f t="shared" si="1"/>
        <v>2.2804118462575679E-3</v>
      </c>
      <c r="G4" s="254">
        <f>'SC-Retro'!A59</f>
        <v>857.35378710031875</v>
      </c>
      <c r="H4" s="254">
        <f>'SC-Retro'!B59</f>
        <v>25.043599008275351</v>
      </c>
      <c r="I4" s="255" t="str">
        <f>'SC-Retro'!C59</f>
        <v>Oregon River Green Motors Program Rewind vs. Standard Practice:  Motor size 50HP</v>
      </c>
      <c r="J4" s="255" t="str">
        <f>'SC-Retro'!D59</f>
        <v xml:space="preserve">Oregon </v>
      </c>
      <c r="K4" s="256">
        <f>'SC-Retro'!E59</f>
        <v>4.2395745278362935E-2</v>
      </c>
      <c r="L4" s="256">
        <f>'SC-Retro'!F59</f>
        <v>4.2824401989212481E-2</v>
      </c>
      <c r="M4" s="256">
        <f>'SC-Retro'!G59</f>
        <v>4.3255181963347343E-2</v>
      </c>
      <c r="N4" s="256">
        <f>'SC-Retro'!H59</f>
        <v>4.3738639338172999E-2</v>
      </c>
      <c r="O4" s="256">
        <f>'SC-Retro'!I59</f>
        <v>4.4604800101417152E-2</v>
      </c>
      <c r="P4" s="256">
        <f>'SC-Retro'!J59</f>
        <v>4.0629216435157628E-2</v>
      </c>
      <c r="Q4" s="256">
        <f>'SC-Retro'!K59</f>
        <v>3.2895848694793145E-2</v>
      </c>
      <c r="R4" s="256">
        <f>'SC-Retro'!L59</f>
        <v>2.665413796854094E-2</v>
      </c>
      <c r="S4" s="256">
        <f>'SC-Retro'!M59</f>
        <v>2.1580568568878997E-2</v>
      </c>
      <c r="T4" s="256">
        <f>'SC-Retro'!N59</f>
        <v>1.7633220682960592E-2</v>
      </c>
      <c r="U4" s="256">
        <f>'SC-Retro'!O59</f>
        <v>1.4273940915817232E-2</v>
      </c>
      <c r="V4" s="256">
        <f>'SC-Retro'!P59</f>
        <v>1.1554033550809719E-2</v>
      </c>
      <c r="W4" s="256">
        <f>'SC-Retro'!Q59</f>
        <v>9.3454612113855681E-3</v>
      </c>
      <c r="X4" s="256">
        <f>'SC-Retro'!R59</f>
        <v>7.5637617503166703E-3</v>
      </c>
      <c r="Y4" s="256">
        <f>'SC-Retro'!S59</f>
        <v>6.1697495957689337E-3</v>
      </c>
      <c r="Z4" s="256">
        <f>'SC-Retro'!T59</f>
        <v>4.995296572061058E-3</v>
      </c>
      <c r="AA4" s="256">
        <f>'SC-Retro'!U59</f>
        <v>3.4501592955961283E-5</v>
      </c>
      <c r="AB4" s="256">
        <f>'SC-Retro'!V59</f>
        <v>1.2475979094025292E-5</v>
      </c>
      <c r="AC4" s="256">
        <f>'SC-Retro'!W59</f>
        <v>4.3031640221783859E-6</v>
      </c>
      <c r="AD4" s="256">
        <f>'SC-Retro'!X59</f>
        <v>1.4325972962087635E-6</v>
      </c>
      <c r="AE4" s="256">
        <f>'SC-Retro'!Y59</f>
        <v>0.50051616911698005</v>
      </c>
      <c r="AF4" s="257">
        <f t="shared" si="2"/>
        <v>0</v>
      </c>
      <c r="AG4" s="257">
        <f t="shared" si="3"/>
        <v>3.0034672521128153E-2</v>
      </c>
      <c r="AH4" s="257">
        <f t="shared" si="4"/>
        <v>1.6536834026619174</v>
      </c>
      <c r="AI4" s="257">
        <f t="shared" si="5"/>
        <v>19.919506623975991</v>
      </c>
      <c r="AJ4" s="257">
        <f t="shared" si="6"/>
        <v>78.900210297596146</v>
      </c>
      <c r="AK4" s="257">
        <f t="shared" si="7"/>
        <v>104.56881655080335</v>
      </c>
      <c r="AL4" s="257">
        <f t="shared" si="8"/>
        <v>101.23553641306827</v>
      </c>
      <c r="AM4" s="257">
        <f t="shared" si="9"/>
        <v>102.6842072288087</v>
      </c>
      <c r="AN4" s="257">
        <f t="shared" si="10"/>
        <v>48.273047282539828</v>
      </c>
      <c r="AO4" s="257">
        <f t="shared" si="11"/>
        <v>27.758337838882262</v>
      </c>
      <c r="AP4" s="257">
        <f t="shared" si="12"/>
        <v>7.8454451853470353</v>
      </c>
      <c r="AQ4" s="257">
        <f t="shared" si="13"/>
        <v>5.3760405231991534E-2</v>
      </c>
      <c r="AR4" s="257"/>
      <c r="AS4" s="257">
        <f t="shared" si="14"/>
        <v>0</v>
      </c>
      <c r="AT4" s="257">
        <f t="shared" si="15"/>
        <v>2.0540058684893368E-2</v>
      </c>
      <c r="AU4" s="257">
        <f t="shared" si="16"/>
        <v>0.60976139482095681</v>
      </c>
      <c r="AV4" s="257">
        <f t="shared" si="17"/>
        <v>13.127848025560443</v>
      </c>
      <c r="AW4" s="257">
        <f t="shared" si="18"/>
        <v>51.160940446266068</v>
      </c>
      <c r="AX4" s="257">
        <f t="shared" si="19"/>
        <v>76.86595314556061</v>
      </c>
      <c r="AY4" s="257">
        <f t="shared" si="20"/>
        <v>87.188491300034229</v>
      </c>
      <c r="AZ4" s="257">
        <f t="shared" si="21"/>
        <v>74.67423466068233</v>
      </c>
      <c r="BA4" s="257">
        <f t="shared" si="22"/>
        <v>38.637844326565698</v>
      </c>
      <c r="BB4" s="257">
        <f t="shared" si="23"/>
        <v>18.234799736803428</v>
      </c>
      <c r="BC4" s="257">
        <f t="shared" si="24"/>
        <v>3.871059348762671</v>
      </c>
      <c r="BD4" s="257">
        <f t="shared" si="25"/>
        <v>3.9728755140788267E-2</v>
      </c>
    </row>
    <row r="5" spans="1:56" ht="15">
      <c r="A5" s="252" t="str">
        <f>VLOOKUP(CONCATENATE($C5," - ",$B5),[2]ACHIEV!$B$17:$C$50,2,FALSE)</f>
        <v>Retro12Med</v>
      </c>
      <c r="B5" s="252" t="str">
        <f>'SC-Retro'!$C$7</f>
        <v>Retro</v>
      </c>
      <c r="C5" s="252" t="str">
        <f>'SC-Retro'!$C$8</f>
        <v>Irrigation Motor</v>
      </c>
      <c r="D5" s="252" t="s">
        <v>336</v>
      </c>
      <c r="E5" s="252" t="str">
        <f>'SC-Retro'!$A$9</f>
        <v>Motors/Drives</v>
      </c>
      <c r="F5" s="253">
        <f t="shared" si="1"/>
        <v>2.1764292973797451E-3</v>
      </c>
      <c r="G5" s="254">
        <f>'SC-Retro'!A60</f>
        <v>818.2600452312563</v>
      </c>
      <c r="H5" s="254">
        <f>'SC-Retro'!B60</f>
        <v>28.968729190233617</v>
      </c>
      <c r="I5" s="255" t="str">
        <f>'SC-Retro'!C60</f>
        <v>Oregon Wells Green Motors Program Rewind vs. Standard Practice:  Motor size 60HP</v>
      </c>
      <c r="J5" s="255" t="str">
        <f>'SC-Retro'!D60</f>
        <v xml:space="preserve">Oregon </v>
      </c>
      <c r="K5" s="256">
        <f>'SC-Retro'!E60</f>
        <v>3.8690231576021951E-2</v>
      </c>
      <c r="L5" s="256">
        <f>'SC-Retro'!F60</f>
        <v>3.9081422420775169E-2</v>
      </c>
      <c r="M5" s="256">
        <f>'SC-Retro'!G60</f>
        <v>3.9474550949314013E-2</v>
      </c>
      <c r="N5" s="256">
        <f>'SC-Retro'!H60</f>
        <v>3.9915752717706712E-2</v>
      </c>
      <c r="O5" s="256">
        <f>'SC-Retro'!I60</f>
        <v>4.0706208464903679E-2</v>
      </c>
      <c r="P5" s="256">
        <f>'SC-Retro'!J60</f>
        <v>3.7078102585705153E-2</v>
      </c>
      <c r="Q5" s="256">
        <f>'SC-Retro'!K60</f>
        <v>3.0020654090043453E-2</v>
      </c>
      <c r="R5" s="256">
        <f>'SC-Retro'!L60</f>
        <v>2.4324487367566074E-2</v>
      </c>
      <c r="S5" s="256">
        <f>'SC-Retro'!M60</f>
        <v>1.9694362960008566E-2</v>
      </c>
      <c r="T5" s="256">
        <f>'SC-Retro'!N60</f>
        <v>1.6092024970322416E-2</v>
      </c>
      <c r="U5" s="256">
        <f>'SC-Retro'!O60</f>
        <v>1.3026356204127763E-2</v>
      </c>
      <c r="V5" s="256">
        <f>'SC-Retro'!P60</f>
        <v>1.0544176798469919E-2</v>
      </c>
      <c r="W5" s="256">
        <f>'SC-Retro'!Q60</f>
        <v>8.5286402227200148E-3</v>
      </c>
      <c r="X5" s="256">
        <f>'SC-Retro'!R60</f>
        <v>6.902666571472268E-3</v>
      </c>
      <c r="Y5" s="256">
        <f>'SC-Retro'!S60</f>
        <v>5.6304952079282182E-3</v>
      </c>
      <c r="Z5" s="256">
        <f>'SC-Retro'!T60</f>
        <v>4.5586928569124061E-3</v>
      </c>
      <c r="AA5" s="256">
        <f>'SC-Retro'!U60</f>
        <v>3.1486051546994629E-5</v>
      </c>
      <c r="AB5" s="256">
        <f>'SC-Retro'!V60</f>
        <v>1.1385541570648997E-5</v>
      </c>
      <c r="AC5" s="256">
        <f>'SC-Retro'!W60</f>
        <v>3.9270547418034828E-6</v>
      </c>
      <c r="AD5" s="256">
        <f>'SC-Retro'!X60</f>
        <v>1.3073840495448938E-6</v>
      </c>
      <c r="AE5" s="256">
        <f>'SC-Retro'!Y60</f>
        <v>0.45676957353931613</v>
      </c>
      <c r="AF5" s="257">
        <f t="shared" si="2"/>
        <v>0</v>
      </c>
      <c r="AG5" s="257">
        <f t="shared" si="3"/>
        <v>2.8665147183596265E-2</v>
      </c>
      <c r="AH5" s="257">
        <f t="shared" si="4"/>
        <v>1.5782785079154114</v>
      </c>
      <c r="AI5" s="257">
        <f t="shared" si="5"/>
        <v>19.011214082631351</v>
      </c>
      <c r="AJ5" s="257">
        <f t="shared" si="6"/>
        <v>75.302507107619974</v>
      </c>
      <c r="AK5" s="257">
        <f t="shared" si="7"/>
        <v>99.800672543862461</v>
      </c>
      <c r="AL5" s="257">
        <f t="shared" si="8"/>
        <v>96.619383795496091</v>
      </c>
      <c r="AM5" s="257">
        <f t="shared" si="9"/>
        <v>98.001997910052125</v>
      </c>
      <c r="AN5" s="257">
        <f t="shared" si="10"/>
        <v>46.071885897250652</v>
      </c>
      <c r="AO5" s="257">
        <f t="shared" si="11"/>
        <v>26.492609139114457</v>
      </c>
      <c r="AP5" s="257">
        <f t="shared" si="12"/>
        <v>7.4877074421440089</v>
      </c>
      <c r="AQ5" s="257">
        <f t="shared" si="13"/>
        <v>5.1309030506017705E-2</v>
      </c>
      <c r="AR5" s="257"/>
      <c r="AS5" s="257">
        <f t="shared" si="14"/>
        <v>0</v>
      </c>
      <c r="AT5" s="257">
        <f t="shared" si="15"/>
        <v>1.9603470121007247E-2</v>
      </c>
      <c r="AU5" s="257">
        <f t="shared" si="16"/>
        <v>0.58195740663135231</v>
      </c>
      <c r="AV5" s="257">
        <f t="shared" si="17"/>
        <v>12.529242514359161</v>
      </c>
      <c r="AW5" s="257">
        <f t="shared" si="18"/>
        <v>48.82809649120604</v>
      </c>
      <c r="AX5" s="257">
        <f t="shared" si="19"/>
        <v>73.361008307146562</v>
      </c>
      <c r="AY5" s="257">
        <f t="shared" si="20"/>
        <v>83.212857875278971</v>
      </c>
      <c r="AZ5" s="257">
        <f t="shared" si="21"/>
        <v>71.269228118438022</v>
      </c>
      <c r="BA5" s="257">
        <f t="shared" si="22"/>
        <v>36.87603031791884</v>
      </c>
      <c r="BB5" s="257">
        <f t="shared" si="23"/>
        <v>17.403326703534809</v>
      </c>
      <c r="BC5" s="257">
        <f t="shared" si="24"/>
        <v>3.6945462252221772</v>
      </c>
      <c r="BD5" s="257">
        <f t="shared" si="25"/>
        <v>3.7917197623201386E-2</v>
      </c>
    </row>
    <row r="6" spans="1:56" ht="15">
      <c r="A6" s="252" t="str">
        <f>VLOOKUP(CONCATENATE($C6," - ",$B6),[2]ACHIEV!$B$17:$C$50,2,FALSE)</f>
        <v>Retro12Med</v>
      </c>
      <c r="B6" s="252" t="str">
        <f>'SC-Retro'!$C$7</f>
        <v>Retro</v>
      </c>
      <c r="C6" s="252" t="str">
        <f>'SC-Retro'!$C$8</f>
        <v>Irrigation Motor</v>
      </c>
      <c r="D6" s="252" t="s">
        <v>336</v>
      </c>
      <c r="E6" s="252" t="str">
        <f>'SC-Retro'!$A$9</f>
        <v>Motors/Drives</v>
      </c>
      <c r="F6" s="253">
        <f t="shared" si="1"/>
        <v>2.1764292973797451E-3</v>
      </c>
      <c r="G6" s="254">
        <f>'SC-Retro'!A61</f>
        <v>818.2600452312563</v>
      </c>
      <c r="H6" s="254">
        <f>'SC-Retro'!B61</f>
        <v>28.968729190233617</v>
      </c>
      <c r="I6" s="255" t="str">
        <f>'SC-Retro'!C61</f>
        <v>Idaho River Green Motors Program Rewind vs. Standard Practice:  Motor size 60HP</v>
      </c>
      <c r="J6" s="255" t="str">
        <f>'SC-Retro'!D61</f>
        <v xml:space="preserve">Idaho </v>
      </c>
      <c r="K6" s="256">
        <f>'SC-Retro'!E61</f>
        <v>5.2275221618992118E-2</v>
      </c>
      <c r="L6" s="256">
        <f>'SC-Retro'!F61</f>
        <v>5.2281758165089065E-2</v>
      </c>
      <c r="M6" s="256">
        <f>'SC-Retro'!G61</f>
        <v>5.2290842580396041E-2</v>
      </c>
      <c r="N6" s="256">
        <f>'SC-Retro'!H61</f>
        <v>5.2322850290283059E-2</v>
      </c>
      <c r="O6" s="256">
        <f>'SC-Retro'!I61</f>
        <v>5.2368961103610341E-2</v>
      </c>
      <c r="P6" s="256">
        <f>'SC-Retro'!J61</f>
        <v>4.7184862201305154E-2</v>
      </c>
      <c r="Q6" s="256">
        <f>'SC-Retro'!K61</f>
        <v>3.7795897026557314E-2</v>
      </c>
      <c r="R6" s="256">
        <f>'SC-Retro'!L61</f>
        <v>3.0280272532042345E-2</v>
      </c>
      <c r="S6" s="256">
        <f>'SC-Retro'!M61</f>
        <v>2.4262672509539993E-2</v>
      </c>
      <c r="T6" s="256">
        <f>'SC-Retro'!N61</f>
        <v>1.9443532444436241E-2</v>
      </c>
      <c r="U6" s="256">
        <f>'SC-Retro'!O61</f>
        <v>1.5583274254576665E-2</v>
      </c>
      <c r="V6" s="256">
        <f>'SC-Retro'!P61</f>
        <v>1.249077664495734E-2</v>
      </c>
      <c r="W6" s="256">
        <f>'SC-Retro'!Q61</f>
        <v>1.0012922444381874E-2</v>
      </c>
      <c r="X6" s="256">
        <f>'SC-Retro'!R61</f>
        <v>8.0273845915465256E-3</v>
      </c>
      <c r="Y6" s="256">
        <f>'SC-Retro'!S61</f>
        <v>6.436117153975191E-3</v>
      </c>
      <c r="Z6" s="256">
        <f>'SC-Retro'!T61</f>
        <v>5.1605190114928715E-3</v>
      </c>
      <c r="AA6" s="256">
        <f>'SC-Retro'!U61</f>
        <v>3.5281288811008986E-5</v>
      </c>
      <c r="AB6" s="256">
        <f>'SC-Retro'!V61</f>
        <v>1.2630883685318006E-5</v>
      </c>
      <c r="AC6" s="256">
        <f>'SC-Retro'!W61</f>
        <v>4.3166827164783238E-6</v>
      </c>
      <c r="AD6" s="256">
        <f>'SC-Retro'!X61</f>
        <v>1.4111814023678776E-6</v>
      </c>
      <c r="AE6" s="256">
        <f>'SC-Retro'!Y61</f>
        <v>0.49303395400194167</v>
      </c>
      <c r="AF6" s="257">
        <f t="shared" si="2"/>
        <v>0</v>
      </c>
      <c r="AG6" s="257">
        <f t="shared" si="3"/>
        <v>2.8665147183596265E-2</v>
      </c>
      <c r="AH6" s="257">
        <f t="shared" si="4"/>
        <v>1.5782785079154114</v>
      </c>
      <c r="AI6" s="257">
        <f t="shared" si="5"/>
        <v>19.011214082631351</v>
      </c>
      <c r="AJ6" s="257">
        <f t="shared" si="6"/>
        <v>75.302507107619974</v>
      </c>
      <c r="AK6" s="257">
        <f t="shared" si="7"/>
        <v>99.800672543862461</v>
      </c>
      <c r="AL6" s="257">
        <f t="shared" si="8"/>
        <v>96.619383795496091</v>
      </c>
      <c r="AM6" s="257">
        <f t="shared" si="9"/>
        <v>98.001997910052125</v>
      </c>
      <c r="AN6" s="257">
        <f t="shared" si="10"/>
        <v>46.071885897250652</v>
      </c>
      <c r="AO6" s="257">
        <f t="shared" si="11"/>
        <v>26.492609139114457</v>
      </c>
      <c r="AP6" s="257">
        <f t="shared" si="12"/>
        <v>7.4877074421440089</v>
      </c>
      <c r="AQ6" s="257">
        <f t="shared" si="13"/>
        <v>5.1309030506017705E-2</v>
      </c>
      <c r="AR6" s="257"/>
      <c r="AS6" s="257">
        <f t="shared" si="14"/>
        <v>0</v>
      </c>
      <c r="AT6" s="257">
        <f t="shared" si="15"/>
        <v>1.9603470121007247E-2</v>
      </c>
      <c r="AU6" s="257">
        <f t="shared" si="16"/>
        <v>0.58195740663135231</v>
      </c>
      <c r="AV6" s="257">
        <f t="shared" si="17"/>
        <v>12.529242514359161</v>
      </c>
      <c r="AW6" s="257">
        <f t="shared" si="18"/>
        <v>48.82809649120604</v>
      </c>
      <c r="AX6" s="257">
        <f t="shared" si="19"/>
        <v>73.361008307146562</v>
      </c>
      <c r="AY6" s="257">
        <f t="shared" si="20"/>
        <v>83.212857875278971</v>
      </c>
      <c r="AZ6" s="257">
        <f t="shared" si="21"/>
        <v>71.269228118438022</v>
      </c>
      <c r="BA6" s="257">
        <f t="shared" si="22"/>
        <v>36.87603031791884</v>
      </c>
      <c r="BB6" s="257">
        <f t="shared" si="23"/>
        <v>17.403326703534809</v>
      </c>
      <c r="BC6" s="257">
        <f t="shared" si="24"/>
        <v>3.6945462252221772</v>
      </c>
      <c r="BD6" s="257">
        <f t="shared" si="25"/>
        <v>3.7917197623201386E-2</v>
      </c>
    </row>
    <row r="7" spans="1:56" ht="15">
      <c r="A7" s="252" t="str">
        <f>VLOOKUP(CONCATENATE($C7," - ",$B7),[2]ACHIEV!$B$17:$C$50,2,FALSE)</f>
        <v>Retro12Med</v>
      </c>
      <c r="B7" s="252" t="str">
        <f>'SC-Retro'!$C$7</f>
        <v>Retro</v>
      </c>
      <c r="C7" s="252" t="str">
        <f>'SC-Retro'!$C$8</f>
        <v>Irrigation Motor</v>
      </c>
      <c r="D7" s="252" t="s">
        <v>336</v>
      </c>
      <c r="E7" s="252" t="str">
        <f>'SC-Retro'!$A$9</f>
        <v>Motors/Drives</v>
      </c>
      <c r="F7" s="253">
        <f t="shared" si="1"/>
        <v>2.9563896396480236E-3</v>
      </c>
      <c r="G7" s="254">
        <f>'SC-Retro'!A62</f>
        <v>1111.4974068636257</v>
      </c>
      <c r="H7" s="254">
        <f>'SC-Retro'!B62</f>
        <v>27.838271825761808</v>
      </c>
      <c r="I7" s="247" t="str">
        <f>'SC-Retro'!C62</f>
        <v>Washington Wells Green Motors Program Rewind vs. Standard Practice:  Motor size 100HP</v>
      </c>
      <c r="J7" s="247" t="str">
        <f>'SC-Retro'!D62</f>
        <v xml:space="preserve">Washington </v>
      </c>
      <c r="K7" s="256">
        <f>'SC-Retro'!E62</f>
        <v>4.1373503988232072E-2</v>
      </c>
      <c r="L7" s="256">
        <f>'SC-Retro'!F62</f>
        <v>4.1814633343854157E-2</v>
      </c>
      <c r="M7" s="256">
        <f>'SC-Retro'!G62</f>
        <v>4.227171992686065E-2</v>
      </c>
      <c r="N7" s="256">
        <f>'SC-Retro'!H62</f>
        <v>4.2744054044160013E-2</v>
      </c>
      <c r="O7" s="256">
        <f>'SC-Retro'!I62</f>
        <v>4.3518336896893453E-2</v>
      </c>
      <c r="P7" s="256">
        <f>'SC-Retro'!J62</f>
        <v>3.9652167424444801E-2</v>
      </c>
      <c r="Q7" s="256">
        <f>'SC-Retro'!K62</f>
        <v>3.2100487095487684E-2</v>
      </c>
      <c r="R7" s="256">
        <f>'SC-Retro'!L62</f>
        <v>2.5995957620046199E-2</v>
      </c>
      <c r="S7" s="256">
        <f>'SC-Retro'!M62</f>
        <v>2.1043046105486865E-2</v>
      </c>
      <c r="T7" s="256">
        <f>'SC-Retro'!N62</f>
        <v>1.7165774928190568E-2</v>
      </c>
      <c r="U7" s="256">
        <f>'SC-Retro'!O62</f>
        <v>1.3891811699920599E-2</v>
      </c>
      <c r="V7" s="256">
        <f>'SC-Retro'!P62</f>
        <v>1.1237340359966524E-2</v>
      </c>
      <c r="W7" s="256">
        <f>'SC-Retro'!Q62</f>
        <v>9.0925904340471049E-3</v>
      </c>
      <c r="X7" s="256">
        <f>'SC-Retro'!R62</f>
        <v>7.3539839242302042E-3</v>
      </c>
      <c r="Y7" s="256">
        <f>'SC-Retro'!S62</f>
        <v>5.9886740284363256E-3</v>
      </c>
      <c r="Z7" s="256">
        <f>'SC-Retro'!T62</f>
        <v>4.8471673882952652E-3</v>
      </c>
      <c r="AA7" s="256">
        <f>'SC-Retro'!U62</f>
        <v>3.3457543178242756E-5</v>
      </c>
      <c r="AB7" s="256">
        <f>'SC-Retro'!V62</f>
        <v>1.2090870513429115E-5</v>
      </c>
      <c r="AC7" s="256">
        <f>'SC-Retro'!W62</f>
        <v>4.1689515259323347E-6</v>
      </c>
      <c r="AD7" s="256">
        <f>'SC-Retro'!X62</f>
        <v>1.385050073544081E-6</v>
      </c>
      <c r="AE7" s="256">
        <f>'SC-Retro'!Y62</f>
        <v>0.48390427559794397</v>
      </c>
      <c r="AF7" s="257">
        <f t="shared" si="2"/>
        <v>0</v>
      </c>
      <c r="AG7" s="257">
        <f t="shared" si="3"/>
        <v>3.8937788723298596E-2</v>
      </c>
      <c r="AH7" s="257">
        <f t="shared" si="4"/>
        <v>2.1438813725296653</v>
      </c>
      <c r="AI7" s="257">
        <f t="shared" si="5"/>
        <v>25.824205003437484</v>
      </c>
      <c r="AJ7" s="257">
        <f t="shared" si="6"/>
        <v>102.28843735953707</v>
      </c>
      <c r="AK7" s="257">
        <f t="shared" si="7"/>
        <v>135.56593577094247</v>
      </c>
      <c r="AL7" s="257">
        <f t="shared" si="8"/>
        <v>131.24457825764202</v>
      </c>
      <c r="AM7" s="257">
        <f t="shared" si="9"/>
        <v>133.12267558376499</v>
      </c>
      <c r="AN7" s="257">
        <f t="shared" si="10"/>
        <v>62.582527403789264</v>
      </c>
      <c r="AO7" s="257">
        <f t="shared" si="11"/>
        <v>35.986684833004595</v>
      </c>
      <c r="AP7" s="257">
        <f t="shared" si="12"/>
        <v>10.171054365662467</v>
      </c>
      <c r="AQ7" s="257">
        <f t="shared" si="13"/>
        <v>6.9696491584173084E-2</v>
      </c>
      <c r="AR7" s="257"/>
      <c r="AS7" s="257">
        <f t="shared" si="14"/>
        <v>0</v>
      </c>
      <c r="AT7" s="257">
        <f t="shared" si="15"/>
        <v>2.6628706035463412E-2</v>
      </c>
      <c r="AU7" s="257">
        <f t="shared" si="16"/>
        <v>0.79051171097205142</v>
      </c>
      <c r="AV7" s="257">
        <f t="shared" si="17"/>
        <v>17.019309015314171</v>
      </c>
      <c r="AW7" s="257">
        <f t="shared" si="18"/>
        <v>66.326472798417029</v>
      </c>
      <c r="AX7" s="257">
        <f t="shared" si="19"/>
        <v>99.651169543845128</v>
      </c>
      <c r="AY7" s="257">
        <f t="shared" si="20"/>
        <v>113.03359645275637</v>
      </c>
      <c r="AZ7" s="257">
        <f t="shared" si="21"/>
        <v>96.809764456271594</v>
      </c>
      <c r="BA7" s="257">
        <f t="shared" si="22"/>
        <v>50.091181052604533</v>
      </c>
      <c r="BB7" s="257">
        <f t="shared" si="23"/>
        <v>23.640103918690674</v>
      </c>
      <c r="BC7" s="257">
        <f t="shared" si="24"/>
        <v>5.0185495097853341</v>
      </c>
      <c r="BD7" s="257">
        <f t="shared" si="25"/>
        <v>5.1505468315776078E-2</v>
      </c>
    </row>
    <row r="8" spans="1:56" ht="15">
      <c r="A8" s="252" t="str">
        <f>VLOOKUP(CONCATENATE($C8," - ",$B8),[2]ACHIEV!$B$17:$C$50,2,FALSE)</f>
        <v>Retro12Med</v>
      </c>
      <c r="B8" s="252" t="str">
        <f>'SC-Retro'!$C$7</f>
        <v>Retro</v>
      </c>
      <c r="C8" s="252" t="str">
        <f>'SC-Retro'!$C$8</f>
        <v>Irrigation Motor</v>
      </c>
      <c r="D8" s="252" t="s">
        <v>336</v>
      </c>
      <c r="E8" s="252" t="str">
        <f>'SC-Retro'!$A$9</f>
        <v>Motors/Drives</v>
      </c>
      <c r="F8" s="253">
        <f t="shared" si="1"/>
        <v>3.9125029310240079E-3</v>
      </c>
      <c r="G8" s="254">
        <f>'SC-Retro'!A63</f>
        <v>1470.9620152427756</v>
      </c>
      <c r="H8" s="254">
        <f>'SC-Retro'!B63</f>
        <v>28.207939964256056</v>
      </c>
      <c r="I8" s="247" t="str">
        <f>'SC-Retro'!C63</f>
        <v>Idaho Wells Green Motors Program Rewind vs. Standard Practice:  Motor size 150HP</v>
      </c>
      <c r="J8" s="247" t="str">
        <f>'SC-Retro'!D63</f>
        <v xml:space="preserve">Idaho </v>
      </c>
      <c r="K8" s="256">
        <f>'SC-Retro'!E63</f>
        <v>7.3919020415857156E-2</v>
      </c>
      <c r="L8" s="256">
        <f>'SC-Retro'!F63</f>
        <v>7.3928263324245222E-2</v>
      </c>
      <c r="M8" s="256">
        <f>'SC-Retro'!G63</f>
        <v>7.3941109010207826E-2</v>
      </c>
      <c r="N8" s="256">
        <f>'SC-Retro'!H63</f>
        <v>7.3986369049043196E-2</v>
      </c>
      <c r="O8" s="256">
        <f>'SC-Retro'!I63</f>
        <v>7.4051571377147574E-2</v>
      </c>
      <c r="P8" s="256">
        <f>'SC-Retro'!J63</f>
        <v>6.6721071367213641E-2</v>
      </c>
      <c r="Q8" s="256">
        <f>'SC-Retro'!K63</f>
        <v>5.3444741072636533E-2</v>
      </c>
      <c r="R8" s="256">
        <f>'SC-Retro'!L63</f>
        <v>4.2817381049238143E-2</v>
      </c>
      <c r="S8" s="256">
        <f>'SC-Retro'!M63</f>
        <v>3.4308280845706751E-2</v>
      </c>
      <c r="T8" s="256">
        <f>'SC-Retro'!N63</f>
        <v>2.7493845596524395E-2</v>
      </c>
      <c r="U8" s="256">
        <f>'SC-Retro'!O63</f>
        <v>2.2035303382653793E-2</v>
      </c>
      <c r="V8" s="256">
        <f>'SC-Retro'!P63</f>
        <v>1.7662401903487428E-2</v>
      </c>
      <c r="W8" s="256">
        <f>'SC-Retro'!Q63</f>
        <v>1.4158628039555853E-2</v>
      </c>
      <c r="X8" s="256">
        <f>'SC-Retro'!R63</f>
        <v>1.1351006980578449E-2</v>
      </c>
      <c r="Y8" s="256">
        <f>'SC-Retro'!S63</f>
        <v>9.1008982950097194E-3</v>
      </c>
      <c r="Z8" s="256">
        <f>'SC-Retro'!T63</f>
        <v>7.2971572066635147E-3</v>
      </c>
      <c r="AA8" s="256">
        <f>'SC-Retro'!U63</f>
        <v>4.9888995725868512E-5</v>
      </c>
      <c r="AB8" s="256">
        <f>'SC-Retro'!V63</f>
        <v>1.7860518235777884E-5</v>
      </c>
      <c r="AC8" s="256">
        <f>'SC-Retro'!W63</f>
        <v>6.1039427087232506E-6</v>
      </c>
      <c r="AD8" s="256">
        <f>'SC-Retro'!X63</f>
        <v>1.9954606343402107E-6</v>
      </c>
      <c r="AE8" s="256">
        <f>'SC-Retro'!Y63</f>
        <v>0.69716752570092655</v>
      </c>
      <c r="AF8" s="257">
        <f t="shared" si="2"/>
        <v>0</v>
      </c>
      <c r="AG8" s="257">
        <f t="shared" si="3"/>
        <v>5.1530491943422192E-2</v>
      </c>
      <c r="AH8" s="257">
        <f t="shared" si="4"/>
        <v>2.8372248506420572</v>
      </c>
      <c r="AI8" s="257">
        <f t="shared" si="5"/>
        <v>34.175900365874341</v>
      </c>
      <c r="AJ8" s="257">
        <f t="shared" si="6"/>
        <v>135.36910210073026</v>
      </c>
      <c r="AK8" s="257">
        <f t="shared" si="7"/>
        <v>179.40873352335669</v>
      </c>
      <c r="AL8" s="257">
        <f t="shared" si="8"/>
        <v>173.68982431394559</v>
      </c>
      <c r="AM8" s="257">
        <f t="shared" si="9"/>
        <v>176.17530903986261</v>
      </c>
      <c r="AN8" s="257">
        <f t="shared" si="10"/>
        <v>82.82207413207118</v>
      </c>
      <c r="AO8" s="257">
        <f t="shared" si="11"/>
        <v>47.62498420327659</v>
      </c>
      <c r="AP8" s="257">
        <f t="shared" si="12"/>
        <v>13.460431427434134</v>
      </c>
      <c r="AQ8" s="257">
        <f t="shared" si="13"/>
        <v>9.2236734951361976E-2</v>
      </c>
      <c r="AR8" s="257"/>
      <c r="AS8" s="257">
        <f t="shared" si="14"/>
        <v>0</v>
      </c>
      <c r="AT8" s="257">
        <f t="shared" si="15"/>
        <v>3.5240581625611146E-2</v>
      </c>
      <c r="AU8" s="257">
        <f t="shared" si="16"/>
        <v>1.046167712370681</v>
      </c>
      <c r="AV8" s="257">
        <f t="shared" si="17"/>
        <v>22.52345073646914</v>
      </c>
      <c r="AW8" s="257">
        <f t="shared" si="18"/>
        <v>87.776832846426203</v>
      </c>
      <c r="AX8" s="257">
        <f t="shared" si="19"/>
        <v>131.87892681381561</v>
      </c>
      <c r="AY8" s="257">
        <f t="shared" si="20"/>
        <v>149.58930700293149</v>
      </c>
      <c r="AZ8" s="257">
        <f t="shared" si="21"/>
        <v>128.11859509560492</v>
      </c>
      <c r="BA8" s="257">
        <f t="shared" si="22"/>
        <v>66.290955041400537</v>
      </c>
      <c r="BB8" s="257">
        <f t="shared" si="23"/>
        <v>31.285448518416921</v>
      </c>
      <c r="BC8" s="257">
        <f t="shared" si="24"/>
        <v>6.6415770787445645</v>
      </c>
      <c r="BD8" s="257">
        <f t="shared" si="25"/>
        <v>6.8162630881506439E-2</v>
      </c>
    </row>
    <row r="9" spans="1:56" ht="15">
      <c r="A9" s="252" t="str">
        <f>VLOOKUP(CONCATENATE($C9," - ",$B9),[2]ACHIEV!$B$17:$C$50,2,FALSE)</f>
        <v>Retro12Med</v>
      </c>
      <c r="B9" s="252" t="str">
        <f>'SC-Retro'!$C$7</f>
        <v>Retro</v>
      </c>
      <c r="C9" s="252" t="str">
        <f>'SC-Retro'!$C$8</f>
        <v>Irrigation Motor</v>
      </c>
      <c r="D9" s="252" t="s">
        <v>336</v>
      </c>
      <c r="E9" s="252" t="str">
        <f>'SC-Retro'!$A$9</f>
        <v>Motors/Drives</v>
      </c>
      <c r="F9" s="253">
        <f t="shared" si="1"/>
        <v>2.1209184506490418E-3</v>
      </c>
      <c r="G9" s="254">
        <f>'SC-Retro'!A64</f>
        <v>797.38994023341627</v>
      </c>
      <c r="H9" s="254">
        <f>'SC-Retro'!B64</f>
        <v>24.513726435017748</v>
      </c>
      <c r="I9" s="247" t="str">
        <f>'SC-Retro'!C64</f>
        <v>Montana River Green Motors Program Rewind vs. Standard Practice:  Motor size 40HP</v>
      </c>
      <c r="J9" s="247" t="str">
        <f>'SC-Retro'!D64</f>
        <v xml:space="preserve">Montana </v>
      </c>
      <c r="K9" s="256">
        <f>'SC-Retro'!E64</f>
        <v>2.4052861385334016E-2</v>
      </c>
      <c r="L9" s="256">
        <f>'SC-Retro'!F64</f>
        <v>2.4313792653646586E-2</v>
      </c>
      <c r="M9" s="256">
        <f>'SC-Retro'!G64</f>
        <v>2.4571340794991816E-2</v>
      </c>
      <c r="N9" s="256">
        <f>'SC-Retro'!H64</f>
        <v>2.4835539519669214E-2</v>
      </c>
      <c r="O9" s="256">
        <f>'SC-Retro'!I64</f>
        <v>2.5102732629847056E-2</v>
      </c>
      <c r="P9" s="256">
        <f>'SC-Retro'!J64</f>
        <v>2.2765443945311041E-2</v>
      </c>
      <c r="Q9" s="256">
        <f>'SC-Retro'!K64</f>
        <v>1.8351738077871157E-2</v>
      </c>
      <c r="R9" s="256">
        <f>'SC-Retro'!L64</f>
        <v>1.4797719457764596E-2</v>
      </c>
      <c r="S9" s="256">
        <f>'SC-Retro'!M64</f>
        <v>1.1934608224296156E-2</v>
      </c>
      <c r="T9" s="256">
        <f>'SC-Retro'!N64</f>
        <v>9.6272310719048779E-3</v>
      </c>
      <c r="U9" s="256">
        <f>'SC-Retro'!O64</f>
        <v>7.7670294378650124E-3</v>
      </c>
      <c r="V9" s="256">
        <f>'SC-Retro'!P64</f>
        <v>6.2670227258156816E-3</v>
      </c>
      <c r="W9" s="256">
        <f>'SC-Retro'!Q64</f>
        <v>5.0571694927776939E-3</v>
      </c>
      <c r="X9" s="256">
        <f>'SC-Retro'!R64</f>
        <v>4.0812089278467528E-3</v>
      </c>
      <c r="Y9" s="256">
        <f>'SC-Retro'!S64</f>
        <v>3.2937876170914373E-3</v>
      </c>
      <c r="Z9" s="256">
        <f>'SC-Retro'!T64</f>
        <v>2.6583120513228435E-3</v>
      </c>
      <c r="AA9" s="256">
        <f>'SC-Retro'!U64</f>
        <v>1.829275809142379E-5</v>
      </c>
      <c r="AB9" s="256">
        <f>'SC-Retro'!V64</f>
        <v>6.5912590445685497E-6</v>
      </c>
      <c r="AC9" s="256">
        <f>'SC-Retro'!W64</f>
        <v>2.2670452998758386E-6</v>
      </c>
      <c r="AD9" s="256">
        <f>'SC-Retro'!X64</f>
        <v>7.4583438974148072E-7</v>
      </c>
      <c r="AE9" s="256">
        <f>'SC-Retro'!Y64</f>
        <v>0.2605771856033906</v>
      </c>
      <c r="AF9" s="257">
        <f t="shared" si="2"/>
        <v>0</v>
      </c>
      <c r="AG9" s="257">
        <f t="shared" si="3"/>
        <v>2.7934029203454488E-2</v>
      </c>
      <c r="AH9" s="257">
        <f t="shared" si="4"/>
        <v>1.5380237767110789</v>
      </c>
      <c r="AI9" s="257">
        <f t="shared" si="5"/>
        <v>18.526324179533617</v>
      </c>
      <c r="AJ9" s="257">
        <f t="shared" si="6"/>
        <v>73.381881459214426</v>
      </c>
      <c r="AK9" s="257">
        <f t="shared" si="7"/>
        <v>97.25520973288431</v>
      </c>
      <c r="AL9" s="257">
        <f t="shared" si="8"/>
        <v>94.155061241327232</v>
      </c>
      <c r="AM9" s="257">
        <f t="shared" si="9"/>
        <v>95.502411136506495</v>
      </c>
      <c r="AN9" s="257">
        <f t="shared" si="10"/>
        <v>44.896800908404124</v>
      </c>
      <c r="AO9" s="257">
        <f t="shared" si="11"/>
        <v>25.816902757479024</v>
      </c>
      <c r="AP9" s="257">
        <f t="shared" si="12"/>
        <v>7.2967299632589322</v>
      </c>
      <c r="AQ9" s="257">
        <f t="shared" si="13"/>
        <v>5.0000369695510534E-2</v>
      </c>
      <c r="AR9" s="257"/>
      <c r="AS9" s="257">
        <f t="shared" si="14"/>
        <v>0</v>
      </c>
      <c r="AT9" s="257">
        <f t="shared" si="15"/>
        <v>1.91034744507655E-2</v>
      </c>
      <c r="AU9" s="257">
        <f t="shared" si="16"/>
        <v>0.56711431090469422</v>
      </c>
      <c r="AV9" s="257">
        <f t="shared" si="17"/>
        <v>12.209678326492483</v>
      </c>
      <c r="AW9" s="257">
        <f t="shared" si="18"/>
        <v>47.582713062606473</v>
      </c>
      <c r="AX9" s="257">
        <f t="shared" si="19"/>
        <v>71.489901493315926</v>
      </c>
      <c r="AY9" s="257">
        <f t="shared" si="20"/>
        <v>81.090475032381391</v>
      </c>
      <c r="AZ9" s="257">
        <f t="shared" si="21"/>
        <v>69.451473136247188</v>
      </c>
      <c r="BA9" s="257">
        <f t="shared" si="22"/>
        <v>35.935489924771581</v>
      </c>
      <c r="BB9" s="257">
        <f t="shared" si="23"/>
        <v>16.959446719743305</v>
      </c>
      <c r="BC9" s="257">
        <f t="shared" si="24"/>
        <v>3.6003150965130035</v>
      </c>
      <c r="BD9" s="257">
        <f t="shared" si="25"/>
        <v>3.6950101771177447E-2</v>
      </c>
    </row>
    <row r="10" spans="1:56" ht="15">
      <c r="A10" s="252" t="str">
        <f>VLOOKUP(CONCATENATE($C10," - ",$B10),[2]ACHIEV!$B$17:$C$50,2,FALSE)</f>
        <v>Retro12Med</v>
      </c>
      <c r="B10" s="252" t="str">
        <f>'SC-Retro'!$C$7</f>
        <v>Retro</v>
      </c>
      <c r="C10" s="252" t="str">
        <f>'SC-Retro'!$C$8</f>
        <v>Irrigation Motor</v>
      </c>
      <c r="D10" s="252" t="s">
        <v>336</v>
      </c>
      <c r="E10" s="252" t="str">
        <f>'SC-Retro'!$A$9</f>
        <v>Motors/Drives</v>
      </c>
      <c r="F10" s="253">
        <f t="shared" si="1"/>
        <v>2.2397714690255044E-3</v>
      </c>
      <c r="G10" s="254">
        <f>'SC-Retro'!A65</f>
        <v>842.07444999887502</v>
      </c>
      <c r="H10" s="254">
        <f>'SC-Retro'!B65</f>
        <v>31.174095237668393</v>
      </c>
      <c r="I10" s="247" t="str">
        <f>'SC-Retro'!C65</f>
        <v>Washington River Green Motors Program Rewind vs. Standard Practice:  Motor size 75HP</v>
      </c>
      <c r="J10" s="258" t="str">
        <f>'SC-Retro'!D65</f>
        <v xml:space="preserve">Washington </v>
      </c>
      <c r="K10" s="256">
        <f>'SC-Retro'!E65</f>
        <v>3.7501631187684896E-2</v>
      </c>
      <c r="L10" s="256">
        <f>'SC-Retro'!F65</f>
        <v>3.7901478162340588E-2</v>
      </c>
      <c r="M10" s="256">
        <f>'SC-Retro'!G65</f>
        <v>3.8315789032931209E-2</v>
      </c>
      <c r="N10" s="256">
        <f>'SC-Retro'!H65</f>
        <v>3.8743920521851244E-2</v>
      </c>
      <c r="O10" s="256">
        <f>'SC-Retro'!I65</f>
        <v>3.9445743359636944E-2</v>
      </c>
      <c r="P10" s="256">
        <f>'SC-Retro'!J65</f>
        <v>3.5941383136579817E-2</v>
      </c>
      <c r="Q10" s="256">
        <f>'SC-Retro'!K65</f>
        <v>2.9096414660513686E-2</v>
      </c>
      <c r="R10" s="256">
        <f>'SC-Retro'!L65</f>
        <v>2.3563167753810472E-2</v>
      </c>
      <c r="S10" s="256">
        <f>'SC-Retro'!M65</f>
        <v>1.9073766494079783E-2</v>
      </c>
      <c r="T10" s="256">
        <f>'SC-Retro'!N65</f>
        <v>1.5559343501360482E-2</v>
      </c>
      <c r="U10" s="256">
        <f>'SC-Retro'!O65</f>
        <v>1.2591768853983634E-2</v>
      </c>
      <c r="V10" s="256">
        <f>'SC-Retro'!P65</f>
        <v>1.0185711943320427E-2</v>
      </c>
      <c r="W10" s="256">
        <f>'SC-Retro'!Q65</f>
        <v>8.241674988303957E-3</v>
      </c>
      <c r="X10" s="256">
        <f>'SC-Retro'!R65</f>
        <v>6.6657731712809979E-3</v>
      </c>
      <c r="Y10" s="256">
        <f>'SC-Retro'!S65</f>
        <v>5.4282336052939896E-3</v>
      </c>
      <c r="Z10" s="256">
        <f>'SC-Retro'!T65</f>
        <v>4.3935530273801768E-3</v>
      </c>
      <c r="AA10" s="256">
        <f>'SC-Retro'!U65</f>
        <v>3.0326472833274691E-5</v>
      </c>
      <c r="AB10" s="256">
        <f>'SC-Retro'!V65</f>
        <v>1.0959365850705855E-5</v>
      </c>
      <c r="AC10" s="256">
        <f>'SC-Retro'!W65</f>
        <v>3.7788069052434937E-6</v>
      </c>
      <c r="AD10" s="256">
        <f>'SC-Retro'!X65</f>
        <v>1.255432390964512E-6</v>
      </c>
      <c r="AE10" s="256">
        <f>'SC-Retro'!Y65</f>
        <v>0.43861887257070503</v>
      </c>
      <c r="AF10" s="257">
        <f t="shared" si="2"/>
        <v>0</v>
      </c>
      <c r="AG10" s="257">
        <f t="shared" si="3"/>
        <v>2.9499409374121034E-2</v>
      </c>
      <c r="AH10" s="257">
        <f t="shared" si="4"/>
        <v>1.624212271200784</v>
      </c>
      <c r="AI10" s="257">
        <f t="shared" si="5"/>
        <v>19.56451098369131</v>
      </c>
      <c r="AJ10" s="257">
        <f t="shared" si="6"/>
        <v>77.494089593809349</v>
      </c>
      <c r="AK10" s="257">
        <f t="shared" si="7"/>
        <v>102.70524258353538</v>
      </c>
      <c r="AL10" s="257">
        <f t="shared" si="8"/>
        <v>99.431366523375161</v>
      </c>
      <c r="AM10" s="257">
        <f t="shared" si="9"/>
        <v>100.85421984104681</v>
      </c>
      <c r="AN10" s="257">
        <f t="shared" si="10"/>
        <v>47.412748799648128</v>
      </c>
      <c r="AO10" s="257">
        <f t="shared" si="11"/>
        <v>27.263642407897461</v>
      </c>
      <c r="AP10" s="257">
        <f t="shared" si="12"/>
        <v>7.7056275237219047</v>
      </c>
      <c r="AQ10" s="257">
        <f t="shared" si="13"/>
        <v>5.2802313757259758E-2</v>
      </c>
      <c r="AR10" s="257"/>
      <c r="AS10" s="257">
        <f t="shared" si="14"/>
        <v>0</v>
      </c>
      <c r="AT10" s="257">
        <f t="shared" si="15"/>
        <v>2.0174003871289096E-2</v>
      </c>
      <c r="AU10" s="257">
        <f t="shared" si="16"/>
        <v>0.59889452744007499</v>
      </c>
      <c r="AV10" s="257">
        <f t="shared" si="17"/>
        <v>12.89388998114862</v>
      </c>
      <c r="AW10" s="257">
        <f t="shared" si="18"/>
        <v>50.249175353177471</v>
      </c>
      <c r="AX10" s="257">
        <f t="shared" si="19"/>
        <v>75.49608597123229</v>
      </c>
      <c r="AY10" s="257">
        <f t="shared" si="20"/>
        <v>85.63466093270695</v>
      </c>
      <c r="AZ10" s="257">
        <f t="shared" si="21"/>
        <v>73.343427214165061</v>
      </c>
      <c r="BA10" s="257">
        <f t="shared" si="22"/>
        <v>37.949259687154026</v>
      </c>
      <c r="BB10" s="257">
        <f t="shared" si="23"/>
        <v>17.909828113247357</v>
      </c>
      <c r="BC10" s="257">
        <f t="shared" si="24"/>
        <v>3.8020712348482464</v>
      </c>
      <c r="BD10" s="257">
        <f t="shared" si="25"/>
        <v>3.9020728825922529E-2</v>
      </c>
    </row>
    <row r="11" spans="1:56" ht="15">
      <c r="A11" s="252"/>
      <c r="B11" s="252"/>
      <c r="C11" s="252"/>
      <c r="D11" s="252"/>
      <c r="E11" s="252"/>
      <c r="F11" s="253"/>
      <c r="G11" s="254"/>
      <c r="H11" s="254"/>
      <c r="K11" s="256"/>
      <c r="L11" s="256"/>
      <c r="M11" s="256"/>
      <c r="N11" s="256"/>
      <c r="O11" s="256"/>
      <c r="P11" s="256"/>
      <c r="Q11" s="256"/>
      <c r="R11" s="256"/>
      <c r="S11" s="256"/>
      <c r="T11" s="256"/>
      <c r="U11" s="256"/>
      <c r="V11" s="256"/>
      <c r="W11" s="256"/>
      <c r="X11" s="256"/>
      <c r="Y11" s="256"/>
      <c r="Z11" s="256"/>
      <c r="AA11" s="256"/>
      <c r="AB11" s="256"/>
      <c r="AC11" s="256"/>
      <c r="AD11" s="256"/>
      <c r="AE11" s="256"/>
      <c r="AF11" s="257"/>
      <c r="AG11" s="257"/>
      <c r="AH11" s="257"/>
      <c r="AI11" s="257"/>
      <c r="AJ11" s="257"/>
      <c r="AK11" s="257"/>
      <c r="AL11" s="257"/>
      <c r="AM11" s="257"/>
      <c r="AN11" s="257"/>
      <c r="AO11" s="257"/>
      <c r="AP11" s="257"/>
      <c r="AQ11" s="257"/>
      <c r="AR11" s="257"/>
      <c r="AS11" s="257"/>
      <c r="AT11" s="257"/>
      <c r="AU11" s="257"/>
      <c r="AV11" s="257"/>
      <c r="AW11" s="257"/>
      <c r="AX11" s="257"/>
      <c r="AY11" s="257"/>
      <c r="AZ11" s="257"/>
      <c r="BA11" s="257"/>
      <c r="BB11" s="257"/>
      <c r="BC11" s="257"/>
      <c r="BD11" s="257"/>
    </row>
    <row r="12" spans="1:56" ht="15">
      <c r="A12" s="252"/>
      <c r="B12" s="252"/>
      <c r="C12" s="252"/>
      <c r="D12" s="252"/>
      <c r="E12" s="252"/>
      <c r="F12" s="253"/>
      <c r="G12" s="254"/>
      <c r="H12" s="254"/>
      <c r="K12" s="256"/>
      <c r="L12" s="256"/>
      <c r="M12" s="256"/>
      <c r="N12" s="256"/>
      <c r="O12" s="256"/>
      <c r="P12" s="256"/>
      <c r="Q12" s="256"/>
      <c r="R12" s="256"/>
      <c r="S12" s="256"/>
      <c r="T12" s="256"/>
      <c r="U12" s="256"/>
      <c r="V12" s="256"/>
      <c r="W12" s="256"/>
      <c r="X12" s="256"/>
      <c r="Y12" s="256"/>
      <c r="Z12" s="256"/>
      <c r="AA12" s="256"/>
      <c r="AB12" s="256"/>
      <c r="AC12" s="256"/>
      <c r="AD12" s="256"/>
      <c r="AE12" s="256"/>
      <c r="AF12" s="257"/>
      <c r="AG12" s="257"/>
      <c r="AH12" s="257"/>
      <c r="AI12" s="257"/>
      <c r="AJ12" s="257"/>
      <c r="AK12" s="257"/>
      <c r="AL12" s="257"/>
      <c r="AM12" s="257"/>
      <c r="AN12" s="257"/>
      <c r="AO12" s="257"/>
      <c r="AP12" s="257"/>
      <c r="AQ12" s="257"/>
      <c r="AR12" s="257"/>
      <c r="AS12" s="257"/>
      <c r="AT12" s="257"/>
      <c r="AU12" s="257"/>
      <c r="AV12" s="257"/>
      <c r="AW12" s="257"/>
      <c r="AX12" s="257"/>
      <c r="AY12" s="257"/>
      <c r="AZ12" s="257"/>
      <c r="BA12" s="257"/>
      <c r="BB12" s="257"/>
      <c r="BC12" s="257"/>
      <c r="BD12" s="257"/>
    </row>
    <row r="13" spans="1:56" ht="15">
      <c r="A13" s="252"/>
      <c r="B13" s="252"/>
      <c r="C13" s="252"/>
      <c r="D13" s="252"/>
      <c r="E13" s="252"/>
      <c r="F13" s="253"/>
      <c r="G13" s="254"/>
      <c r="H13" s="254"/>
      <c r="K13" s="256"/>
      <c r="L13" s="256"/>
      <c r="M13" s="256"/>
      <c r="N13" s="256"/>
      <c r="O13" s="256"/>
      <c r="P13" s="256"/>
      <c r="Q13" s="256"/>
      <c r="R13" s="256"/>
      <c r="S13" s="256"/>
      <c r="T13" s="256"/>
      <c r="U13" s="256"/>
      <c r="V13" s="256"/>
      <c r="W13" s="256"/>
      <c r="X13" s="256"/>
      <c r="Y13" s="256"/>
      <c r="Z13" s="256"/>
      <c r="AA13" s="256"/>
      <c r="AB13" s="256"/>
      <c r="AC13" s="256"/>
      <c r="AD13" s="256"/>
      <c r="AE13" s="256"/>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c r="BC13" s="257"/>
      <c r="BD13" s="257"/>
    </row>
    <row r="14" spans="1:56" ht="15">
      <c r="A14" s="252"/>
      <c r="B14" s="252"/>
      <c r="C14" s="252"/>
      <c r="D14" s="252"/>
      <c r="E14" s="252"/>
      <c r="F14" s="253"/>
      <c r="G14" s="254"/>
      <c r="H14" s="254"/>
      <c r="K14" s="256"/>
      <c r="L14" s="256"/>
      <c r="M14" s="256"/>
      <c r="N14" s="256"/>
      <c r="O14" s="256"/>
      <c r="P14" s="256"/>
      <c r="Q14" s="256"/>
      <c r="R14" s="256"/>
      <c r="S14" s="256"/>
      <c r="T14" s="256"/>
      <c r="U14" s="256"/>
      <c r="V14" s="256"/>
      <c r="W14" s="256"/>
      <c r="X14" s="256"/>
      <c r="Y14" s="256"/>
      <c r="Z14" s="256"/>
      <c r="AA14" s="256"/>
      <c r="AB14" s="256"/>
      <c r="AC14" s="256"/>
      <c r="AD14" s="256"/>
      <c r="AE14" s="256"/>
      <c r="AF14" s="257"/>
      <c r="AG14" s="257"/>
      <c r="AH14" s="257"/>
      <c r="AI14" s="257"/>
      <c r="AJ14" s="257"/>
      <c r="AK14" s="257"/>
      <c r="AL14" s="257"/>
      <c r="AM14" s="257"/>
      <c r="AN14" s="257"/>
      <c r="AO14" s="257"/>
      <c r="AP14" s="257"/>
      <c r="AQ14" s="257"/>
      <c r="AR14" s="257"/>
      <c r="AS14" s="257"/>
      <c r="AT14" s="257"/>
      <c r="AU14" s="257"/>
      <c r="AV14" s="257"/>
      <c r="AW14" s="257"/>
      <c r="AX14" s="257"/>
      <c r="AY14" s="257"/>
      <c r="AZ14" s="257"/>
      <c r="BA14" s="257"/>
      <c r="BB14" s="257"/>
      <c r="BC14" s="257"/>
      <c r="BD14" s="257"/>
    </row>
    <row r="15" spans="1:56" ht="15">
      <c r="A15" s="252"/>
      <c r="B15" s="252"/>
      <c r="C15" s="252"/>
      <c r="D15" s="252"/>
      <c r="E15" s="252"/>
      <c r="F15" s="253"/>
      <c r="G15" s="254"/>
      <c r="H15" s="254"/>
      <c r="K15" s="256"/>
      <c r="L15" s="256"/>
      <c r="M15" s="256"/>
      <c r="N15" s="256"/>
      <c r="O15" s="256"/>
      <c r="P15" s="256"/>
      <c r="Q15" s="256"/>
      <c r="R15" s="256"/>
      <c r="S15" s="256"/>
      <c r="T15" s="256"/>
      <c r="U15" s="256"/>
      <c r="V15" s="256"/>
      <c r="W15" s="256"/>
      <c r="X15" s="256"/>
      <c r="Y15" s="256"/>
      <c r="Z15" s="256"/>
      <c r="AA15" s="256"/>
      <c r="AB15" s="256"/>
      <c r="AC15" s="256"/>
      <c r="AD15" s="256"/>
      <c r="AE15" s="256"/>
      <c r="AF15" s="257"/>
      <c r="AG15" s="257"/>
      <c r="AH15" s="257"/>
      <c r="AI15" s="257"/>
      <c r="AJ15" s="257"/>
      <c r="AK15" s="257"/>
      <c r="AL15" s="257"/>
      <c r="AM15" s="257"/>
      <c r="AN15" s="257"/>
      <c r="AO15" s="257"/>
      <c r="AP15" s="257"/>
      <c r="AQ15" s="257"/>
      <c r="AR15" s="257"/>
      <c r="AS15" s="257"/>
      <c r="AT15" s="257"/>
      <c r="AU15" s="257"/>
      <c r="AV15" s="257"/>
      <c r="AW15" s="257"/>
      <c r="AX15" s="257"/>
      <c r="AY15" s="257"/>
      <c r="AZ15" s="257"/>
      <c r="BA15" s="257"/>
      <c r="BB15" s="257"/>
      <c r="BC15" s="257"/>
      <c r="BD15" s="257"/>
    </row>
    <row r="16" spans="1:56" ht="15">
      <c r="A16" s="252"/>
      <c r="B16" s="252"/>
      <c r="C16" s="252"/>
      <c r="D16" s="252"/>
      <c r="E16" s="252"/>
      <c r="F16" s="253"/>
      <c r="G16" s="254"/>
      <c r="H16" s="254"/>
      <c r="K16" s="256"/>
      <c r="L16" s="256"/>
      <c r="M16" s="256"/>
      <c r="N16" s="256"/>
      <c r="O16" s="256"/>
      <c r="P16" s="256"/>
      <c r="Q16" s="256"/>
      <c r="R16" s="256"/>
      <c r="S16" s="256"/>
      <c r="T16" s="256"/>
      <c r="U16" s="256"/>
      <c r="V16" s="256"/>
      <c r="W16" s="256"/>
      <c r="X16" s="256"/>
      <c r="Y16" s="256"/>
      <c r="Z16" s="256"/>
      <c r="AA16" s="256"/>
      <c r="AB16" s="256"/>
      <c r="AC16" s="256"/>
      <c r="AD16" s="256"/>
      <c r="AE16" s="256"/>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row>
    <row r="17" spans="1:56" ht="15">
      <c r="A17" s="252"/>
      <c r="B17" s="252"/>
      <c r="C17" s="252"/>
      <c r="D17" s="252"/>
      <c r="E17" s="252"/>
      <c r="F17" s="253"/>
      <c r="G17" s="254"/>
      <c r="H17" s="254"/>
      <c r="K17" s="256"/>
      <c r="L17" s="256"/>
      <c r="M17" s="256"/>
      <c r="N17" s="256"/>
      <c r="O17" s="256"/>
      <c r="P17" s="256"/>
      <c r="Q17" s="256"/>
      <c r="R17" s="256"/>
      <c r="S17" s="256"/>
      <c r="T17" s="256"/>
      <c r="U17" s="256"/>
      <c r="V17" s="256"/>
      <c r="W17" s="256"/>
      <c r="X17" s="256"/>
      <c r="Y17" s="256"/>
      <c r="Z17" s="256"/>
      <c r="AA17" s="256"/>
      <c r="AB17" s="256"/>
      <c r="AC17" s="256"/>
      <c r="AD17" s="256"/>
      <c r="AE17" s="256"/>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c r="BB17" s="257"/>
      <c r="BC17" s="257"/>
      <c r="BD17" s="257"/>
    </row>
    <row r="18" spans="1:56" ht="15">
      <c r="A18" s="252"/>
      <c r="B18" s="252"/>
      <c r="C18" s="252"/>
      <c r="D18" s="252"/>
      <c r="E18" s="252"/>
      <c r="F18" s="253"/>
      <c r="G18" s="254"/>
      <c r="H18" s="254"/>
      <c r="K18" s="256"/>
      <c r="L18" s="256"/>
      <c r="M18" s="256"/>
      <c r="N18" s="256"/>
      <c r="O18" s="256"/>
      <c r="P18" s="256"/>
      <c r="Q18" s="256"/>
      <c r="R18" s="256"/>
      <c r="S18" s="256"/>
      <c r="T18" s="256"/>
      <c r="U18" s="256"/>
      <c r="V18" s="256"/>
      <c r="W18" s="256"/>
      <c r="X18" s="256"/>
      <c r="Y18" s="256"/>
      <c r="Z18" s="256"/>
      <c r="AA18" s="256"/>
      <c r="AB18" s="256"/>
      <c r="AC18" s="256"/>
      <c r="AD18" s="256"/>
      <c r="AE18" s="256"/>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row>
    <row r="19" spans="1:56" ht="15">
      <c r="A19" s="252"/>
      <c r="B19" s="252"/>
      <c r="C19" s="252"/>
      <c r="D19" s="252"/>
      <c r="E19" s="252"/>
      <c r="F19" s="253"/>
      <c r="G19" s="254"/>
      <c r="H19" s="254"/>
      <c r="K19" s="256"/>
      <c r="L19" s="256"/>
      <c r="M19" s="256"/>
      <c r="N19" s="256"/>
      <c r="O19" s="256"/>
      <c r="P19" s="256"/>
      <c r="Q19" s="256"/>
      <c r="R19" s="256"/>
      <c r="S19" s="256"/>
      <c r="T19" s="256"/>
      <c r="U19" s="256"/>
      <c r="V19" s="256"/>
      <c r="W19" s="256"/>
      <c r="X19" s="256"/>
      <c r="Y19" s="256"/>
      <c r="Z19" s="256"/>
      <c r="AA19" s="256"/>
      <c r="AB19" s="256"/>
      <c r="AC19" s="256"/>
      <c r="AD19" s="256"/>
      <c r="AE19" s="256"/>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257"/>
      <c r="BD19" s="257"/>
    </row>
    <row r="20" spans="1:56" ht="15">
      <c r="A20" s="252"/>
      <c r="B20" s="252"/>
      <c r="C20" s="252"/>
      <c r="D20" s="252"/>
      <c r="E20" s="252"/>
      <c r="F20" s="253"/>
      <c r="G20" s="254"/>
      <c r="H20" s="254"/>
      <c r="K20" s="256"/>
      <c r="L20" s="256"/>
      <c r="M20" s="256"/>
      <c r="N20" s="256"/>
      <c r="O20" s="256"/>
      <c r="P20" s="256"/>
      <c r="Q20" s="256"/>
      <c r="R20" s="256"/>
      <c r="S20" s="256"/>
      <c r="T20" s="256"/>
      <c r="U20" s="256"/>
      <c r="V20" s="256"/>
      <c r="W20" s="256"/>
      <c r="X20" s="256"/>
      <c r="Y20" s="256"/>
      <c r="Z20" s="256"/>
      <c r="AA20" s="256"/>
      <c r="AB20" s="256"/>
      <c r="AC20" s="256"/>
      <c r="AD20" s="256"/>
      <c r="AE20" s="256"/>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c r="BB20" s="257"/>
      <c r="BC20" s="257"/>
      <c r="BD20" s="257"/>
    </row>
    <row r="21" spans="1:56" ht="15">
      <c r="A21" s="252"/>
      <c r="B21" s="252"/>
      <c r="C21" s="252"/>
      <c r="D21" s="252"/>
      <c r="E21" s="252"/>
      <c r="F21" s="253"/>
      <c r="G21" s="254"/>
      <c r="H21" s="254"/>
      <c r="K21" s="256"/>
      <c r="L21" s="256"/>
      <c r="M21" s="256"/>
      <c r="N21" s="256"/>
      <c r="O21" s="256"/>
      <c r="P21" s="256"/>
      <c r="Q21" s="256"/>
      <c r="R21" s="256"/>
      <c r="S21" s="256"/>
      <c r="T21" s="256"/>
      <c r="U21" s="256"/>
      <c r="V21" s="256"/>
      <c r="W21" s="256"/>
      <c r="X21" s="256"/>
      <c r="Y21" s="256"/>
      <c r="Z21" s="256"/>
      <c r="AA21" s="256"/>
      <c r="AB21" s="256"/>
      <c r="AC21" s="256"/>
      <c r="AD21" s="256"/>
      <c r="AE21" s="256"/>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c r="BB21" s="257"/>
      <c r="BC21" s="257"/>
      <c r="BD21" s="257"/>
    </row>
    <row r="22" spans="1:56" ht="15">
      <c r="A22" s="252"/>
      <c r="B22" s="252"/>
      <c r="C22" s="252"/>
      <c r="D22" s="252"/>
      <c r="E22" s="252"/>
      <c r="F22" s="253"/>
      <c r="G22" s="254"/>
      <c r="H22" s="254"/>
      <c r="K22" s="256"/>
      <c r="L22" s="256"/>
      <c r="M22" s="256"/>
      <c r="N22" s="256"/>
      <c r="O22" s="256"/>
      <c r="P22" s="256"/>
      <c r="Q22" s="256"/>
      <c r="R22" s="256"/>
      <c r="S22" s="256"/>
      <c r="T22" s="256"/>
      <c r="U22" s="256"/>
      <c r="V22" s="256"/>
      <c r="W22" s="256"/>
      <c r="X22" s="256"/>
      <c r="Y22" s="256"/>
      <c r="Z22" s="256"/>
      <c r="AA22" s="256"/>
      <c r="AB22" s="256"/>
      <c r="AC22" s="256"/>
      <c r="AD22" s="256"/>
      <c r="AE22" s="256"/>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7"/>
      <c r="BD22" s="257"/>
    </row>
    <row r="23" spans="1:56" ht="15">
      <c r="A23" s="252"/>
      <c r="B23" s="252"/>
      <c r="C23" s="252"/>
      <c r="D23" s="252"/>
      <c r="E23" s="252"/>
      <c r="F23" s="253"/>
      <c r="G23" s="254"/>
      <c r="H23" s="254"/>
      <c r="K23" s="256"/>
      <c r="L23" s="256"/>
      <c r="M23" s="256"/>
      <c r="N23" s="256"/>
      <c r="O23" s="256"/>
      <c r="P23" s="256"/>
      <c r="Q23" s="256"/>
      <c r="R23" s="256"/>
      <c r="S23" s="256"/>
      <c r="T23" s="256"/>
      <c r="U23" s="256"/>
      <c r="V23" s="256"/>
      <c r="W23" s="256"/>
      <c r="X23" s="256"/>
      <c r="Y23" s="256"/>
      <c r="Z23" s="256"/>
      <c r="AA23" s="256"/>
      <c r="AB23" s="256"/>
      <c r="AC23" s="256"/>
      <c r="AD23" s="256"/>
      <c r="AE23" s="256"/>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c r="BB23" s="257"/>
      <c r="BC23" s="257"/>
      <c r="BD23" s="257"/>
    </row>
    <row r="24" spans="1:56" ht="15">
      <c r="A24" s="252"/>
      <c r="B24" s="252"/>
      <c r="C24" s="252"/>
      <c r="D24" s="252"/>
      <c r="E24" s="252"/>
      <c r="F24" s="253"/>
      <c r="G24" s="254"/>
      <c r="H24" s="254"/>
      <c r="K24" s="256"/>
      <c r="L24" s="256"/>
      <c r="M24" s="256"/>
      <c r="N24" s="256"/>
      <c r="O24" s="256"/>
      <c r="P24" s="256"/>
      <c r="Q24" s="256"/>
      <c r="R24" s="256"/>
      <c r="S24" s="256"/>
      <c r="T24" s="256"/>
      <c r="U24" s="256"/>
      <c r="V24" s="256"/>
      <c r="W24" s="256"/>
      <c r="X24" s="256"/>
      <c r="Y24" s="256"/>
      <c r="Z24" s="256"/>
      <c r="AA24" s="256"/>
      <c r="AB24" s="256"/>
      <c r="AC24" s="256"/>
      <c r="AD24" s="256"/>
      <c r="AE24" s="256"/>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row>
    <row r="25" spans="1:56" ht="15">
      <c r="A25" s="252"/>
      <c r="B25" s="252"/>
      <c r="C25" s="252"/>
      <c r="D25" s="252"/>
      <c r="E25" s="252"/>
      <c r="F25" s="253"/>
      <c r="G25" s="254"/>
      <c r="H25" s="254"/>
      <c r="K25" s="256"/>
      <c r="L25" s="256"/>
      <c r="M25" s="256"/>
      <c r="N25" s="256"/>
      <c r="O25" s="256"/>
      <c r="P25" s="256"/>
      <c r="Q25" s="256"/>
      <c r="R25" s="256"/>
      <c r="S25" s="256"/>
      <c r="T25" s="256"/>
      <c r="U25" s="256"/>
      <c r="V25" s="256"/>
      <c r="W25" s="256"/>
      <c r="X25" s="256"/>
      <c r="Y25" s="256"/>
      <c r="Z25" s="256"/>
      <c r="AA25" s="256"/>
      <c r="AB25" s="256"/>
      <c r="AC25" s="256"/>
      <c r="AD25" s="256"/>
      <c r="AE25" s="256"/>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row>
    <row r="26" spans="1:56" ht="15">
      <c r="A26" s="252"/>
      <c r="B26" s="252"/>
      <c r="C26" s="252"/>
      <c r="D26" s="252"/>
      <c r="E26" s="252"/>
      <c r="F26" s="253"/>
      <c r="G26" s="254"/>
      <c r="H26" s="254"/>
      <c r="K26" s="256"/>
      <c r="L26" s="256"/>
      <c r="M26" s="256"/>
      <c r="N26" s="256"/>
      <c r="O26" s="256"/>
      <c r="P26" s="256"/>
      <c r="Q26" s="256"/>
      <c r="R26" s="256"/>
      <c r="S26" s="256"/>
      <c r="T26" s="256"/>
      <c r="U26" s="256"/>
      <c r="V26" s="256"/>
      <c r="W26" s="256"/>
      <c r="X26" s="256"/>
      <c r="Y26" s="256"/>
      <c r="Z26" s="256"/>
      <c r="AA26" s="256"/>
      <c r="AB26" s="256"/>
      <c r="AC26" s="256"/>
      <c r="AD26" s="256"/>
      <c r="AE26" s="256"/>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c r="BB26" s="257"/>
      <c r="BC26" s="257"/>
      <c r="BD26" s="257"/>
    </row>
    <row r="27" spans="1:56" ht="15">
      <c r="A27" s="252"/>
      <c r="B27" s="252"/>
      <c r="C27" s="252"/>
      <c r="D27" s="252"/>
      <c r="E27" s="252"/>
      <c r="F27" s="253"/>
      <c r="G27" s="254"/>
      <c r="H27" s="254"/>
      <c r="K27" s="256"/>
      <c r="L27" s="256"/>
      <c r="M27" s="256"/>
      <c r="N27" s="256"/>
      <c r="O27" s="256"/>
      <c r="P27" s="256"/>
      <c r="Q27" s="256"/>
      <c r="R27" s="256"/>
      <c r="S27" s="256"/>
      <c r="T27" s="256"/>
      <c r="U27" s="256"/>
      <c r="V27" s="256"/>
      <c r="W27" s="256"/>
      <c r="X27" s="256"/>
      <c r="Y27" s="256"/>
      <c r="Z27" s="256"/>
      <c r="AA27" s="256"/>
      <c r="AB27" s="256"/>
      <c r="AC27" s="256"/>
      <c r="AD27" s="256"/>
      <c r="AE27" s="256"/>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c r="BB27" s="257"/>
      <c r="BC27" s="257"/>
      <c r="BD27" s="257"/>
    </row>
    <row r="28" spans="1:56" ht="15">
      <c r="A28" s="252"/>
      <c r="B28" s="252"/>
      <c r="C28" s="252"/>
      <c r="D28" s="252"/>
      <c r="E28" s="252"/>
      <c r="F28" s="253"/>
      <c r="G28" s="254"/>
      <c r="H28" s="254"/>
      <c r="K28" s="256"/>
      <c r="L28" s="256"/>
      <c r="M28" s="256"/>
      <c r="N28" s="256"/>
      <c r="O28" s="256"/>
      <c r="P28" s="256"/>
      <c r="Q28" s="256"/>
      <c r="R28" s="256"/>
      <c r="S28" s="256"/>
      <c r="T28" s="256"/>
      <c r="U28" s="256"/>
      <c r="V28" s="256"/>
      <c r="W28" s="256"/>
      <c r="X28" s="256"/>
      <c r="Y28" s="256"/>
      <c r="Z28" s="256"/>
      <c r="AA28" s="256"/>
      <c r="AB28" s="256"/>
      <c r="AC28" s="256"/>
      <c r="AD28" s="256"/>
      <c r="AE28" s="256"/>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c r="BB28" s="257"/>
      <c r="BC28" s="257"/>
      <c r="BD28" s="257"/>
    </row>
    <row r="29" spans="1:56" ht="15">
      <c r="A29" s="252"/>
      <c r="B29" s="252"/>
      <c r="C29" s="252"/>
      <c r="D29" s="252"/>
      <c r="E29" s="252"/>
      <c r="F29" s="253"/>
      <c r="G29" s="254"/>
      <c r="H29" s="254"/>
      <c r="K29" s="256"/>
      <c r="L29" s="256"/>
      <c r="M29" s="256"/>
      <c r="N29" s="256"/>
      <c r="O29" s="256"/>
      <c r="P29" s="256"/>
      <c r="Q29" s="256"/>
      <c r="R29" s="256"/>
      <c r="S29" s="256"/>
      <c r="T29" s="256"/>
      <c r="U29" s="256"/>
      <c r="V29" s="256"/>
      <c r="W29" s="256"/>
      <c r="X29" s="256"/>
      <c r="Y29" s="256"/>
      <c r="Z29" s="256"/>
      <c r="AA29" s="256"/>
      <c r="AB29" s="256"/>
      <c r="AC29" s="256"/>
      <c r="AD29" s="256"/>
      <c r="AE29" s="256"/>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c r="BB29" s="257"/>
      <c r="BC29" s="257"/>
      <c r="BD29" s="257"/>
    </row>
    <row r="30" spans="1:56" ht="15">
      <c r="A30" s="252"/>
      <c r="B30" s="252"/>
      <c r="C30" s="252"/>
      <c r="D30" s="252"/>
      <c r="E30" s="252"/>
      <c r="F30" s="253"/>
      <c r="G30" s="254"/>
      <c r="H30" s="254"/>
      <c r="K30" s="256"/>
      <c r="L30" s="256"/>
      <c r="M30" s="256"/>
      <c r="N30" s="256"/>
      <c r="O30" s="256"/>
      <c r="P30" s="256"/>
      <c r="Q30" s="256"/>
      <c r="R30" s="256"/>
      <c r="S30" s="256"/>
      <c r="T30" s="256"/>
      <c r="U30" s="256"/>
      <c r="V30" s="256"/>
      <c r="W30" s="256"/>
      <c r="X30" s="256"/>
      <c r="Y30" s="256"/>
      <c r="Z30" s="256"/>
      <c r="AA30" s="256"/>
      <c r="AB30" s="256"/>
      <c r="AC30" s="256"/>
      <c r="AD30" s="256"/>
      <c r="AE30" s="256"/>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c r="BB30" s="257"/>
      <c r="BC30" s="257"/>
      <c r="BD30" s="257"/>
    </row>
    <row r="31" spans="1:56" ht="15">
      <c r="A31" s="252"/>
      <c r="B31" s="252"/>
      <c r="C31" s="252"/>
      <c r="D31" s="252"/>
      <c r="E31" s="252"/>
      <c r="F31" s="253"/>
      <c r="G31" s="254"/>
      <c r="H31" s="254"/>
      <c r="K31" s="256"/>
      <c r="L31" s="256"/>
      <c r="M31" s="256"/>
      <c r="N31" s="256"/>
      <c r="O31" s="256"/>
      <c r="P31" s="256"/>
      <c r="Q31" s="256"/>
      <c r="R31" s="256"/>
      <c r="S31" s="256"/>
      <c r="T31" s="256"/>
      <c r="U31" s="256"/>
      <c r="V31" s="256"/>
      <c r="W31" s="256"/>
      <c r="X31" s="256"/>
      <c r="Y31" s="256"/>
      <c r="Z31" s="256"/>
      <c r="AA31" s="256"/>
      <c r="AB31" s="256"/>
      <c r="AC31" s="256"/>
      <c r="AD31" s="256"/>
      <c r="AE31" s="256"/>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row>
    <row r="32" spans="1:56" ht="15">
      <c r="A32" s="252"/>
      <c r="B32" s="252"/>
      <c r="C32" s="252"/>
      <c r="D32" s="252"/>
      <c r="E32" s="252"/>
      <c r="F32" s="253"/>
      <c r="G32" s="254"/>
      <c r="H32" s="254"/>
      <c r="K32" s="256"/>
      <c r="L32" s="256"/>
      <c r="M32" s="256"/>
      <c r="N32" s="256"/>
      <c r="O32" s="256"/>
      <c r="P32" s="256"/>
      <c r="Q32" s="256"/>
      <c r="R32" s="256"/>
      <c r="S32" s="256"/>
      <c r="T32" s="256"/>
      <c r="U32" s="256"/>
      <c r="V32" s="256"/>
      <c r="W32" s="256"/>
      <c r="X32" s="256"/>
      <c r="Y32" s="256"/>
      <c r="Z32" s="256"/>
      <c r="AA32" s="256"/>
      <c r="AB32" s="256"/>
      <c r="AC32" s="256"/>
      <c r="AD32" s="256"/>
      <c r="AE32" s="256"/>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row>
    <row r="33" spans="1:56" ht="15">
      <c r="A33" s="252"/>
      <c r="B33" s="252"/>
      <c r="C33" s="252"/>
      <c r="D33" s="252"/>
      <c r="E33" s="252"/>
      <c r="F33" s="253"/>
      <c r="G33" s="254"/>
      <c r="H33" s="254"/>
      <c r="K33" s="256"/>
      <c r="L33" s="256"/>
      <c r="M33" s="256"/>
      <c r="N33" s="256"/>
      <c r="O33" s="256"/>
      <c r="P33" s="256"/>
      <c r="Q33" s="256"/>
      <c r="R33" s="256"/>
      <c r="S33" s="256"/>
      <c r="T33" s="256"/>
      <c r="U33" s="256"/>
      <c r="V33" s="256"/>
      <c r="W33" s="256"/>
      <c r="X33" s="256"/>
      <c r="Y33" s="256"/>
      <c r="Z33" s="256"/>
      <c r="AA33" s="256"/>
      <c r="AB33" s="256"/>
      <c r="AC33" s="256"/>
      <c r="AD33" s="256"/>
      <c r="AE33" s="256"/>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row>
    <row r="34" spans="1:56" ht="15">
      <c r="A34" s="252"/>
      <c r="B34" s="252"/>
      <c r="C34" s="252"/>
      <c r="D34" s="252"/>
      <c r="E34" s="252"/>
      <c r="F34" s="253"/>
      <c r="G34" s="254"/>
      <c r="H34" s="254"/>
      <c r="K34" s="256"/>
      <c r="L34" s="256"/>
      <c r="M34" s="256"/>
      <c r="N34" s="256"/>
      <c r="O34" s="256"/>
      <c r="P34" s="256"/>
      <c r="Q34" s="256"/>
      <c r="R34" s="256"/>
      <c r="S34" s="256"/>
      <c r="T34" s="256"/>
      <c r="U34" s="256"/>
      <c r="V34" s="256"/>
      <c r="W34" s="256"/>
      <c r="X34" s="256"/>
      <c r="Y34" s="256"/>
      <c r="Z34" s="256"/>
      <c r="AA34" s="256"/>
      <c r="AB34" s="256"/>
      <c r="AC34" s="256"/>
      <c r="AD34" s="256"/>
      <c r="AE34" s="256"/>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7"/>
      <c r="BC34" s="257"/>
      <c r="BD34" s="257"/>
    </row>
    <row r="35" spans="1:56" ht="15">
      <c r="A35" s="252"/>
      <c r="B35" s="252"/>
      <c r="C35" s="252"/>
      <c r="D35" s="252"/>
      <c r="E35" s="252"/>
      <c r="F35" s="253"/>
      <c r="G35" s="254"/>
      <c r="H35" s="254"/>
      <c r="K35" s="256"/>
      <c r="L35" s="256"/>
      <c r="M35" s="256"/>
      <c r="N35" s="256"/>
      <c r="O35" s="256"/>
      <c r="P35" s="256"/>
      <c r="Q35" s="256"/>
      <c r="R35" s="256"/>
      <c r="S35" s="256"/>
      <c r="T35" s="256"/>
      <c r="U35" s="256"/>
      <c r="V35" s="256"/>
      <c r="W35" s="256"/>
      <c r="X35" s="256"/>
      <c r="Y35" s="256"/>
      <c r="Z35" s="256"/>
      <c r="AA35" s="256"/>
      <c r="AB35" s="256"/>
      <c r="AC35" s="256"/>
      <c r="AD35" s="256"/>
      <c r="AE35" s="256"/>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7"/>
      <c r="BC35" s="257"/>
      <c r="BD35" s="257"/>
    </row>
    <row r="36" spans="1:56" ht="15">
      <c r="A36" s="252"/>
      <c r="B36" s="252"/>
      <c r="C36" s="252"/>
      <c r="D36" s="252"/>
      <c r="E36" s="252"/>
      <c r="F36" s="253"/>
      <c r="G36" s="254"/>
      <c r="H36" s="254"/>
      <c r="K36" s="256"/>
      <c r="L36" s="256"/>
      <c r="M36" s="256"/>
      <c r="N36" s="256"/>
      <c r="O36" s="256"/>
      <c r="P36" s="256"/>
      <c r="Q36" s="256"/>
      <c r="R36" s="256"/>
      <c r="S36" s="256"/>
      <c r="T36" s="256"/>
      <c r="U36" s="256"/>
      <c r="V36" s="256"/>
      <c r="W36" s="256"/>
      <c r="X36" s="256"/>
      <c r="Y36" s="256"/>
      <c r="Z36" s="256"/>
      <c r="AA36" s="256"/>
      <c r="AB36" s="256"/>
      <c r="AC36" s="256"/>
      <c r="AD36" s="256"/>
      <c r="AE36" s="256"/>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row>
    <row r="37" spans="1:56" ht="15">
      <c r="A37" s="252"/>
      <c r="B37" s="252"/>
      <c r="C37" s="252"/>
      <c r="D37" s="252"/>
      <c r="E37" s="252"/>
      <c r="F37" s="253"/>
      <c r="G37" s="254"/>
      <c r="H37" s="254"/>
      <c r="K37" s="256"/>
      <c r="L37" s="256"/>
      <c r="M37" s="256"/>
      <c r="N37" s="256"/>
      <c r="O37" s="256"/>
      <c r="P37" s="256"/>
      <c r="Q37" s="256"/>
      <c r="R37" s="256"/>
      <c r="S37" s="256"/>
      <c r="T37" s="256"/>
      <c r="U37" s="256"/>
      <c r="V37" s="256"/>
      <c r="W37" s="256"/>
      <c r="X37" s="256"/>
      <c r="Y37" s="256"/>
      <c r="Z37" s="256"/>
      <c r="AA37" s="256"/>
      <c r="AB37" s="256"/>
      <c r="AC37" s="256"/>
      <c r="AD37" s="256"/>
      <c r="AE37" s="256"/>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row>
    <row r="38" spans="1:56" ht="15">
      <c r="A38" s="252"/>
      <c r="B38" s="252"/>
      <c r="C38" s="252"/>
      <c r="D38" s="252"/>
      <c r="E38" s="252"/>
      <c r="F38" s="253"/>
      <c r="G38" s="254"/>
      <c r="H38" s="254"/>
      <c r="K38" s="256"/>
      <c r="L38" s="256"/>
      <c r="M38" s="256"/>
      <c r="N38" s="256"/>
      <c r="O38" s="256"/>
      <c r="P38" s="256"/>
      <c r="Q38" s="256"/>
      <c r="R38" s="256"/>
      <c r="S38" s="256"/>
      <c r="T38" s="256"/>
      <c r="U38" s="256"/>
      <c r="V38" s="256"/>
      <c r="W38" s="256"/>
      <c r="X38" s="256"/>
      <c r="Y38" s="256"/>
      <c r="Z38" s="256"/>
      <c r="AA38" s="256"/>
      <c r="AB38" s="256"/>
      <c r="AC38" s="256"/>
      <c r="AD38" s="256"/>
      <c r="AE38" s="256"/>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row>
    <row r="39" spans="1:56" ht="15">
      <c r="A39" s="252"/>
      <c r="B39" s="252"/>
      <c r="C39" s="252"/>
      <c r="D39" s="252"/>
      <c r="E39" s="252"/>
      <c r="F39" s="253"/>
      <c r="G39" s="254"/>
      <c r="H39" s="254"/>
      <c r="K39" s="256"/>
      <c r="L39" s="256"/>
      <c r="M39" s="256"/>
      <c r="N39" s="256"/>
      <c r="O39" s="256"/>
      <c r="P39" s="256"/>
      <c r="Q39" s="256"/>
      <c r="R39" s="256"/>
      <c r="S39" s="256"/>
      <c r="T39" s="256"/>
      <c r="U39" s="256"/>
      <c r="V39" s="256"/>
      <c r="W39" s="256"/>
      <c r="X39" s="256"/>
      <c r="Y39" s="256"/>
      <c r="Z39" s="256"/>
      <c r="AA39" s="256"/>
      <c r="AB39" s="256"/>
      <c r="AC39" s="256"/>
      <c r="AD39" s="256"/>
      <c r="AE39" s="256"/>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row>
    <row r="40" spans="1:56" ht="15">
      <c r="A40" s="252"/>
      <c r="B40" s="252"/>
      <c r="C40" s="252"/>
      <c r="D40" s="252"/>
      <c r="E40" s="252"/>
      <c r="F40" s="253"/>
      <c r="G40" s="254"/>
      <c r="H40" s="254"/>
      <c r="K40" s="256"/>
      <c r="L40" s="256"/>
      <c r="M40" s="256"/>
      <c r="N40" s="256"/>
      <c r="O40" s="256"/>
      <c r="P40" s="256"/>
      <c r="Q40" s="256"/>
      <c r="R40" s="256"/>
      <c r="S40" s="256"/>
      <c r="T40" s="256"/>
      <c r="U40" s="256"/>
      <c r="V40" s="256"/>
      <c r="W40" s="256"/>
      <c r="X40" s="256"/>
      <c r="Y40" s="256"/>
      <c r="Z40" s="256"/>
      <c r="AA40" s="256"/>
      <c r="AB40" s="256"/>
      <c r="AC40" s="256"/>
      <c r="AD40" s="256"/>
      <c r="AE40" s="256"/>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row>
    <row r="41" spans="1:56" ht="15">
      <c r="A41" s="252"/>
      <c r="B41" s="252"/>
      <c r="C41" s="252"/>
      <c r="D41" s="252"/>
      <c r="E41" s="252"/>
      <c r="F41" s="253"/>
      <c r="G41" s="254"/>
      <c r="H41" s="254"/>
      <c r="K41" s="256"/>
      <c r="L41" s="256"/>
      <c r="M41" s="256"/>
      <c r="N41" s="256"/>
      <c r="O41" s="256"/>
      <c r="P41" s="256"/>
      <c r="Q41" s="256"/>
      <c r="R41" s="256"/>
      <c r="S41" s="256"/>
      <c r="T41" s="256"/>
      <c r="U41" s="256"/>
      <c r="V41" s="256"/>
      <c r="W41" s="256"/>
      <c r="X41" s="256"/>
      <c r="Y41" s="256"/>
      <c r="Z41" s="256"/>
      <c r="AA41" s="256"/>
      <c r="AB41" s="256"/>
      <c r="AC41" s="256"/>
      <c r="AD41" s="256"/>
      <c r="AE41" s="256"/>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row>
    <row r="42" spans="1:56" ht="15">
      <c r="A42" s="252"/>
      <c r="B42" s="252"/>
      <c r="C42" s="252"/>
      <c r="D42" s="252"/>
      <c r="E42" s="252"/>
      <c r="F42" s="253"/>
      <c r="G42" s="254"/>
      <c r="H42" s="254"/>
      <c r="K42" s="256"/>
      <c r="L42" s="256"/>
      <c r="M42" s="256"/>
      <c r="N42" s="256"/>
      <c r="O42" s="256"/>
      <c r="P42" s="256"/>
      <c r="Q42" s="256"/>
      <c r="R42" s="256"/>
      <c r="S42" s="256"/>
      <c r="T42" s="256"/>
      <c r="U42" s="256"/>
      <c r="V42" s="256"/>
      <c r="W42" s="256"/>
      <c r="X42" s="256"/>
      <c r="Y42" s="256"/>
      <c r="Z42" s="256"/>
      <c r="AA42" s="256"/>
      <c r="AB42" s="256"/>
      <c r="AC42" s="256"/>
      <c r="AD42" s="256"/>
      <c r="AE42" s="256"/>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row>
    <row r="43" spans="1:56" ht="15">
      <c r="A43" s="252"/>
      <c r="B43" s="252"/>
      <c r="C43" s="252"/>
      <c r="D43" s="252"/>
      <c r="E43" s="252"/>
      <c r="F43" s="253"/>
      <c r="G43" s="254"/>
      <c r="H43" s="254"/>
      <c r="K43" s="256"/>
      <c r="L43" s="256"/>
      <c r="M43" s="256"/>
      <c r="N43" s="256"/>
      <c r="O43" s="256"/>
      <c r="P43" s="256"/>
      <c r="Q43" s="256"/>
      <c r="R43" s="256"/>
      <c r="S43" s="256"/>
      <c r="T43" s="256"/>
      <c r="U43" s="256"/>
      <c r="V43" s="256"/>
      <c r="W43" s="256"/>
      <c r="X43" s="256"/>
      <c r="Y43" s="256"/>
      <c r="Z43" s="256"/>
      <c r="AA43" s="256"/>
      <c r="AB43" s="256"/>
      <c r="AC43" s="256"/>
      <c r="AD43" s="256"/>
      <c r="AE43" s="256"/>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row>
    <row r="44" spans="1:56" ht="15">
      <c r="A44" s="252"/>
      <c r="B44" s="252"/>
      <c r="C44" s="252"/>
      <c r="D44" s="252"/>
      <c r="E44" s="252"/>
      <c r="F44" s="253"/>
      <c r="G44" s="254"/>
      <c r="H44" s="254"/>
      <c r="K44" s="256"/>
      <c r="L44" s="256"/>
      <c r="M44" s="256"/>
      <c r="N44" s="256"/>
      <c r="O44" s="256"/>
      <c r="P44" s="256"/>
      <c r="Q44" s="256"/>
      <c r="R44" s="256"/>
      <c r="S44" s="256"/>
      <c r="T44" s="256"/>
      <c r="U44" s="256"/>
      <c r="V44" s="256"/>
      <c r="W44" s="256"/>
      <c r="X44" s="256"/>
      <c r="Y44" s="256"/>
      <c r="Z44" s="256"/>
      <c r="AA44" s="256"/>
      <c r="AB44" s="256"/>
      <c r="AC44" s="256"/>
      <c r="AD44" s="256"/>
      <c r="AE44" s="256"/>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row>
    <row r="45" spans="1:56" ht="15">
      <c r="A45" s="252"/>
      <c r="B45" s="252"/>
      <c r="C45" s="252"/>
      <c r="D45" s="252"/>
      <c r="E45" s="252"/>
      <c r="F45" s="253"/>
      <c r="G45" s="254"/>
      <c r="H45" s="254"/>
      <c r="K45" s="256"/>
      <c r="L45" s="256"/>
      <c r="M45" s="256"/>
      <c r="N45" s="256"/>
      <c r="O45" s="256"/>
      <c r="P45" s="256"/>
      <c r="Q45" s="256"/>
      <c r="R45" s="256"/>
      <c r="S45" s="256"/>
      <c r="T45" s="256"/>
      <c r="U45" s="256"/>
      <c r="V45" s="256"/>
      <c r="W45" s="256"/>
      <c r="X45" s="256"/>
      <c r="Y45" s="256"/>
      <c r="Z45" s="256"/>
      <c r="AA45" s="256"/>
      <c r="AB45" s="256"/>
      <c r="AC45" s="256"/>
      <c r="AD45" s="256"/>
      <c r="AE45" s="256"/>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row>
    <row r="46" spans="1:56" ht="15">
      <c r="A46" s="252"/>
      <c r="B46" s="252"/>
      <c r="C46" s="252"/>
      <c r="D46" s="252"/>
      <c r="E46" s="252"/>
      <c r="F46" s="253"/>
      <c r="G46" s="254"/>
      <c r="H46" s="254"/>
      <c r="K46" s="256"/>
      <c r="L46" s="256"/>
      <c r="M46" s="256"/>
      <c r="N46" s="256"/>
      <c r="O46" s="256"/>
      <c r="P46" s="256"/>
      <c r="Q46" s="256"/>
      <c r="R46" s="256"/>
      <c r="S46" s="256"/>
      <c r="T46" s="256"/>
      <c r="U46" s="256"/>
      <c r="V46" s="256"/>
      <c r="W46" s="256"/>
      <c r="X46" s="256"/>
      <c r="Y46" s="256"/>
      <c r="Z46" s="256"/>
      <c r="AA46" s="256"/>
      <c r="AB46" s="256"/>
      <c r="AC46" s="256"/>
      <c r="AD46" s="256"/>
      <c r="AE46" s="256"/>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row>
    <row r="47" spans="1:56" ht="15">
      <c r="A47" s="252"/>
      <c r="B47" s="252"/>
      <c r="C47" s="252"/>
      <c r="D47" s="252"/>
      <c r="E47" s="252"/>
      <c r="F47" s="253"/>
      <c r="G47" s="254"/>
      <c r="H47" s="254"/>
      <c r="K47" s="256"/>
      <c r="L47" s="256"/>
      <c r="M47" s="256"/>
      <c r="N47" s="256"/>
      <c r="O47" s="256"/>
      <c r="P47" s="256"/>
      <c r="Q47" s="256"/>
      <c r="R47" s="256"/>
      <c r="S47" s="256"/>
      <c r="T47" s="256"/>
      <c r="U47" s="256"/>
      <c r="V47" s="256"/>
      <c r="W47" s="256"/>
      <c r="X47" s="256"/>
      <c r="Y47" s="256"/>
      <c r="Z47" s="256"/>
      <c r="AA47" s="256"/>
      <c r="AB47" s="256"/>
      <c r="AC47" s="256"/>
      <c r="AD47" s="256"/>
      <c r="AE47" s="256"/>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row>
    <row r="48" spans="1:56" ht="15">
      <c r="A48" s="252"/>
      <c r="B48" s="252"/>
      <c r="C48" s="252"/>
      <c r="D48" s="252"/>
      <c r="E48" s="252"/>
      <c r="F48" s="253"/>
      <c r="G48" s="254"/>
      <c r="H48" s="254"/>
      <c r="K48" s="256"/>
      <c r="L48" s="256"/>
      <c r="M48" s="256"/>
      <c r="N48" s="256"/>
      <c r="O48" s="256"/>
      <c r="P48" s="256"/>
      <c r="Q48" s="256"/>
      <c r="R48" s="256"/>
      <c r="S48" s="256"/>
      <c r="T48" s="256"/>
      <c r="U48" s="256"/>
      <c r="V48" s="256"/>
      <c r="W48" s="256"/>
      <c r="X48" s="256"/>
      <c r="Y48" s="256"/>
      <c r="Z48" s="256"/>
      <c r="AA48" s="256"/>
      <c r="AB48" s="256"/>
      <c r="AC48" s="256"/>
      <c r="AD48" s="256"/>
      <c r="AE48" s="256"/>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row>
    <row r="49" spans="1:56" ht="15">
      <c r="A49" s="252"/>
      <c r="B49" s="252"/>
      <c r="C49" s="252"/>
      <c r="D49" s="252"/>
      <c r="E49" s="252"/>
      <c r="F49" s="253"/>
      <c r="G49" s="254"/>
      <c r="H49" s="254"/>
      <c r="K49" s="256"/>
      <c r="L49" s="256"/>
      <c r="M49" s="256"/>
      <c r="N49" s="256"/>
      <c r="O49" s="256"/>
      <c r="P49" s="256"/>
      <c r="Q49" s="256"/>
      <c r="R49" s="256"/>
      <c r="S49" s="256"/>
      <c r="T49" s="256"/>
      <c r="U49" s="256"/>
      <c r="V49" s="256"/>
      <c r="W49" s="256"/>
      <c r="X49" s="256"/>
      <c r="Y49" s="256"/>
      <c r="Z49" s="256"/>
      <c r="AA49" s="256"/>
      <c r="AB49" s="256"/>
      <c r="AC49" s="256"/>
      <c r="AD49" s="256"/>
      <c r="AE49" s="256"/>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row>
    <row r="50" spans="1:56" ht="15">
      <c r="A50" s="252"/>
      <c r="B50" s="252"/>
      <c r="C50" s="252"/>
      <c r="D50" s="252"/>
      <c r="E50" s="252"/>
      <c r="F50" s="253"/>
      <c r="G50" s="254"/>
      <c r="H50" s="254"/>
      <c r="K50" s="256"/>
      <c r="L50" s="256"/>
      <c r="M50" s="256"/>
      <c r="N50" s="256"/>
      <c r="O50" s="256"/>
      <c r="P50" s="256"/>
      <c r="Q50" s="256"/>
      <c r="R50" s="256"/>
      <c r="S50" s="256"/>
      <c r="T50" s="256"/>
      <c r="U50" s="256"/>
      <c r="V50" s="256"/>
      <c r="W50" s="256"/>
      <c r="X50" s="256"/>
      <c r="Y50" s="256"/>
      <c r="Z50" s="256"/>
      <c r="AA50" s="256"/>
      <c r="AB50" s="256"/>
      <c r="AC50" s="256"/>
      <c r="AD50" s="256"/>
      <c r="AE50" s="256"/>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row>
    <row r="51" spans="1:56" ht="15">
      <c r="A51" s="252"/>
      <c r="B51" s="252"/>
      <c r="C51" s="252"/>
      <c r="D51" s="252"/>
      <c r="E51" s="252"/>
      <c r="F51" s="253"/>
      <c r="G51" s="254"/>
      <c r="H51" s="254"/>
      <c r="K51" s="256"/>
      <c r="L51" s="256"/>
      <c r="M51" s="256"/>
      <c r="N51" s="256"/>
      <c r="O51" s="256"/>
      <c r="P51" s="256"/>
      <c r="Q51" s="256"/>
      <c r="R51" s="256"/>
      <c r="S51" s="256"/>
      <c r="T51" s="256"/>
      <c r="U51" s="256"/>
      <c r="V51" s="256"/>
      <c r="W51" s="256"/>
      <c r="X51" s="256"/>
      <c r="Y51" s="256"/>
      <c r="Z51" s="256"/>
      <c r="AA51" s="256"/>
      <c r="AB51" s="256"/>
      <c r="AC51" s="256"/>
      <c r="AD51" s="256"/>
      <c r="AE51" s="256"/>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row>
    <row r="52" spans="1:56" ht="15">
      <c r="A52" s="252"/>
      <c r="B52" s="252"/>
      <c r="C52" s="252"/>
      <c r="D52" s="252"/>
      <c r="E52" s="252"/>
      <c r="F52" s="253"/>
      <c r="G52" s="254"/>
      <c r="H52" s="254"/>
      <c r="K52" s="256"/>
      <c r="L52" s="256"/>
      <c r="M52" s="256"/>
      <c r="N52" s="256"/>
      <c r="O52" s="256"/>
      <c r="P52" s="256"/>
      <c r="Q52" s="256"/>
      <c r="R52" s="256"/>
      <c r="S52" s="256"/>
      <c r="T52" s="256"/>
      <c r="U52" s="256"/>
      <c r="V52" s="256"/>
      <c r="W52" s="256"/>
      <c r="X52" s="256"/>
      <c r="Y52" s="256"/>
      <c r="Z52" s="256"/>
      <c r="AA52" s="256"/>
      <c r="AB52" s="256"/>
      <c r="AC52" s="256"/>
      <c r="AD52" s="256"/>
      <c r="AE52" s="256"/>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row>
    <row r="53" spans="1:56" ht="15">
      <c r="A53" s="252"/>
      <c r="B53" s="252"/>
      <c r="C53" s="252"/>
      <c r="D53" s="252"/>
      <c r="E53" s="252"/>
      <c r="F53" s="253"/>
      <c r="G53" s="254"/>
      <c r="H53" s="254"/>
      <c r="K53" s="256"/>
      <c r="L53" s="256"/>
      <c r="M53" s="256"/>
      <c r="N53" s="256"/>
      <c r="O53" s="256"/>
      <c r="P53" s="256"/>
      <c r="Q53" s="256"/>
      <c r="R53" s="256"/>
      <c r="S53" s="256"/>
      <c r="T53" s="256"/>
      <c r="U53" s="256"/>
      <c r="V53" s="256"/>
      <c r="W53" s="256"/>
      <c r="X53" s="256"/>
      <c r="Y53" s="256"/>
      <c r="Z53" s="256"/>
      <c r="AA53" s="256"/>
      <c r="AB53" s="256"/>
      <c r="AC53" s="256"/>
      <c r="AD53" s="256"/>
      <c r="AE53" s="256"/>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row>
    <row r="54" spans="1:56" ht="15">
      <c r="A54" s="252"/>
      <c r="B54" s="252"/>
      <c r="C54" s="252"/>
      <c r="D54" s="252"/>
      <c r="E54" s="252"/>
      <c r="F54" s="253"/>
      <c r="G54" s="254"/>
      <c r="H54" s="254"/>
      <c r="K54" s="256"/>
      <c r="L54" s="256"/>
      <c r="M54" s="256"/>
      <c r="N54" s="256"/>
      <c r="O54" s="256"/>
      <c r="P54" s="256"/>
      <c r="Q54" s="256"/>
      <c r="R54" s="256"/>
      <c r="S54" s="256"/>
      <c r="T54" s="256"/>
      <c r="U54" s="256"/>
      <c r="V54" s="256"/>
      <c r="W54" s="256"/>
      <c r="X54" s="256"/>
      <c r="Y54" s="256"/>
      <c r="Z54" s="256"/>
      <c r="AA54" s="256"/>
      <c r="AB54" s="256"/>
      <c r="AC54" s="256"/>
      <c r="AD54" s="256"/>
      <c r="AE54" s="256"/>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2"/>
  <dimension ref="A1:CB156"/>
  <sheetViews>
    <sheetView tabSelected="1" workbookViewId="0">
      <selection activeCell="F13" sqref="F13:X20"/>
    </sheetView>
  </sheetViews>
  <sheetFormatPr defaultRowHeight="12.75"/>
  <cols>
    <col min="1" max="1" width="35" style="7" customWidth="1"/>
    <col min="2" max="2" width="30.140625" style="7" customWidth="1"/>
    <col min="3" max="3" width="59" style="7" customWidth="1"/>
    <col min="4" max="4" width="26.5703125" style="7" customWidth="1"/>
    <col min="5" max="5" width="15.140625" style="7" bestFit="1" customWidth="1"/>
    <col min="6" max="7" width="12.5703125" style="7" bestFit="1" customWidth="1"/>
    <col min="8" max="27" width="9.140625" style="7"/>
    <col min="28" max="28" width="21.7109375" style="7" customWidth="1"/>
    <col min="29" max="29" width="35.85546875" style="7" customWidth="1"/>
    <col min="30" max="30" width="35.28515625" style="7" customWidth="1"/>
    <col min="31" max="31" width="15" style="7" customWidth="1"/>
    <col min="32" max="32" width="17.7109375" style="7" customWidth="1"/>
    <col min="33" max="33" width="15.140625" style="7" customWidth="1"/>
    <col min="34" max="34" width="15.7109375" style="7" customWidth="1"/>
    <col min="35" max="35" width="21.28515625" style="7" customWidth="1"/>
    <col min="36" max="36" width="17.7109375" style="7" bestFit="1" customWidth="1"/>
    <col min="37" max="37" width="15.42578125" style="7" bestFit="1" customWidth="1"/>
    <col min="38" max="38" width="14.28515625" style="7" bestFit="1" customWidth="1"/>
    <col min="39" max="39" width="14.28515625" style="7" customWidth="1"/>
    <col min="40" max="40" width="12.5703125" style="7" customWidth="1"/>
    <col min="41" max="41" width="14" style="7" bestFit="1" customWidth="1"/>
    <col min="42" max="43" width="10.85546875" style="7" bestFit="1" customWidth="1"/>
    <col min="44" max="44" width="13.42578125" style="7" customWidth="1"/>
    <col min="45" max="45" width="11.85546875" style="7" bestFit="1" customWidth="1"/>
    <col min="46" max="46" width="11" style="7" bestFit="1" customWidth="1"/>
    <col min="47" max="47" width="14.28515625" style="7" bestFit="1" customWidth="1"/>
    <col min="48" max="48" width="10.7109375" style="7" customWidth="1"/>
    <col min="49" max="49" width="13.85546875" style="7" bestFit="1" customWidth="1"/>
    <col min="50" max="50" width="11.7109375" style="7" bestFit="1" customWidth="1"/>
    <col min="51" max="51" width="15.28515625" style="7" bestFit="1" customWidth="1"/>
    <col min="52" max="54" width="12.28515625" style="7" bestFit="1" customWidth="1"/>
    <col min="55" max="55" width="12.5703125" style="7" bestFit="1" customWidth="1"/>
    <col min="56" max="58" width="14.28515625" style="7" bestFit="1" customWidth="1"/>
    <col min="59" max="59" width="13.7109375" style="7" bestFit="1" customWidth="1"/>
    <col min="60" max="60" width="14" style="7" bestFit="1" customWidth="1"/>
    <col min="61" max="61" width="12.85546875" style="7" bestFit="1" customWidth="1"/>
    <col min="62" max="62" width="15.28515625" style="7" bestFit="1" customWidth="1"/>
    <col min="63" max="63" width="12.28515625" style="7" bestFit="1" customWidth="1"/>
    <col min="64" max="64" width="10.85546875" style="7" bestFit="1" customWidth="1"/>
    <col min="65" max="65" width="12.28515625" style="7" bestFit="1" customWidth="1"/>
    <col min="66" max="66" width="12.5703125" style="7" bestFit="1" customWidth="1"/>
    <col min="67" max="16384" width="9.140625" style="7"/>
  </cols>
  <sheetData>
    <row r="1" spans="1:68">
      <c r="A1" s="38" t="s">
        <v>24</v>
      </c>
      <c r="B1" s="290" t="s">
        <v>25</v>
      </c>
      <c r="C1" s="290"/>
      <c r="D1" s="290"/>
      <c r="E1" s="290"/>
      <c r="F1" s="290"/>
      <c r="G1" s="290"/>
      <c r="H1" s="290"/>
      <c r="I1" s="290"/>
      <c r="J1" s="290"/>
      <c r="K1" s="290"/>
      <c r="L1" s="290"/>
      <c r="M1" s="290"/>
      <c r="N1" s="290"/>
      <c r="O1" s="290"/>
      <c r="P1" s="290"/>
      <c r="Q1" s="290"/>
      <c r="R1" s="290"/>
      <c r="S1" s="290"/>
    </row>
    <row r="2" spans="1:68">
      <c r="A2" s="39" t="s">
        <v>131</v>
      </c>
      <c r="B2" s="290"/>
      <c r="C2" s="290"/>
      <c r="D2" s="290"/>
      <c r="E2" s="290"/>
      <c r="F2" s="290"/>
      <c r="G2" s="290"/>
      <c r="H2" s="290"/>
      <c r="I2" s="290"/>
      <c r="J2" s="290"/>
      <c r="K2" s="290"/>
      <c r="L2" s="290"/>
      <c r="M2" s="290"/>
      <c r="N2" s="290"/>
      <c r="O2" s="290"/>
      <c r="P2" s="290"/>
      <c r="Q2" s="290"/>
      <c r="R2" s="290"/>
      <c r="S2" s="290"/>
    </row>
    <row r="3" spans="1:68">
      <c r="B3" s="290"/>
      <c r="C3" s="290"/>
      <c r="D3" s="290"/>
      <c r="E3" s="290"/>
      <c r="F3" s="290"/>
      <c r="G3" s="290"/>
      <c r="H3" s="290"/>
      <c r="I3" s="290"/>
      <c r="J3" s="290"/>
      <c r="K3" s="290"/>
      <c r="L3" s="290"/>
      <c r="M3" s="290"/>
      <c r="N3" s="290"/>
      <c r="O3" s="290"/>
      <c r="P3" s="290"/>
      <c r="Q3" s="290"/>
      <c r="R3" s="290"/>
      <c r="S3" s="290"/>
    </row>
    <row r="4" spans="1:68">
      <c r="B4" s="290"/>
      <c r="C4" s="290"/>
      <c r="D4" s="290"/>
      <c r="E4" s="290"/>
      <c r="F4" s="290"/>
      <c r="G4" s="290"/>
      <c r="H4" s="290"/>
      <c r="I4" s="290"/>
      <c r="J4" s="290"/>
      <c r="K4" s="290"/>
      <c r="L4" s="290"/>
      <c r="M4" s="290"/>
      <c r="N4" s="290"/>
      <c r="O4" s="290"/>
      <c r="P4" s="290"/>
      <c r="Q4" s="290"/>
      <c r="R4" s="290"/>
      <c r="S4" s="290"/>
    </row>
    <row r="5" spans="1:68">
      <c r="B5" s="290"/>
      <c r="C5" s="290"/>
      <c r="D5" s="290"/>
      <c r="E5" s="290"/>
      <c r="F5" s="290"/>
      <c r="G5" s="290"/>
      <c r="H5" s="290"/>
      <c r="I5" s="290"/>
      <c r="J5" s="290"/>
      <c r="K5" s="290"/>
      <c r="L5" s="290"/>
      <c r="M5" s="290"/>
      <c r="N5" s="290"/>
      <c r="O5" s="290"/>
      <c r="P5" s="290"/>
      <c r="Q5" s="290"/>
      <c r="R5" s="290"/>
      <c r="S5" s="290"/>
    </row>
    <row r="6" spans="1:68">
      <c r="B6" s="290"/>
      <c r="C6" s="290"/>
      <c r="D6" s="290"/>
      <c r="E6" s="290"/>
      <c r="F6" s="290"/>
      <c r="G6" s="290"/>
      <c r="H6" s="290"/>
      <c r="I6" s="290"/>
      <c r="J6" s="290"/>
      <c r="K6" s="290"/>
      <c r="L6" s="290"/>
      <c r="M6" s="290"/>
      <c r="N6" s="290"/>
      <c r="O6" s="290"/>
      <c r="P6" s="290"/>
      <c r="Q6" s="290"/>
      <c r="R6" s="290"/>
      <c r="S6" s="290"/>
    </row>
    <row r="7" spans="1:68">
      <c r="A7" s="287"/>
      <c r="B7" s="287" t="s">
        <v>23</v>
      </c>
      <c r="C7" s="47" t="s">
        <v>26</v>
      </c>
      <c r="D7" s="47" t="s">
        <v>539</v>
      </c>
    </row>
    <row r="8" spans="1:68">
      <c r="A8" s="287" t="s">
        <v>535</v>
      </c>
      <c r="B8" s="287" t="s">
        <v>27</v>
      </c>
      <c r="C8" s="47" t="s">
        <v>536</v>
      </c>
      <c r="D8" s="47" t="s">
        <v>106</v>
      </c>
    </row>
    <row r="9" spans="1:68">
      <c r="A9" s="287" t="str">
        <f>INDEX([2]ACHIEV!$A$19:$B$100,MATCH(CONCATENATE($C$8," - ",$C$7),[2]ACHIEV!$B$19:$B$100,0),1)</f>
        <v>Motors/Drives</v>
      </c>
      <c r="B9" s="288" t="s">
        <v>28</v>
      </c>
      <c r="C9" s="47">
        <f>[2]FILES!$H$4</f>
        <v>2035</v>
      </c>
      <c r="D9" s="47" t="str">
        <f>[1]!switch_ForecastScenario</f>
        <v>Base</v>
      </c>
    </row>
    <row r="10" spans="1:68">
      <c r="A10" s="287"/>
      <c r="B10" s="287" t="s">
        <v>538</v>
      </c>
      <c r="C10" s="289">
        <f>MIN(SUM(E67:X67),Y67)</f>
        <v>3.0046517658530756</v>
      </c>
      <c r="D10" s="48"/>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row>
    <row r="11" spans="1:68" ht="15">
      <c r="A11" s="49" t="str">
        <f>CONCATENATE("# OF EXISTING PUMPS FOR MEASURE -",$C$8)</f>
        <v># OF EXISTING PUMPS FOR MEASURE -Irrigation Motor</v>
      </c>
      <c r="C11" s="7" t="s">
        <v>320</v>
      </c>
      <c r="E11" s="51">
        <v>2016</v>
      </c>
      <c r="F11" s="52">
        <v>2017</v>
      </c>
      <c r="G11" s="52">
        <v>2018</v>
      </c>
      <c r="H11" s="52">
        <v>2019</v>
      </c>
      <c r="I11" s="52">
        <v>2020</v>
      </c>
      <c r="J11" s="52">
        <v>2021</v>
      </c>
      <c r="K11" s="52">
        <v>2022</v>
      </c>
      <c r="L11" s="52">
        <v>2023</v>
      </c>
      <c r="M11" s="52">
        <v>2024</v>
      </c>
      <c r="N11" s="52">
        <v>2025</v>
      </c>
      <c r="O11" s="52">
        <v>2026</v>
      </c>
      <c r="P11" s="52">
        <v>2027</v>
      </c>
      <c r="Q11" s="52">
        <v>2028</v>
      </c>
      <c r="R11" s="52">
        <v>2029</v>
      </c>
      <c r="S11" s="52">
        <v>2030</v>
      </c>
      <c r="T11" s="52">
        <v>2031</v>
      </c>
      <c r="U11" s="52">
        <v>2032</v>
      </c>
      <c r="V11" s="52">
        <v>2033</v>
      </c>
      <c r="W11" s="52">
        <v>2034</v>
      </c>
      <c r="X11" s="52">
        <v>2035</v>
      </c>
      <c r="Y11" s="53"/>
      <c r="AA11" s="40"/>
      <c r="AJ11"/>
      <c r="AK11"/>
      <c r="AL11"/>
      <c r="AM11"/>
      <c r="AN11"/>
      <c r="AO11"/>
      <c r="AP11"/>
      <c r="AQ11"/>
      <c r="AR11"/>
      <c r="AS11"/>
      <c r="AT11"/>
      <c r="AU11"/>
      <c r="AV11"/>
      <c r="AW11"/>
      <c r="AX11"/>
      <c r="AY11"/>
      <c r="AZ11"/>
      <c r="BA11"/>
      <c r="BB11"/>
      <c r="BC11"/>
      <c r="BD11"/>
      <c r="BE11"/>
      <c r="BF11"/>
      <c r="BG11"/>
      <c r="BH11"/>
      <c r="BI11"/>
      <c r="BJ11"/>
      <c r="BK11"/>
      <c r="BL11"/>
      <c r="BM11"/>
      <c r="BN11"/>
      <c r="BO11"/>
      <c r="BP11"/>
    </row>
    <row r="12" spans="1:68" ht="15">
      <c r="E12" s="54" t="str">
        <f>CONCATENATE("ACRES_",E11)</f>
        <v>ACRES_2016</v>
      </c>
      <c r="F12" s="54" t="str">
        <f t="shared" ref="F12:X12" si="0">CONCATENATE("ACRES_",F11)</f>
        <v>ACRES_2017</v>
      </c>
      <c r="G12" s="54" t="str">
        <f t="shared" si="0"/>
        <v>ACRES_2018</v>
      </c>
      <c r="H12" s="54" t="str">
        <f t="shared" si="0"/>
        <v>ACRES_2019</v>
      </c>
      <c r="I12" s="54" t="str">
        <f t="shared" si="0"/>
        <v>ACRES_2020</v>
      </c>
      <c r="J12" s="54" t="str">
        <f t="shared" si="0"/>
        <v>ACRES_2021</v>
      </c>
      <c r="K12" s="54" t="str">
        <f t="shared" si="0"/>
        <v>ACRES_2022</v>
      </c>
      <c r="L12" s="54" t="str">
        <f t="shared" si="0"/>
        <v>ACRES_2023</v>
      </c>
      <c r="M12" s="54" t="str">
        <f t="shared" si="0"/>
        <v>ACRES_2024</v>
      </c>
      <c r="N12" s="54" t="str">
        <f t="shared" si="0"/>
        <v>ACRES_2025</v>
      </c>
      <c r="O12" s="54" t="str">
        <f t="shared" si="0"/>
        <v>ACRES_2026</v>
      </c>
      <c r="P12" s="54" t="str">
        <f t="shared" si="0"/>
        <v>ACRES_2027</v>
      </c>
      <c r="Q12" s="54" t="str">
        <f t="shared" si="0"/>
        <v>ACRES_2028</v>
      </c>
      <c r="R12" s="54" t="str">
        <f t="shared" si="0"/>
        <v>ACRES_2029</v>
      </c>
      <c r="S12" s="54" t="str">
        <f t="shared" si="0"/>
        <v>ACRES_2030</v>
      </c>
      <c r="T12" s="54" t="str">
        <f t="shared" si="0"/>
        <v>ACRES_2031</v>
      </c>
      <c r="U12" s="54" t="str">
        <f t="shared" si="0"/>
        <v>ACRES_2032</v>
      </c>
      <c r="V12" s="54" t="str">
        <f t="shared" si="0"/>
        <v>ACRES_2033</v>
      </c>
      <c r="W12" s="54" t="str">
        <f t="shared" si="0"/>
        <v>ACRES_2034</v>
      </c>
      <c r="X12" s="54" t="str">
        <f t="shared" si="0"/>
        <v>ACRES_2035</v>
      </c>
      <c r="Y12" s="56"/>
      <c r="AA12" s="38"/>
    </row>
    <row r="13" spans="1:68">
      <c r="B13" s="32" t="str">
        <f>CONCATENATE(D13," ",C13)</f>
        <v>Idaho Wells</v>
      </c>
      <c r="C13" s="7" t="s">
        <v>310</v>
      </c>
      <c r="D13" s="7" t="s">
        <v>128</v>
      </c>
      <c r="E13" s="32">
        <f>VLOOKUP($D13,'[2]Depth of Wells'!A$33:C$36,3,FALSE)</f>
        <v>9141</v>
      </c>
      <c r="F13" s="32">
        <f>E13*(1+INDEX([1]!tbl_Forecast,MATCH($D$8&amp;$D13&amp;$D$7,[1]!rng_ForecastRowLookup,0),MATCH(F$11,[1]!rng_ForecastColumnLookup,0)))</f>
        <v>9142.1429998003205</v>
      </c>
      <c r="G13" s="32">
        <f>F13*(1+INDEX([1]!tbl_Forecast,MATCH($D$8&amp;$D13&amp;$D$7,[1]!rng_ForecastRowLookup,0),MATCH(G$11,[1]!rng_ForecastColumnLookup,0)))</f>
        <v>9143.7315275530364</v>
      </c>
      <c r="H13" s="32">
        <f>G13*(1+INDEX([1]!tbl_Forecast,MATCH($D$8&amp;$D13&amp;$D$7,[1]!rng_ForecastRowLookup,0),MATCH(H$11,[1]!rng_ForecastColumnLookup,0)))</f>
        <v>9149.328490454689</v>
      </c>
      <c r="I13" s="32">
        <f>H13*(1+INDEX([1]!tbl_Forecast,MATCH($D$8&amp;$D13&amp;$D$7,[1]!rng_ForecastRowLookup,0),MATCH(I$11,[1]!rng_ForecastColumnLookup,0)))</f>
        <v>9157.3915637726132</v>
      </c>
      <c r="J13" s="32">
        <f>I13*(1+INDEX([1]!tbl_Forecast,MATCH($D$8&amp;$D13&amp;$D$7,[1]!rng_ForecastRowLookup,0),MATCH(J$11,[1]!rng_ForecastColumnLookup,0)))</f>
        <v>9167.6496483210121</v>
      </c>
      <c r="K13" s="32">
        <f>J13*(1+INDEX([1]!tbl_Forecast,MATCH($D$8&amp;$D13&amp;$D$7,[1]!rng_ForecastRowLookup,0),MATCH(K$11,[1]!rng_ForecastColumnLookup,0)))</f>
        <v>9179.3089435447946</v>
      </c>
      <c r="L13" s="32">
        <f>K13*(1+INDEX([1]!tbl_Forecast,MATCH($D$8&amp;$D13&amp;$D$7,[1]!rng_ForecastRowLookup,0),MATCH(L$11,[1]!rng_ForecastColumnLookup,0)))</f>
        <v>9192.531409925492</v>
      </c>
      <c r="M13" s="32">
        <f>L13*(1+INDEX([1]!tbl_Forecast,MATCH($D$8&amp;$D13&amp;$D$7,[1]!rng_ForecastRowLookup,0),MATCH(M$11,[1]!rng_ForecastColumnLookup,0)))</f>
        <v>9207.1239986639739</v>
      </c>
      <c r="N13" s="32">
        <f>M13*(1+INDEX([1]!tbl_Forecast,MATCH($D$8&amp;$D13&amp;$D$7,[1]!rng_ForecastRowLookup,0),MATCH(N$11,[1]!rng_ForecastColumnLookup,0)))</f>
        <v>9222.9645207870708</v>
      </c>
      <c r="O13" s="32">
        <f>N13*(1+INDEX([1]!tbl_Forecast,MATCH($D$8&amp;$D13&amp;$D$7,[1]!rng_ForecastRowLookup,0),MATCH(O$11,[1]!rng_ForecastColumnLookup,0)))</f>
        <v>9239.8324467515777</v>
      </c>
      <c r="P13" s="32">
        <f>O13*(1+INDEX([1]!tbl_Forecast,MATCH($D$8&amp;$D13&amp;$D$7,[1]!rng_ForecastRowLookup,0),MATCH(P$11,[1]!rng_ForecastColumnLookup,0)))</f>
        <v>9257.7369687974915</v>
      </c>
      <c r="Q13" s="32">
        <f>P13*(1+INDEX([1]!tbl_Forecast,MATCH($D$8&amp;$D13&amp;$D$7,[1]!rng_ForecastRowLookup,0),MATCH(Q$11,[1]!rng_ForecastColumnLookup,0)))</f>
        <v>9276.5450974258438</v>
      </c>
      <c r="R13" s="32">
        <f>Q13*(1+INDEX([1]!tbl_Forecast,MATCH($D$8&amp;$D13&amp;$D$7,[1]!rng_ForecastRowLookup,0),MATCH(R$11,[1]!rng_ForecastColumnLookup,0)))</f>
        <v>9296.2863229362265</v>
      </c>
      <c r="S13" s="32">
        <f>R13*(1+INDEX([1]!tbl_Forecast,MATCH($D$8&amp;$D13&amp;$D$7,[1]!rng_ForecastRowLookup,0),MATCH(S$11,[1]!rng_ForecastColumnLookup,0)))</f>
        <v>9316.855818506976</v>
      </c>
      <c r="T13" s="32">
        <f>S13*(1+INDEX([1]!tbl_Forecast,MATCH($D$8&amp;$D13&amp;$D$7,[1]!rng_ForecastRowLookup,0),MATCH(T$11,[1]!rng_ForecastColumnLookup,0)))</f>
        <v>9337.8916255912391</v>
      </c>
      <c r="U13" s="32">
        <f>T13*(1+INDEX([1]!tbl_Forecast,MATCH($D$8&amp;$D13&amp;$D$7,[1]!rng_ForecastRowLookup,0),MATCH(U$11,[1]!rng_ForecastColumnLookup,0)))</f>
        <v>9359.8025589125918</v>
      </c>
      <c r="V13" s="32">
        <f>U13*(1+INDEX([1]!tbl_Forecast,MATCH($D$8&amp;$D13&amp;$D$7,[1]!rng_ForecastRowLookup,0),MATCH(V$11,[1]!rng_ForecastColumnLookup,0)))</f>
        <v>9382.4014934022016</v>
      </c>
      <c r="W13" s="32">
        <f>V13*(1+INDEX([1]!tbl_Forecast,MATCH($D$8&amp;$D13&amp;$D$7,[1]!rng_ForecastRowLookup,0),MATCH(W$11,[1]!rng_ForecastColumnLookup,0)))</f>
        <v>9405.7151791571578</v>
      </c>
      <c r="X13" s="32">
        <f>W13*(1+INDEX([1]!tbl_Forecast,MATCH($D$8&amp;$D13&amp;$D$7,[1]!rng_ForecastRowLookup,0),MATCH(X$11,[1]!rng_ForecastColumnLookup,0)))</f>
        <v>9429.5531328138641</v>
      </c>
      <c r="Y13" s="32"/>
      <c r="AA13" s="41"/>
    </row>
    <row r="14" spans="1:68">
      <c r="B14" s="32" t="str">
        <f t="shared" ref="B14:B20" si="1">CONCATENATE(D14," ",C14)</f>
        <v>Montana Wells</v>
      </c>
      <c r="C14" s="7" t="s">
        <v>310</v>
      </c>
      <c r="D14" s="7" t="s">
        <v>127</v>
      </c>
      <c r="E14" s="32">
        <f>VLOOKUP($D14,'[2]Depth of Wells'!A$33:C$36,3,FALSE)</f>
        <v>1629</v>
      </c>
      <c r="F14" s="32">
        <f>E14*(1+INDEX([1]!tbl_Forecast,MATCH($D$8&amp;$D14&amp;$D$7,[1]!rng_ForecastRowLookup,0),MATCH(F$11,[1]!rng_ForecastColumnLookup,0)))</f>
        <v>1646.6717867064392</v>
      </c>
      <c r="G14" s="32">
        <f>F14*(1+INDEX([1]!tbl_Forecast,MATCH($D$8&amp;$D14&amp;$D$7,[1]!rng_ForecastRowLookup,0),MATCH(G$11,[1]!rng_ForecastColumnLookup,0)))</f>
        <v>1664.1144483311887</v>
      </c>
      <c r="H14" s="32">
        <f>G14*(1+INDEX([1]!tbl_Forecast,MATCH($D$8&amp;$D14&amp;$D$7,[1]!rng_ForecastRowLookup,0),MATCH(H$11,[1]!rng_ForecastColumnLookup,0)))</f>
        <v>1682.0075262317623</v>
      </c>
      <c r="I14" s="32">
        <f>H14*(1+INDEX([1]!tbl_Forecast,MATCH($D$8&amp;$D14&amp;$D$7,[1]!rng_ForecastRowLookup,0),MATCH(I$11,[1]!rng_ForecastColumnLookup,0)))</f>
        <v>1700.1034013755441</v>
      </c>
      <c r="J14" s="32">
        <f>I14*(1+INDEX([1]!tbl_Forecast,MATCH($D$8&amp;$D14&amp;$D$7,[1]!rng_ForecastRowLookup,0),MATCH(J$11,[1]!rng_ForecastColumnLookup,0)))</f>
        <v>1713.1206504244681</v>
      </c>
      <c r="K14" s="32">
        <f>J14*(1+INDEX([1]!tbl_Forecast,MATCH($D$8&amp;$D14&amp;$D$7,[1]!rng_ForecastRowLookup,0),MATCH(K$11,[1]!rng_ForecastColumnLookup,0)))</f>
        <v>1726.2315171574708</v>
      </c>
      <c r="L14" s="32">
        <f>K14*(1+INDEX([1]!tbl_Forecast,MATCH($D$8&amp;$D14&amp;$D$7,[1]!rng_ForecastRowLookup,0),MATCH(L$11,[1]!rng_ForecastColumnLookup,0)))</f>
        <v>1739.9094299444964</v>
      </c>
      <c r="M14" s="32">
        <f>L14*(1+INDEX([1]!tbl_Forecast,MATCH($D$8&amp;$D14&amp;$D$7,[1]!rng_ForecastRowLookup,0),MATCH(M$11,[1]!rng_ForecastColumnLookup,0)))</f>
        <v>1754.0825675379849</v>
      </c>
      <c r="N14" s="32">
        <f>M14*(1+INDEX([1]!tbl_Forecast,MATCH($D$8&amp;$D14&amp;$D$7,[1]!rng_ForecastRowLookup,0),MATCH(N$11,[1]!rng_ForecastColumnLookup,0)))</f>
        <v>1768.6963283082848</v>
      </c>
      <c r="O14" s="32">
        <f>N14*(1+INDEX([1]!tbl_Forecast,MATCH($D$8&amp;$D14&amp;$D$7,[1]!rng_ForecastRowLookup,0),MATCH(O$11,[1]!rng_ForecastColumnLookup,0)))</f>
        <v>1783.6795889194414</v>
      </c>
      <c r="P14" s="32">
        <f>O14*(1+INDEX([1]!tbl_Forecast,MATCH($D$8&amp;$D14&amp;$D$7,[1]!rng_ForecastRowLookup,0),MATCH(P$11,[1]!rng_ForecastColumnLookup,0)))</f>
        <v>1799.0083288528767</v>
      </c>
      <c r="Q14" s="32">
        <f>P14*(1+INDEX([1]!tbl_Forecast,MATCH($D$8&amp;$D14&amp;$D$7,[1]!rng_ForecastRowLookup,0),MATCH(Q$11,[1]!rng_ForecastColumnLookup,0)))</f>
        <v>1814.6356005003195</v>
      </c>
      <c r="R14" s="32">
        <f>Q14*(1+INDEX([1]!tbl_Forecast,MATCH($D$8&amp;$D14&amp;$D$7,[1]!rng_ForecastRowLookup,0),MATCH(R$11,[1]!rng_ForecastColumnLookup,0)))</f>
        <v>1830.5464707399738</v>
      </c>
      <c r="S14" s="32">
        <f>R14*(1+INDEX([1]!tbl_Forecast,MATCH($D$8&amp;$D14&amp;$D$7,[1]!rng_ForecastRowLookup,0),MATCH(S$11,[1]!rng_ForecastColumnLookup,0)))</f>
        <v>1846.7050463570879</v>
      </c>
      <c r="T14" s="32">
        <f>S14*(1+INDEX([1]!tbl_Forecast,MATCH($D$8&amp;$D14&amp;$D$7,[1]!rng_ForecastRowLookup,0),MATCH(T$11,[1]!rng_ForecastColumnLookup,0)))</f>
        <v>1863.0217133978149</v>
      </c>
      <c r="U14" s="32">
        <f>T14*(1+INDEX([1]!tbl_Forecast,MATCH($D$8&amp;$D14&amp;$D$7,[1]!rng_ForecastRowLookup,0),MATCH(U$11,[1]!rng_ForecastColumnLookup,0)))</f>
        <v>1879.567586668674</v>
      </c>
      <c r="V14" s="32">
        <f>U14*(1+INDEX([1]!tbl_Forecast,MATCH($D$8&amp;$D14&amp;$D$7,[1]!rng_ForecastRowLookup,0),MATCH(V$11,[1]!rng_ForecastColumnLookup,0)))</f>
        <v>1896.2918014902357</v>
      </c>
      <c r="W14" s="32">
        <f>V14*(1+INDEX([1]!tbl_Forecast,MATCH($D$8&amp;$D14&amp;$D$7,[1]!rng_ForecastRowLookup,0),MATCH(W$11,[1]!rng_ForecastColumnLookup,0)))</f>
        <v>1913.1913241804759</v>
      </c>
      <c r="X14" s="32">
        <f>W14*(1+INDEX([1]!tbl_Forecast,MATCH($D$8&amp;$D14&amp;$D$7,[1]!rng_ForecastRowLookup,0),MATCH(X$11,[1]!rng_ForecastColumnLookup,0)))</f>
        <v>1930.2216459054555</v>
      </c>
      <c r="Y14" s="32"/>
      <c r="AA14" s="41"/>
    </row>
    <row r="15" spans="1:68">
      <c r="B15" s="32" t="str">
        <f t="shared" si="1"/>
        <v>Oregon Wells</v>
      </c>
      <c r="C15" s="7" t="s">
        <v>310</v>
      </c>
      <c r="D15" s="7" t="s">
        <v>129</v>
      </c>
      <c r="E15" s="32">
        <f>VLOOKUP($D15,'[2]Depth of Wells'!A$33:C$36,3,FALSE)</f>
        <v>8601</v>
      </c>
      <c r="F15" s="32">
        <f>E15*(1+INDEX([1]!tbl_Forecast,MATCH($D$8&amp;$D15&amp;$D$7,[1]!rng_ForecastRowLookup,0),MATCH(F$11,[1]!rng_ForecastColumnLookup,0)))</f>
        <v>8687.9633578985231</v>
      </c>
      <c r="G15" s="32">
        <f>F15*(1+INDEX([1]!tbl_Forecast,MATCH($D$8&amp;$D15&amp;$D$7,[1]!rng_ForecastRowLookup,0),MATCH(G$11,[1]!rng_ForecastColumnLookup,0)))</f>
        <v>8775.3574709918703</v>
      </c>
      <c r="H15" s="32">
        <f>G15*(1+INDEX([1]!tbl_Forecast,MATCH($D$8&amp;$D15&amp;$D$7,[1]!rng_ForecastRowLookup,0),MATCH(H$11,[1]!rng_ForecastColumnLookup,0)))</f>
        <v>8873.4384659967527</v>
      </c>
      <c r="I15" s="32">
        <f>H15*(1+INDEX([1]!tbl_Forecast,MATCH($D$8&amp;$D15&amp;$D$7,[1]!rng_ForecastRowLookup,0),MATCH(I$11,[1]!rng_ForecastColumnLookup,0)))</f>
        <v>9049.1600785252904</v>
      </c>
      <c r="J15" s="32">
        <f>I15*(1+INDEX([1]!tbl_Forecast,MATCH($D$8&amp;$D15&amp;$D$7,[1]!rng_ForecastRowLookup,0),MATCH(J$11,[1]!rng_ForecastColumnLookup,0)))</f>
        <v>9158.463328083506</v>
      </c>
      <c r="K15" s="32">
        <f>J15*(1+INDEX([1]!tbl_Forecast,MATCH($D$8&amp;$D15&amp;$D$7,[1]!rng_ForecastRowLookup,0),MATCH(K$11,[1]!rng_ForecastColumnLookup,0)))</f>
        <v>9269.0510164732223</v>
      </c>
      <c r="L15" s="32">
        <f>K15*(1+INDEX([1]!tbl_Forecast,MATCH($D$8&amp;$D15&amp;$D$7,[1]!rng_ForecastRowLookup,0),MATCH(L$11,[1]!rng_ForecastColumnLookup,0)))</f>
        <v>9387.9081416444442</v>
      </c>
      <c r="M15" s="32">
        <f>L15*(1+INDEX([1]!tbl_Forecast,MATCH($D$8&amp;$D15&amp;$D$7,[1]!rng_ForecastRowLookup,0),MATCH(M$11,[1]!rng_ForecastColumnLookup,0)))</f>
        <v>9501.1699312979854</v>
      </c>
      <c r="N15" s="32">
        <f>M15*(1+INDEX([1]!tbl_Forecast,MATCH($D$8&amp;$D15&amp;$D$7,[1]!rng_ForecastRowLookup,0),MATCH(N$11,[1]!rng_ForecastColumnLookup,0)))</f>
        <v>9704.1133097443162</v>
      </c>
      <c r="O15" s="32">
        <f>N15*(1+INDEX([1]!tbl_Forecast,MATCH($D$8&amp;$D15&amp;$D$7,[1]!rng_ForecastRowLookup,0),MATCH(O$11,[1]!rng_ForecastColumnLookup,0)))</f>
        <v>9819.2456240805532</v>
      </c>
      <c r="P15" s="32">
        <f>O15*(1+INDEX([1]!tbl_Forecast,MATCH($D$8&amp;$D15&amp;$D$7,[1]!rng_ForecastRowLookup,0),MATCH(P$11,[1]!rng_ForecastColumnLookup,0)))</f>
        <v>9935.2286496567649</v>
      </c>
      <c r="Q15" s="32">
        <f>P15*(1+INDEX([1]!tbl_Forecast,MATCH($D$8&amp;$D15&amp;$D$7,[1]!rng_ForecastRowLookup,0),MATCH(Q$11,[1]!rng_ForecastColumnLookup,0)))</f>
        <v>10045.116880968701</v>
      </c>
      <c r="R15" s="32">
        <f>Q15*(1+INDEX([1]!tbl_Forecast,MATCH($D$8&amp;$D15&amp;$D$7,[1]!rng_ForecastRowLookup,0),MATCH(R$11,[1]!rng_ForecastColumnLookup,0)))</f>
        <v>10162.536273379201</v>
      </c>
      <c r="S15" s="32">
        <f>R15*(1+INDEX([1]!tbl_Forecast,MATCH($D$8&amp;$D15&amp;$D$7,[1]!rng_ForecastRowLookup,0),MATCH(S$11,[1]!rng_ForecastColumnLookup,0)))</f>
        <v>10361.957801956713</v>
      </c>
      <c r="T15" s="32">
        <f>S15*(1+INDEX([1]!tbl_Forecast,MATCH($D$8&amp;$D15&amp;$D$7,[1]!rng_ForecastRowLookup,0),MATCH(T$11,[1]!rng_ForecastColumnLookup,0)))</f>
        <v>10486.862449703831</v>
      </c>
      <c r="U15" s="32">
        <f>T15*(1+INDEX([1]!tbl_Forecast,MATCH($D$8&amp;$D15&amp;$D$7,[1]!rng_ForecastRowLookup,0),MATCH(U$11,[1]!rng_ForecastColumnLookup,0)))</f>
        <v>10619.161862580253</v>
      </c>
      <c r="V15" s="32">
        <f>U15*(1+INDEX([1]!tbl_Forecast,MATCH($D$8&amp;$D15&amp;$D$7,[1]!rng_ForecastRowLookup,0),MATCH(V$11,[1]!rng_ForecastColumnLookup,0)))</f>
        <v>10751.864019018643</v>
      </c>
      <c r="W15" s="32">
        <f>V15*(1+INDEX([1]!tbl_Forecast,MATCH($D$8&amp;$D15&amp;$D$7,[1]!rng_ForecastRowLookup,0),MATCH(W$11,[1]!rng_ForecastColumnLookup,0)))</f>
        <v>10878.235148454221</v>
      </c>
      <c r="X15" s="32">
        <f>W15*(1+INDEX([1]!tbl_Forecast,MATCH($D$8&amp;$D15&amp;$D$7,[1]!rng_ForecastRowLookup,0),MATCH(X$11,[1]!rng_ForecastColumnLookup,0)))</f>
        <v>11106.091367731122</v>
      </c>
      <c r="Y15" s="32"/>
      <c r="AA15" s="41"/>
    </row>
    <row r="16" spans="1:68">
      <c r="B16" s="32" t="str">
        <f t="shared" si="1"/>
        <v>Washington Wells</v>
      </c>
      <c r="C16" s="7" t="s">
        <v>310</v>
      </c>
      <c r="D16" s="7" t="s">
        <v>130</v>
      </c>
      <c r="E16" s="32">
        <f>VLOOKUP($D16,'[2]Depth of Wells'!A$33:C$36,3,FALSE)</f>
        <v>6771</v>
      </c>
      <c r="F16" s="32">
        <f>E16*(1+INDEX([1]!tbl_Forecast,MATCH($D$8&amp;$D16&amp;$D$7,[1]!rng_ForecastRowLookup,0),MATCH(F$11,[1]!rng_ForecastColumnLookup,0)))</f>
        <v>6843.1932294583166</v>
      </c>
      <c r="G16" s="32">
        <f>F16*(1+INDEX([1]!tbl_Forecast,MATCH($D$8&amp;$D16&amp;$D$7,[1]!rng_ForecastRowLookup,0),MATCH(G$11,[1]!rng_ForecastColumnLookup,0)))</f>
        <v>6917.9979463712789</v>
      </c>
      <c r="H16" s="32">
        <f>G16*(1+INDEX([1]!tbl_Forecast,MATCH($D$8&amp;$D16&amp;$D$7,[1]!rng_ForecastRowLookup,0),MATCH(H$11,[1]!rng_ForecastColumnLookup,0)))</f>
        <v>6995.2980055865573</v>
      </c>
      <c r="I16" s="32">
        <f>H16*(1+INDEX([1]!tbl_Forecast,MATCH($D$8&amp;$D16&amp;$D$7,[1]!rng_ForecastRowLookup,0),MATCH(I$11,[1]!rng_ForecastColumnLookup,0)))</f>
        <v>7122.0136252582533</v>
      </c>
      <c r="J16" s="32">
        <f>I16*(1+INDEX([1]!tbl_Forecast,MATCH($D$8&amp;$D16&amp;$D$7,[1]!rng_ForecastRowLookup,0),MATCH(J$11,[1]!rng_ForecastColumnLookup,0)))</f>
        <v>7210.3265173790996</v>
      </c>
      <c r="K16" s="32">
        <f>J16*(1+INDEX([1]!tbl_Forecast,MATCH($D$8&amp;$D16&amp;$D$7,[1]!rng_ForecastRowLookup,0),MATCH(K$11,[1]!rng_ForecastColumnLookup,0)))</f>
        <v>7296.4168278570842</v>
      </c>
      <c r="L16" s="32">
        <f>K16*(1+INDEX([1]!tbl_Forecast,MATCH($D$8&amp;$D16&amp;$D$7,[1]!rng_ForecastRowLookup,0),MATCH(L$11,[1]!rng_ForecastColumnLookup,0)))</f>
        <v>7386.0772762941715</v>
      </c>
      <c r="M16" s="32">
        <f>L16*(1+INDEX([1]!tbl_Forecast,MATCH($D$8&amp;$D16&amp;$D$7,[1]!rng_ForecastRowLookup,0),MATCH(M$11,[1]!rng_ForecastColumnLookup,0)))</f>
        <v>7473.5448745257117</v>
      </c>
      <c r="N16" s="32">
        <f>M16*(1+INDEX([1]!tbl_Forecast,MATCH($D$8&amp;$D16&amp;$D$7,[1]!rng_ForecastRowLookup,0),MATCH(N$11,[1]!rng_ForecastColumnLookup,0)))</f>
        <v>7620.6403643238364</v>
      </c>
      <c r="O16" s="32">
        <f>N16*(1+INDEX([1]!tbl_Forecast,MATCH($D$8&amp;$D16&amp;$D$7,[1]!rng_ForecastRowLookup,0),MATCH(O$11,[1]!rng_ForecastColumnLookup,0)))</f>
        <v>7708.9806181823324</v>
      </c>
      <c r="P16" s="32">
        <f>O16*(1+INDEX([1]!tbl_Forecast,MATCH($D$8&amp;$D16&amp;$D$7,[1]!rng_ForecastRowLookup,0),MATCH(P$11,[1]!rng_ForecastColumnLookup,0)))</f>
        <v>7794.919131695684</v>
      </c>
      <c r="Q16" s="32">
        <f>P16*(1+INDEX([1]!tbl_Forecast,MATCH($D$8&amp;$D16&amp;$D$7,[1]!rng_ForecastRowLookup,0),MATCH(Q$11,[1]!rng_ForecastColumnLookup,0)))</f>
        <v>7883.9837609090273</v>
      </c>
      <c r="R16" s="32">
        <f>Q16*(1+INDEX([1]!tbl_Forecast,MATCH($D$8&amp;$D16&amp;$D$7,[1]!rng_ForecastRowLookup,0),MATCH(R$11,[1]!rng_ForecastColumnLookup,0)))</f>
        <v>7970.5957088307296</v>
      </c>
      <c r="S16" s="32">
        <f>R16*(1+INDEX([1]!tbl_Forecast,MATCH($D$8&amp;$D16&amp;$D$7,[1]!rng_ForecastRowLookup,0),MATCH(S$11,[1]!rng_ForecastColumnLookup,0)))</f>
        <v>8113.5103102698904</v>
      </c>
      <c r="T16" s="32">
        <f>S16*(1+INDEX([1]!tbl_Forecast,MATCH($D$8&amp;$D16&amp;$D$7,[1]!rng_ForecastRowLookup,0),MATCH(T$11,[1]!rng_ForecastColumnLookup,0)))</f>
        <v>8208.733351029925</v>
      </c>
      <c r="U16" s="32">
        <f>T16*(1+INDEX([1]!tbl_Forecast,MATCH($D$8&amp;$D16&amp;$D$7,[1]!rng_ForecastRowLookup,0),MATCH(U$11,[1]!rng_ForecastColumnLookup,0)))</f>
        <v>8307.0911787157238</v>
      </c>
      <c r="V16" s="32">
        <f>U16*(1+INDEX([1]!tbl_Forecast,MATCH($D$8&amp;$D16&amp;$D$7,[1]!rng_ForecastRowLookup,0),MATCH(V$11,[1]!rng_ForecastColumnLookup,0)))</f>
        <v>8405.6350790598372</v>
      </c>
      <c r="W16" s="32">
        <f>V16*(1+INDEX([1]!tbl_Forecast,MATCH($D$8&amp;$D16&amp;$D$7,[1]!rng_ForecastRowLookup,0),MATCH(W$11,[1]!rng_ForecastColumnLookup,0)))</f>
        <v>8501.6109005924791</v>
      </c>
      <c r="X16" s="32">
        <f>W16*(1+INDEX([1]!tbl_Forecast,MATCH($D$8&amp;$D16&amp;$D$7,[1]!rng_ForecastRowLookup,0),MATCH(X$11,[1]!rng_ForecastColumnLookup,0)))</f>
        <v>8661.7655873360618</v>
      </c>
      <c r="Y16" s="32"/>
      <c r="AA16" s="41"/>
    </row>
    <row r="17" spans="1:27">
      <c r="B17" s="32" t="str">
        <f t="shared" si="1"/>
        <v>Idaho River</v>
      </c>
      <c r="C17" s="7" t="s">
        <v>319</v>
      </c>
      <c r="D17" s="7" t="s">
        <v>128</v>
      </c>
      <c r="E17" s="32">
        <f>VLOOKUP($D17,'[2]Depth of Wells'!A$22:C$25,3,FALSE)</f>
        <v>11621</v>
      </c>
      <c r="F17" s="32">
        <f>E17*(1+INDEX([1]!tbl_Forecast,MATCH($D$8&amp;$D17&amp;$D$7,[1]!rng_ForecastRowLookup,0),MATCH(F$11,[1]!rng_ForecastColumnLookup,0)))</f>
        <v>11622.453101485562</v>
      </c>
      <c r="G17" s="32">
        <f>F17*(1+INDEX([1]!tbl_Forecast,MATCH($D$8&amp;$D17&amp;$D$7,[1]!rng_ForecastRowLookup,0),MATCH(G$11,[1]!rng_ForecastColumnLookup,0)))</f>
        <v>11624.47260493314</v>
      </c>
      <c r="H17" s="32">
        <f>G17*(1+INDEX([1]!tbl_Forecast,MATCH($D$8&amp;$D17&amp;$D$7,[1]!rng_ForecastRowLookup,0),MATCH(H$11,[1]!rng_ForecastColumnLookup,0)))</f>
        <v>11631.588052464056</v>
      </c>
      <c r="I17" s="32">
        <f>H17*(1+INDEX([1]!tbl_Forecast,MATCH($D$8&amp;$D17&amp;$D$7,[1]!rng_ForecastRowLookup,0),MATCH(I$11,[1]!rng_ForecastColumnLookup,0)))</f>
        <v>11641.838678766168</v>
      </c>
      <c r="J17" s="32">
        <f>I17*(1+INDEX([1]!tbl_Forecast,MATCH($D$8&amp;$D17&amp;$D$7,[1]!rng_ForecastRowLookup,0),MATCH(J$11,[1]!rng_ForecastColumnLookup,0)))</f>
        <v>11654.879834059564</v>
      </c>
      <c r="K17" s="32">
        <f>J17*(1+INDEX([1]!tbl_Forecast,MATCH($D$8&amp;$D17&amp;$D$7,[1]!rng_ForecastRowLookup,0),MATCH(K$11,[1]!rng_ForecastColumnLookup,0)))</f>
        <v>11669.702355643152</v>
      </c>
      <c r="L17" s="32">
        <f>K17*(1+INDEX([1]!tbl_Forecast,MATCH($D$8&amp;$D17&amp;$D$7,[1]!rng_ForecastRowLookup,0),MATCH(L$11,[1]!rng_ForecastColumnLookup,0)))</f>
        <v>11686.512144704533</v>
      </c>
      <c r="M17" s="32">
        <f>L17*(1+INDEX([1]!tbl_Forecast,MATCH($D$8&amp;$D17&amp;$D$7,[1]!rng_ForecastRowLookup,0),MATCH(M$11,[1]!rng_ForecastColumnLookup,0)))</f>
        <v>11705.063777319117</v>
      </c>
      <c r="N17" s="32">
        <f>M17*(1+INDEX([1]!tbl_Forecast,MATCH($D$8&amp;$D17&amp;$D$7,[1]!rng_ForecastRowLookup,0),MATCH(N$11,[1]!rng_ForecastColumnLookup,0)))</f>
        <v>11725.201914021067</v>
      </c>
      <c r="O17" s="32">
        <f>N17*(1+INDEX([1]!tbl_Forecast,MATCH($D$8&amp;$D17&amp;$D$7,[1]!rng_ForecastRowLookup,0),MATCH(O$11,[1]!rng_ForecastColumnLookup,0)))</f>
        <v>11746.64619447545</v>
      </c>
      <c r="P17" s="32">
        <f>O17*(1+INDEX([1]!tbl_Forecast,MATCH($D$8&amp;$D17&amp;$D$7,[1]!rng_ForecastRowLookup,0),MATCH(P$11,[1]!rng_ForecastColumnLookup,0)))</f>
        <v>11769.408304823941</v>
      </c>
      <c r="Q17" s="32">
        <f>P17*(1+INDEX([1]!tbl_Forecast,MATCH($D$8&amp;$D17&amp;$D$7,[1]!rng_ForecastRowLookup,0),MATCH(Q$11,[1]!rng_ForecastColumnLookup,0)))</f>
        <v>11793.319174837077</v>
      </c>
      <c r="R17" s="32">
        <f>Q17*(1+INDEX([1]!tbl_Forecast,MATCH($D$8&amp;$D17&amp;$D$7,[1]!rng_ForecastRowLookup,0),MATCH(R$11,[1]!rng_ForecastColumnLookup,0)))</f>
        <v>11818.41629568339</v>
      </c>
      <c r="S17" s="32">
        <f>R17*(1+INDEX([1]!tbl_Forecast,MATCH($D$8&amp;$D17&amp;$D$7,[1]!rng_ForecastRowLookup,0),MATCH(S$11,[1]!rng_ForecastColumnLookup,0)))</f>
        <v>11844.566400488957</v>
      </c>
      <c r="T17" s="32">
        <f>S17*(1+INDEX([1]!tbl_Forecast,MATCH($D$8&amp;$D17&amp;$D$7,[1]!rng_ForecastRowLookup,0),MATCH(T$11,[1]!rng_ForecastColumnLookup,0)))</f>
        <v>11871.309329503967</v>
      </c>
      <c r="U17" s="32">
        <f>T17*(1+INDEX([1]!tbl_Forecast,MATCH($D$8&amp;$D17&amp;$D$7,[1]!rng_ForecastRowLookup,0),MATCH(U$11,[1]!rng_ForecastColumnLookup,0)))</f>
        <v>11899.16481097508</v>
      </c>
      <c r="V17" s="32">
        <f>U17*(1+INDEX([1]!tbl_Forecast,MATCH($D$8&amp;$D17&amp;$D$7,[1]!rng_ForecastRowLookup,0),MATCH(V$11,[1]!rng_ForecastColumnLookup,0)))</f>
        <v>11927.894951846294</v>
      </c>
      <c r="W17" s="32">
        <f>V17*(1+INDEX([1]!tbl_Forecast,MATCH($D$8&amp;$D17&amp;$D$7,[1]!rng_ForecastRowLookup,0),MATCH(W$11,[1]!rng_ForecastColumnLookup,0)))</f>
        <v>11957.533759652699</v>
      </c>
      <c r="X17" s="32">
        <f>W17*(1+INDEX([1]!tbl_Forecast,MATCH($D$8&amp;$D17&amp;$D$7,[1]!rng_ForecastRowLookup,0),MATCH(X$11,[1]!rng_ForecastColumnLookup,0)))</f>
        <v>11987.839071921004</v>
      </c>
      <c r="Y17" s="32"/>
      <c r="AA17" s="41"/>
    </row>
    <row r="18" spans="1:27">
      <c r="B18" s="32" t="str">
        <f t="shared" si="1"/>
        <v>Montana River</v>
      </c>
      <c r="C18" s="7" t="s">
        <v>319</v>
      </c>
      <c r="D18" s="7" t="s">
        <v>127</v>
      </c>
      <c r="E18" s="32">
        <f>VLOOKUP($D18,'[2]Depth of Wells'!A$22:C$25,3,FALSE)</f>
        <v>5487</v>
      </c>
      <c r="F18" s="32">
        <f>E18*(1+INDEX([1]!tbl_Forecast,MATCH($D$8&amp;$D18&amp;$D$7,[1]!rng_ForecastRowLookup,0),MATCH(F$11,[1]!rng_ForecastColumnLookup,0)))</f>
        <v>5546.5243054992216</v>
      </c>
      <c r="G18" s="32">
        <f>F18*(1+INDEX([1]!tbl_Forecast,MATCH($D$8&amp;$D18&amp;$D$7,[1]!rng_ForecastRowLookup,0),MATCH(G$11,[1]!rng_ForecastColumnLookup,0)))</f>
        <v>5605.2768434580921</v>
      </c>
      <c r="H18" s="32">
        <f>G18*(1+INDEX([1]!tbl_Forecast,MATCH($D$8&amp;$D18&amp;$D$7,[1]!rng_ForecastRowLookup,0),MATCH(H$11,[1]!rng_ForecastColumnLookup,0)))</f>
        <v>5665.5465294252181</v>
      </c>
      <c r="I18" s="32">
        <f>H18*(1+INDEX([1]!tbl_Forecast,MATCH($D$8&amp;$D18&amp;$D$7,[1]!rng_ForecastRowLookup,0),MATCH(I$11,[1]!rng_ForecastColumnLookup,0)))</f>
        <v>5726.4993022391718</v>
      </c>
      <c r="J18" s="32">
        <f>I18*(1+INDEX([1]!tbl_Forecast,MATCH($D$8&amp;$D18&amp;$D$7,[1]!rng_ForecastRowLookup,0),MATCH(J$11,[1]!rng_ForecastColumnLookup,0)))</f>
        <v>5770.3456162547927</v>
      </c>
      <c r="K18" s="32">
        <f>J18*(1+INDEX([1]!tbl_Forecast,MATCH($D$8&amp;$D18&amp;$D$7,[1]!rng_ForecastRowLookup,0),MATCH(K$11,[1]!rng_ForecastColumnLookup,0)))</f>
        <v>5814.5072649742442</v>
      </c>
      <c r="L18" s="32">
        <f>K18*(1+INDEX([1]!tbl_Forecast,MATCH($D$8&amp;$D18&amp;$D$7,[1]!rng_ForecastRowLookup,0),MATCH(L$11,[1]!rng_ForecastColumnLookup,0)))</f>
        <v>5860.5789085975775</v>
      </c>
      <c r="M18" s="32">
        <f>L18*(1+INDEX([1]!tbl_Forecast,MATCH($D$8&amp;$D18&amp;$D$7,[1]!rng_ForecastRowLookup,0),MATCH(M$11,[1]!rng_ForecastColumnLookup,0)))</f>
        <v>5908.3186298839319</v>
      </c>
      <c r="N18" s="32">
        <f>M18*(1+INDEX([1]!tbl_Forecast,MATCH($D$8&amp;$D18&amp;$D$7,[1]!rng_ForecastRowLookup,0),MATCH(N$11,[1]!rng_ForecastColumnLookup,0)))</f>
        <v>5957.542512846876</v>
      </c>
      <c r="O18" s="32">
        <f>N18*(1+INDEX([1]!tbl_Forecast,MATCH($D$8&amp;$D18&amp;$D$7,[1]!rng_ForecastRowLookup,0),MATCH(O$11,[1]!rng_ForecastColumnLookup,0)))</f>
        <v>6008.0109910380461</v>
      </c>
      <c r="P18" s="32">
        <f>O18*(1+INDEX([1]!tbl_Forecast,MATCH($D$8&amp;$D18&amp;$D$7,[1]!rng_ForecastRowLookup,0),MATCH(P$11,[1]!rng_ForecastColumnLookup,0)))</f>
        <v>6059.6431555652161</v>
      </c>
      <c r="Q18" s="32">
        <f>P18*(1+INDEX([1]!tbl_Forecast,MATCH($D$8&amp;$D18&amp;$D$7,[1]!rng_ForecastRowLookup,0),MATCH(Q$11,[1]!rng_ForecastColumnLookup,0)))</f>
        <v>6112.2808716668233</v>
      </c>
      <c r="R18" s="32">
        <f>Q18*(1+INDEX([1]!tbl_Forecast,MATCH($D$8&amp;$D18&amp;$D$7,[1]!rng_ForecastRowLookup,0),MATCH(R$11,[1]!rng_ForecastColumnLookup,0)))</f>
        <v>6165.8738397484585</v>
      </c>
      <c r="S18" s="32">
        <f>R18*(1+INDEX([1]!tbl_Forecast,MATCH($D$8&amp;$D18&amp;$D$7,[1]!rng_ForecastRowLookup,0),MATCH(S$11,[1]!rng_ForecastColumnLookup,0)))</f>
        <v>6220.3011598289404</v>
      </c>
      <c r="T18" s="32">
        <f>S18*(1+INDEX([1]!tbl_Forecast,MATCH($D$8&amp;$D18&amp;$D$7,[1]!rng_ForecastRowLookup,0),MATCH(T$11,[1]!rng_ForecastColumnLookup,0)))</f>
        <v>6275.2609830655701</v>
      </c>
      <c r="U18" s="32">
        <f>T18*(1+INDEX([1]!tbl_Forecast,MATCH($D$8&amp;$D18&amp;$D$7,[1]!rng_ForecastRowLookup,0),MATCH(U$11,[1]!rng_ForecastColumnLookup,0)))</f>
        <v>6330.9928471768062</v>
      </c>
      <c r="V18" s="32">
        <f>U18*(1+INDEX([1]!tbl_Forecast,MATCH($D$8&amp;$D18&amp;$D$7,[1]!rng_ForecastRowLookup,0),MATCH(V$11,[1]!rng_ForecastColumnLookup,0)))</f>
        <v>6387.3254234358046</v>
      </c>
      <c r="W18" s="32">
        <f>V18*(1+INDEX([1]!tbl_Forecast,MATCH($D$8&amp;$D18&amp;$D$7,[1]!rng_ForecastRowLookup,0),MATCH(W$11,[1]!rng_ForecastColumnLookup,0)))</f>
        <v>6444.2484934182157</v>
      </c>
      <c r="X18" s="32">
        <f>W18*(1+INDEX([1]!tbl_Forecast,MATCH($D$8&amp;$D18&amp;$D$7,[1]!rng_ForecastRowLookup,0),MATCH(X$11,[1]!rng_ForecastColumnLookup,0)))</f>
        <v>6501.6121369448965</v>
      </c>
      <c r="Y18" s="32"/>
      <c r="AA18" s="41"/>
    </row>
    <row r="19" spans="1:27">
      <c r="B19" s="32" t="str">
        <f t="shared" si="1"/>
        <v>Oregon River</v>
      </c>
      <c r="C19" s="7" t="s">
        <v>319</v>
      </c>
      <c r="D19" s="7" t="s">
        <v>129</v>
      </c>
      <c r="E19" s="32">
        <f>VLOOKUP($D19,'[2]Depth of Wells'!A$22:C$25,3,FALSE)</f>
        <v>8995</v>
      </c>
      <c r="F19" s="32">
        <f>E19*(1+INDEX([1]!tbl_Forecast,MATCH($D$8&amp;$D19&amp;$D$7,[1]!rng_ForecastRowLookup,0),MATCH(F$11,[1]!rng_ForecastColumnLookup,0)))</f>
        <v>9085.9470299148015</v>
      </c>
      <c r="G19" s="32">
        <f>F19*(1+INDEX([1]!tbl_Forecast,MATCH($D$8&amp;$D19&amp;$D$7,[1]!rng_ForecastRowLookup,0),MATCH(G$11,[1]!rng_ForecastColumnLookup,0)))</f>
        <v>9177.3445473284355</v>
      </c>
      <c r="H19" s="32">
        <f>G19*(1+INDEX([1]!tbl_Forecast,MATCH($D$8&amp;$D19&amp;$D$7,[1]!rng_ForecastRowLookup,0),MATCH(H$11,[1]!rng_ForecastColumnLookup,0)))</f>
        <v>9279.918498039855</v>
      </c>
      <c r="I19" s="32">
        <f>H19*(1+INDEX([1]!tbl_Forecast,MATCH($D$8&amp;$D19&amp;$D$7,[1]!rng_ForecastRowLookup,0),MATCH(I$11,[1]!rng_ForecastColumnLookup,0)))</f>
        <v>9463.689676355656</v>
      </c>
      <c r="J19" s="32">
        <f>I19*(1+INDEX([1]!tbl_Forecast,MATCH($D$8&amp;$D19&amp;$D$7,[1]!rng_ForecastRowLookup,0),MATCH(J$11,[1]!rng_ForecastColumnLookup,0)))</f>
        <v>9577.9999576922619</v>
      </c>
      <c r="K19" s="32">
        <f>J19*(1+INDEX([1]!tbl_Forecast,MATCH($D$8&amp;$D19&amp;$D$7,[1]!rng_ForecastRowLookup,0),MATCH(K$11,[1]!rng_ForecastColumnLookup,0)))</f>
        <v>9693.6535162395812</v>
      </c>
      <c r="L19" s="32">
        <f>K19*(1+INDEX([1]!tbl_Forecast,MATCH($D$8&amp;$D19&amp;$D$7,[1]!rng_ForecastRowLookup,0),MATCH(L$11,[1]!rng_ForecastColumnLookup,0)))</f>
        <v>9817.9553231126356</v>
      </c>
      <c r="M19" s="32">
        <f>L19*(1+INDEX([1]!tbl_Forecast,MATCH($D$8&amp;$D19&amp;$D$7,[1]!rng_ForecastRowLookup,0),MATCH(M$11,[1]!rng_ForecastColumnLookup,0)))</f>
        <v>9936.4054798308789</v>
      </c>
      <c r="N19" s="32">
        <f>M19*(1+INDEX([1]!tbl_Forecast,MATCH($D$8&amp;$D19&amp;$D$7,[1]!rng_ForecastRowLookup,0),MATCH(N$11,[1]!rng_ForecastColumnLookup,0)))</f>
        <v>10148.645415783065</v>
      </c>
      <c r="O19" s="32">
        <f>N19*(1+INDEX([1]!tbl_Forecast,MATCH($D$8&amp;$D19&amp;$D$7,[1]!rng_ForecastRowLookup,0),MATCH(O$11,[1]!rng_ForecastColumnLookup,0)))</f>
        <v>10269.051783351308</v>
      </c>
      <c r="P19" s="32">
        <f>O19*(1+INDEX([1]!tbl_Forecast,MATCH($D$8&amp;$D19&amp;$D$7,[1]!rng_ForecastRowLookup,0),MATCH(P$11,[1]!rng_ForecastColumnLookup,0)))</f>
        <v>10390.347832073319</v>
      </c>
      <c r="Q19" s="32">
        <f>P19*(1+INDEX([1]!tbl_Forecast,MATCH($D$8&amp;$D19&amp;$D$7,[1]!rng_ForecastRowLookup,0),MATCH(Q$11,[1]!rng_ForecastColumnLookup,0)))</f>
        <v>10505.269892374547</v>
      </c>
      <c r="R19" s="32">
        <f>Q19*(1+INDEX([1]!tbl_Forecast,MATCH($D$8&amp;$D19&amp;$D$7,[1]!rng_ForecastRowLookup,0),MATCH(R$11,[1]!rng_ForecastColumnLookup,0)))</f>
        <v>10628.068105923256</v>
      </c>
      <c r="S19" s="32">
        <f>R19*(1+INDEX([1]!tbl_Forecast,MATCH($D$8&amp;$D19&amp;$D$7,[1]!rng_ForecastRowLookup,0),MATCH(S$11,[1]!rng_ForecastColumnLookup,0)))</f>
        <v>10836.62486089997</v>
      </c>
      <c r="T19" s="32">
        <f>S19*(1+INDEX([1]!tbl_Forecast,MATCH($D$8&amp;$D19&amp;$D$7,[1]!rng_ForecastRowLookup,0),MATCH(T$11,[1]!rng_ForecastColumnLookup,0)))</f>
        <v>10967.251219054293</v>
      </c>
      <c r="U19" s="32">
        <f>T19*(1+INDEX([1]!tbl_Forecast,MATCH($D$8&amp;$D19&amp;$D$7,[1]!rng_ForecastRowLookup,0),MATCH(U$11,[1]!rng_ForecastColumnLookup,0)))</f>
        <v>11105.611086374769</v>
      </c>
      <c r="V19" s="32">
        <f>U19*(1+INDEX([1]!tbl_Forecast,MATCH($D$8&amp;$D19&amp;$D$7,[1]!rng_ForecastRowLookup,0),MATCH(V$11,[1]!rng_ForecastColumnLookup,0)))</f>
        <v>11244.392146386783</v>
      </c>
      <c r="W19" s="32">
        <f>V19*(1+INDEX([1]!tbl_Forecast,MATCH($D$8&amp;$D19&amp;$D$7,[1]!rng_ForecastRowLookup,0),MATCH(W$11,[1]!rng_ForecastColumnLookup,0)))</f>
        <v>11376.552163742093</v>
      </c>
      <c r="X19" s="32">
        <f>W19*(1+INDEX([1]!tbl_Forecast,MATCH($D$8&amp;$D19&amp;$D$7,[1]!rng_ForecastRowLookup,0),MATCH(X$11,[1]!rng_ForecastColumnLookup,0)))</f>
        <v>11614.846163555572</v>
      </c>
      <c r="Y19" s="32"/>
      <c r="AA19" s="41"/>
    </row>
    <row r="20" spans="1:27">
      <c r="B20" s="32" t="str">
        <f t="shared" si="1"/>
        <v>Washington River</v>
      </c>
      <c r="C20" s="7" t="s">
        <v>319</v>
      </c>
      <c r="D20" s="7" t="s">
        <v>130</v>
      </c>
      <c r="E20" s="32">
        <f>VLOOKUP($D20,'[2]Depth of Wells'!A$22:C$25,3,FALSE)</f>
        <v>8101</v>
      </c>
      <c r="F20" s="32">
        <f>E20*(1+INDEX([1]!tbl_Forecast,MATCH($D$8&amp;$D20&amp;$D$7,[1]!rng_ForecastRowLookup,0),MATCH(F$11,[1]!rng_ForecastColumnLookup,0)))</f>
        <v>8187.3738519925901</v>
      </c>
      <c r="G20" s="32">
        <f>F20*(1+INDEX([1]!tbl_Forecast,MATCH($D$8&amp;$D20&amp;$D$7,[1]!rng_ForecastRowLookup,0),MATCH(G$11,[1]!rng_ForecastColumnLookup,0)))</f>
        <v>8276.8721553025753</v>
      </c>
      <c r="H20" s="32">
        <f>G20*(1+INDEX([1]!tbl_Forecast,MATCH($D$8&amp;$D20&amp;$D$7,[1]!rng_ForecastRowLookup,0),MATCH(H$11,[1]!rng_ForecastColumnLookup,0)))</f>
        <v>8369.3559508575854</v>
      </c>
      <c r="I20" s="32">
        <f>H20*(1+INDEX([1]!tbl_Forecast,MATCH($D$8&amp;$D20&amp;$D$7,[1]!rng_ForecastRowLookup,0),MATCH(I$11,[1]!rng_ForecastColumnLookup,0)))</f>
        <v>8520.9618044922645</v>
      </c>
      <c r="J20" s="32">
        <f>I20*(1+INDEX([1]!tbl_Forecast,MATCH($D$8&amp;$D20&amp;$D$7,[1]!rng_ForecastRowLookup,0),MATCH(J$11,[1]!rng_ForecastColumnLookup,0)))</f>
        <v>8626.621638943745</v>
      </c>
      <c r="K20" s="32">
        <f>J20*(1+INDEX([1]!tbl_Forecast,MATCH($D$8&amp;$D20&amp;$D$7,[1]!rng_ForecastRowLookup,0),MATCH(K$11,[1]!rng_ForecastColumnLookup,0)))</f>
        <v>8729.6223190769815</v>
      </c>
      <c r="L20" s="32">
        <f>K20*(1+INDEX([1]!tbl_Forecast,MATCH($D$8&amp;$D20&amp;$D$7,[1]!rng_ForecastRowLookup,0),MATCH(L$11,[1]!rng_ForecastColumnLookup,0)))</f>
        <v>8836.8944048529156</v>
      </c>
      <c r="M20" s="32">
        <f>L20*(1+INDEX([1]!tbl_Forecast,MATCH($D$8&amp;$D20&amp;$D$7,[1]!rng_ForecastRowLookup,0),MATCH(M$11,[1]!rng_ForecastColumnLookup,0)))</f>
        <v>8941.5429077732679</v>
      </c>
      <c r="N20" s="32">
        <f>M20*(1+INDEX([1]!tbl_Forecast,MATCH($D$8&amp;$D20&amp;$D$7,[1]!rng_ForecastRowLookup,0),MATCH(N$11,[1]!rng_ForecastColumnLookup,0)))</f>
        <v>9117.5317665614257</v>
      </c>
      <c r="O20" s="32">
        <f>N20*(1+INDEX([1]!tbl_Forecast,MATCH($D$8&amp;$D20&amp;$D$7,[1]!rng_ForecastRowLookup,0),MATCH(O$11,[1]!rng_ForecastColumnLookup,0)))</f>
        <v>9223.2243373054334</v>
      </c>
      <c r="P20" s="32">
        <f>O20*(1+INDEX([1]!tbl_Forecast,MATCH($D$8&amp;$D20&amp;$D$7,[1]!rng_ForecastRowLookup,0),MATCH(P$11,[1]!rng_ForecastColumnLookup,0)))</f>
        <v>9326.0434036134629</v>
      </c>
      <c r="Q20" s="32">
        <f>P20*(1+INDEX([1]!tbl_Forecast,MATCH($D$8&amp;$D20&amp;$D$7,[1]!rng_ForecastRowLookup,0),MATCH(Q$11,[1]!rng_ForecastColumnLookup,0)))</f>
        <v>9432.6026358180552</v>
      </c>
      <c r="R20" s="32">
        <f>Q20*(1+INDEX([1]!tbl_Forecast,MATCH($D$8&amp;$D20&amp;$D$7,[1]!rng_ForecastRowLookup,0),MATCH(R$11,[1]!rng_ForecastColumnLookup,0)))</f>
        <v>9536.2274165171693</v>
      </c>
      <c r="S20" s="32">
        <f>R20*(1+INDEX([1]!tbl_Forecast,MATCH($D$8&amp;$D20&amp;$D$7,[1]!rng_ForecastRowLookup,0),MATCH(S$11,[1]!rng_ForecastColumnLookup,0)))</f>
        <v>9707.2141520449568</v>
      </c>
      <c r="T20" s="32">
        <f>S20*(1+INDEX([1]!tbl_Forecast,MATCH($D$8&amp;$D20&amp;$D$7,[1]!rng_ForecastRowLookup,0),MATCH(T$11,[1]!rng_ForecastColumnLookup,0)))</f>
        <v>9821.1414675370615</v>
      </c>
      <c r="U20" s="32">
        <f>T20*(1+INDEX([1]!tbl_Forecast,MATCH($D$8&amp;$D20&amp;$D$7,[1]!rng_ForecastRowLookup,0),MATCH(U$11,[1]!rng_ForecastColumnLookup,0)))</f>
        <v>9938.819323405125</v>
      </c>
      <c r="V20" s="32">
        <f>U20*(1+INDEX([1]!tbl_Forecast,MATCH($D$8&amp;$D20&amp;$D$7,[1]!rng_ForecastRowLookup,0),MATCH(V$11,[1]!rng_ForecastColumnLookup,0)))</f>
        <v>10056.719801427229</v>
      </c>
      <c r="W20" s="32">
        <f>V20*(1+INDEX([1]!tbl_Forecast,MATCH($D$8&amp;$D20&amp;$D$7,[1]!rng_ForecastRowLookup,0),MATCH(W$11,[1]!rng_ForecastColumnLookup,0)))</f>
        <v>10171.547763358396</v>
      </c>
      <c r="X20" s="32">
        <f>W20*(1+INDEX([1]!tbl_Forecast,MATCH($D$8&amp;$D20&amp;$D$7,[1]!rng_ForecastRowLookup,0),MATCH(X$11,[1]!rng_ForecastColumnLookup,0)))</f>
        <v>10363.160984051019</v>
      </c>
      <c r="Y20" s="32"/>
      <c r="AA20" s="41"/>
    </row>
    <row r="21" spans="1:27">
      <c r="E21" s="32"/>
      <c r="F21" s="32"/>
      <c r="G21" s="32"/>
      <c r="H21" s="32"/>
      <c r="I21" s="32"/>
      <c r="J21" s="32"/>
      <c r="K21" s="32"/>
      <c r="L21" s="32"/>
      <c r="M21" s="32"/>
      <c r="N21" s="32"/>
      <c r="O21" s="32"/>
      <c r="P21" s="32"/>
      <c r="Q21" s="32"/>
      <c r="R21" s="32"/>
      <c r="S21" s="32"/>
      <c r="T21" s="32"/>
      <c r="U21" s="32"/>
      <c r="V21" s="32"/>
      <c r="W21" s="32"/>
      <c r="X21" s="32"/>
      <c r="Y21" s="32"/>
    </row>
    <row r="22" spans="1:27">
      <c r="B22" s="7" t="s">
        <v>321</v>
      </c>
      <c r="C22" s="7" t="s">
        <v>29</v>
      </c>
      <c r="E22" s="32">
        <f>SUM(E13:E16)</f>
        <v>26142</v>
      </c>
      <c r="F22" s="32">
        <f t="shared" ref="F22:X22" si="2">SUM(F13:F16)</f>
        <v>26319.971373863598</v>
      </c>
      <c r="G22" s="32">
        <f t="shared" si="2"/>
        <v>26501.201393247378</v>
      </c>
      <c r="H22" s="32">
        <f t="shared" si="2"/>
        <v>26700.072488269761</v>
      </c>
      <c r="I22" s="32">
        <f t="shared" si="2"/>
        <v>27028.668668931699</v>
      </c>
      <c r="J22" s="32">
        <f t="shared" si="2"/>
        <v>27249.560144208088</v>
      </c>
      <c r="K22" s="32">
        <f t="shared" si="2"/>
        <v>27471.00830503257</v>
      </c>
      <c r="L22" s="32">
        <f t="shared" si="2"/>
        <v>27706.426257808605</v>
      </c>
      <c r="M22" s="32">
        <f t="shared" si="2"/>
        <v>27935.921372025656</v>
      </c>
      <c r="N22" s="32">
        <f t="shared" si="2"/>
        <v>28316.414523163508</v>
      </c>
      <c r="O22" s="32">
        <f t="shared" si="2"/>
        <v>28551.738277933906</v>
      </c>
      <c r="P22" s="32">
        <f t="shared" si="2"/>
        <v>28786.893079002817</v>
      </c>
      <c r="Q22" s="32">
        <f t="shared" si="2"/>
        <v>29020.281339803892</v>
      </c>
      <c r="R22" s="32">
        <f t="shared" si="2"/>
        <v>29259.964775886128</v>
      </c>
      <c r="S22" s="32">
        <f t="shared" si="2"/>
        <v>29639.028977090667</v>
      </c>
      <c r="T22" s="32">
        <f t="shared" si="2"/>
        <v>29896.50913972281</v>
      </c>
      <c r="U22" s="32">
        <f t="shared" si="2"/>
        <v>30165.623186877245</v>
      </c>
      <c r="V22" s="32">
        <f t="shared" si="2"/>
        <v>30436.192392970916</v>
      </c>
      <c r="W22" s="32">
        <f t="shared" si="2"/>
        <v>30698.752552384336</v>
      </c>
      <c r="X22" s="32">
        <f t="shared" si="2"/>
        <v>31127.631733786504</v>
      </c>
      <c r="Y22" s="32"/>
      <c r="AA22" s="41"/>
    </row>
    <row r="23" spans="1:27">
      <c r="D23" s="32"/>
      <c r="E23" s="32"/>
      <c r="F23" s="32"/>
      <c r="G23" s="32"/>
      <c r="H23" s="32"/>
      <c r="I23" s="32"/>
      <c r="J23" s="32"/>
      <c r="K23" s="32"/>
      <c r="L23" s="32"/>
      <c r="M23" s="32"/>
      <c r="N23" s="32"/>
      <c r="O23" s="32"/>
      <c r="P23" s="32"/>
      <c r="Q23" s="32"/>
      <c r="R23" s="32"/>
      <c r="S23" s="32"/>
      <c r="T23" s="32"/>
      <c r="U23" s="32"/>
      <c r="V23" s="32"/>
      <c r="W23" s="32"/>
      <c r="X23" s="32"/>
    </row>
    <row r="24" spans="1:27">
      <c r="D24" s="32"/>
      <c r="E24" s="32"/>
      <c r="F24" s="32"/>
      <c r="G24" s="32"/>
      <c r="H24" s="32"/>
      <c r="I24" s="32"/>
      <c r="J24" s="32"/>
      <c r="K24" s="32"/>
      <c r="L24" s="32"/>
      <c r="M24" s="32"/>
      <c r="N24" s="32"/>
      <c r="O24" s="32"/>
      <c r="P24" s="32"/>
      <c r="Q24" s="32"/>
      <c r="R24" s="32"/>
      <c r="S24" s="32"/>
      <c r="T24" s="32"/>
      <c r="U24" s="32"/>
      <c r="V24" s="32"/>
      <c r="W24" s="32"/>
      <c r="X24" s="32"/>
    </row>
    <row r="25" spans="1:27" ht="15">
      <c r="A25" s="49" t="str">
        <f>CONCATENATE("# ACRES APPLICABLE BY YEAR FOR MEASURE - ",C26)</f>
        <v># ACRES APPLICABLE BY YEAR FOR MEASURE - Irrigation Motor - Retro</v>
      </c>
      <c r="B25" s="49"/>
      <c r="D25" s="32"/>
      <c r="E25" s="32"/>
      <c r="F25" s="32"/>
      <c r="G25" s="32"/>
      <c r="H25" s="32"/>
      <c r="I25" s="32"/>
      <c r="J25" s="32"/>
      <c r="K25" s="32"/>
      <c r="L25" s="32"/>
      <c r="M25" s="32"/>
      <c r="N25" s="32"/>
      <c r="O25" s="32"/>
      <c r="P25" s="32"/>
      <c r="Q25" s="32"/>
      <c r="R25" s="32"/>
      <c r="S25" s="32"/>
      <c r="T25" s="32"/>
      <c r="U25" s="32"/>
      <c r="V25" s="32"/>
      <c r="W25" s="32"/>
      <c r="X25" s="32"/>
      <c r="AA25" s="40">
        <v>0.85</v>
      </c>
    </row>
    <row r="26" spans="1:27" ht="15">
      <c r="A26" s="57" t="s">
        <v>30</v>
      </c>
      <c r="B26" s="57" t="s">
        <v>309</v>
      </c>
      <c r="C26" s="57" t="str">
        <f>CONCATENATE(C8," - ",C7)</f>
        <v>Irrigation Motor - Retro</v>
      </c>
      <c r="D26" s="7">
        <v>2</v>
      </c>
      <c r="E26" s="7">
        <v>3</v>
      </c>
      <c r="F26" s="7">
        <v>4</v>
      </c>
      <c r="G26" s="7">
        <v>5</v>
      </c>
      <c r="H26" s="7">
        <v>6</v>
      </c>
      <c r="I26" s="7">
        <v>7</v>
      </c>
      <c r="J26" s="7">
        <v>8</v>
      </c>
      <c r="K26" s="7">
        <v>9</v>
      </c>
      <c r="L26" s="7">
        <v>10</v>
      </c>
      <c r="M26" s="7">
        <v>11</v>
      </c>
      <c r="N26" s="7">
        <v>12</v>
      </c>
      <c r="O26" s="7">
        <v>13</v>
      </c>
      <c r="P26" s="7">
        <v>14</v>
      </c>
      <c r="Q26" s="7">
        <v>15</v>
      </c>
      <c r="R26" s="7">
        <v>16</v>
      </c>
      <c r="S26" s="7">
        <v>17</v>
      </c>
      <c r="T26" s="7">
        <v>18</v>
      </c>
      <c r="U26" s="7">
        <v>19</v>
      </c>
      <c r="V26" s="7">
        <v>20</v>
      </c>
      <c r="W26" s="7">
        <v>21</v>
      </c>
      <c r="X26" s="7">
        <v>22</v>
      </c>
      <c r="Y26" s="7">
        <v>23</v>
      </c>
      <c r="AA26" s="38" t="s">
        <v>31</v>
      </c>
    </row>
    <row r="27" spans="1:27">
      <c r="A27" s="50">
        <f>INDEX([2]APPLIC!$B$8:$F$67,MATCH($C27,[2]APPLIC!$B$9:$B$67,0)+1,MATCH($D27,[2]APPLIC!$C$8:$F$8,0)+1)</f>
        <v>0.51800000000000002</v>
      </c>
      <c r="B27" s="75" t="s">
        <v>310</v>
      </c>
      <c r="C27" t="s">
        <v>294</v>
      </c>
      <c r="D27" s="7" t="s">
        <v>128</v>
      </c>
      <c r="E27" s="32">
        <f>$A27*VLOOKUP(CONCATENATE($D27," ",$B27),$B$13:$X$20,E$26+1,FALSE)</f>
        <v>4735.0380000000005</v>
      </c>
      <c r="F27" s="32">
        <f t="shared" ref="F27:U34" si="3">$A27*VLOOKUP(CONCATENATE($D27," ",$B27),$B$13:$X$20,F$26+1,FALSE)</f>
        <v>4735.6300738965665</v>
      </c>
      <c r="G27" s="32">
        <f t="shared" si="3"/>
        <v>4736.4529312724726</v>
      </c>
      <c r="H27" s="32">
        <f t="shared" si="3"/>
        <v>4739.3521580555289</v>
      </c>
      <c r="I27" s="32">
        <f t="shared" si="3"/>
        <v>4743.5288300342136</v>
      </c>
      <c r="J27" s="32">
        <f t="shared" si="3"/>
        <v>4748.8425178302841</v>
      </c>
      <c r="K27" s="32">
        <f t="shared" si="3"/>
        <v>4754.8820327562034</v>
      </c>
      <c r="L27" s="32">
        <f t="shared" si="3"/>
        <v>4761.7312703414054</v>
      </c>
      <c r="M27" s="32">
        <f t="shared" si="3"/>
        <v>4769.2902313079385</v>
      </c>
      <c r="N27" s="32">
        <f t="shared" si="3"/>
        <v>4777.4956217677027</v>
      </c>
      <c r="O27" s="32">
        <f t="shared" si="3"/>
        <v>4786.2332074173173</v>
      </c>
      <c r="P27" s="32">
        <f t="shared" si="3"/>
        <v>4795.5077498371011</v>
      </c>
      <c r="Q27" s="32">
        <f t="shared" si="3"/>
        <v>4805.2503604665872</v>
      </c>
      <c r="R27" s="32">
        <f t="shared" si="3"/>
        <v>4815.4763152809655</v>
      </c>
      <c r="S27" s="32">
        <f t="shared" si="3"/>
        <v>4826.1313139866133</v>
      </c>
      <c r="T27" s="32">
        <f t="shared" si="3"/>
        <v>4837.0278620562622</v>
      </c>
      <c r="U27" s="32">
        <f t="shared" si="3"/>
        <v>4848.3777255167224</v>
      </c>
      <c r="V27" s="32">
        <f t="shared" ref="V27:X34" si="4">$A27*VLOOKUP(CONCATENATE($D27," ",$B27),$B$13:$X$20,V$26+1,FALSE)</f>
        <v>4860.0839735823401</v>
      </c>
      <c r="W27" s="32">
        <f t="shared" si="4"/>
        <v>4872.1604628034074</v>
      </c>
      <c r="X27" s="32">
        <f t="shared" si="4"/>
        <v>4884.5085227975815</v>
      </c>
      <c r="Y27" s="32"/>
      <c r="Z27" s="32" t="str">
        <f>CONCATENATE(D27," ",B27)</f>
        <v>Idaho Wells</v>
      </c>
      <c r="AA27" s="41">
        <f>VLOOKUP(Z27,$B$13:$X$20,$X$26+1,FALSE)*$AA$25*A27</f>
        <v>4151.8322443779443</v>
      </c>
    </row>
    <row r="28" spans="1:27">
      <c r="A28" s="50">
        <f>INDEX([2]APPLIC!$B$8:$F$67,MATCH($C28,[2]APPLIC!$B$9:$B$67,0)+1,MATCH($D28,[2]APPLIC!$C$8:$F$8,0)+1)</f>
        <v>0.51800000000000002</v>
      </c>
      <c r="B28" s="75" t="s">
        <v>310</v>
      </c>
      <c r="C28" t="s">
        <v>294</v>
      </c>
      <c r="D28" s="7" t="s">
        <v>127</v>
      </c>
      <c r="E28" s="32">
        <f t="shared" ref="E28:E34" si="5">$A28*VLOOKUP(CONCATENATE($D28," ",$B28),$B$13:$X$20,E$26+1,FALSE)</f>
        <v>843.822</v>
      </c>
      <c r="F28" s="32">
        <f t="shared" si="3"/>
        <v>852.97598551393548</v>
      </c>
      <c r="G28" s="32">
        <f t="shared" si="3"/>
        <v>862.01128423555576</v>
      </c>
      <c r="H28" s="32">
        <f t="shared" si="3"/>
        <v>871.2798985880529</v>
      </c>
      <c r="I28" s="32">
        <f t="shared" si="3"/>
        <v>880.65356191253181</v>
      </c>
      <c r="J28" s="32">
        <f t="shared" si="3"/>
        <v>887.39649691987449</v>
      </c>
      <c r="K28" s="32">
        <f t="shared" si="3"/>
        <v>894.18792588756992</v>
      </c>
      <c r="L28" s="32">
        <f t="shared" si="3"/>
        <v>901.27308471124923</v>
      </c>
      <c r="M28" s="32">
        <f t="shared" si="3"/>
        <v>908.61476998467617</v>
      </c>
      <c r="N28" s="32">
        <f t="shared" si="3"/>
        <v>916.1846980636916</v>
      </c>
      <c r="O28" s="32">
        <f t="shared" si="3"/>
        <v>923.94602706027069</v>
      </c>
      <c r="P28" s="32">
        <f t="shared" si="3"/>
        <v>931.8863143457902</v>
      </c>
      <c r="Q28" s="32">
        <f t="shared" si="3"/>
        <v>939.98124105916554</v>
      </c>
      <c r="R28" s="32">
        <f t="shared" si="3"/>
        <v>948.22307184330646</v>
      </c>
      <c r="S28" s="32">
        <f t="shared" si="3"/>
        <v>956.59321401297154</v>
      </c>
      <c r="T28" s="32">
        <f t="shared" si="3"/>
        <v>965.04524754006809</v>
      </c>
      <c r="U28" s="32">
        <f t="shared" si="3"/>
        <v>973.61600989437318</v>
      </c>
      <c r="V28" s="32">
        <f t="shared" si="4"/>
        <v>982.27915317194208</v>
      </c>
      <c r="W28" s="32">
        <f t="shared" si="4"/>
        <v>991.03310592548655</v>
      </c>
      <c r="X28" s="32">
        <f t="shared" si="4"/>
        <v>999.85481257902597</v>
      </c>
      <c r="Y28" s="32"/>
      <c r="Z28" s="32" t="str">
        <f t="shared" ref="Z28:Z34" si="6">CONCATENATE(D28," ",B28)</f>
        <v>Montana Wells</v>
      </c>
      <c r="AA28" s="41">
        <f t="shared" ref="AA28:AA34" si="7">VLOOKUP(Z28,$B$13:$X$20,$X$26+1,FALSE)*$AA$25*A28</f>
        <v>849.87659069217204</v>
      </c>
    </row>
    <row r="29" spans="1:27">
      <c r="A29" s="50">
        <f>INDEX([2]APPLIC!$B$8:$F$67,MATCH($C29,[2]APPLIC!$B$9:$B$67,0)+1,MATCH($D29,[2]APPLIC!$C$8:$F$8,0)+1)</f>
        <v>0.51800000000000002</v>
      </c>
      <c r="B29" s="75" t="s">
        <v>310</v>
      </c>
      <c r="C29" t="s">
        <v>294</v>
      </c>
      <c r="D29" s="7" t="s">
        <v>129</v>
      </c>
      <c r="E29" s="32">
        <f t="shared" si="5"/>
        <v>4455.3180000000002</v>
      </c>
      <c r="F29" s="32">
        <f t="shared" si="3"/>
        <v>4500.3650193914355</v>
      </c>
      <c r="G29" s="32">
        <f t="shared" si="3"/>
        <v>4545.6351699737888</v>
      </c>
      <c r="H29" s="32">
        <f t="shared" si="3"/>
        <v>4596.4411253863182</v>
      </c>
      <c r="I29" s="32">
        <f t="shared" si="3"/>
        <v>4687.4649206761005</v>
      </c>
      <c r="J29" s="32">
        <f t="shared" si="3"/>
        <v>4744.084003947256</v>
      </c>
      <c r="K29" s="32">
        <f t="shared" si="3"/>
        <v>4801.3684265331294</v>
      </c>
      <c r="L29" s="32">
        <f t="shared" si="3"/>
        <v>4862.9364173718222</v>
      </c>
      <c r="M29" s="32">
        <f t="shared" si="3"/>
        <v>4921.6060244123564</v>
      </c>
      <c r="N29" s="32">
        <f t="shared" si="3"/>
        <v>5026.7306944475558</v>
      </c>
      <c r="O29" s="32">
        <f t="shared" si="3"/>
        <v>5086.3692332737264</v>
      </c>
      <c r="P29" s="32">
        <f t="shared" si="3"/>
        <v>5146.4484405222047</v>
      </c>
      <c r="Q29" s="32">
        <f t="shared" si="3"/>
        <v>5203.3705443417866</v>
      </c>
      <c r="R29" s="32">
        <f t="shared" si="3"/>
        <v>5264.1937896104264</v>
      </c>
      <c r="S29" s="32">
        <f t="shared" si="3"/>
        <v>5367.4941414135774</v>
      </c>
      <c r="T29" s="32">
        <f t="shared" si="3"/>
        <v>5432.1947489465847</v>
      </c>
      <c r="U29" s="32">
        <f t="shared" si="3"/>
        <v>5500.7258448165712</v>
      </c>
      <c r="V29" s="32">
        <f t="shared" si="4"/>
        <v>5569.4655618516572</v>
      </c>
      <c r="W29" s="32">
        <f t="shared" si="4"/>
        <v>5634.9258068992867</v>
      </c>
      <c r="X29" s="32">
        <f t="shared" si="4"/>
        <v>5752.9553284847216</v>
      </c>
      <c r="Y29" s="32"/>
      <c r="Z29" s="32" t="str">
        <f t="shared" si="6"/>
        <v>Oregon Wells</v>
      </c>
      <c r="AA29" s="41">
        <f t="shared" si="7"/>
        <v>4890.0120292120127</v>
      </c>
    </row>
    <row r="30" spans="1:27">
      <c r="A30" s="50">
        <f>INDEX([2]APPLIC!$B$8:$F$67,MATCH($C30,[2]APPLIC!$B$9:$B$67,0)+1,MATCH($D30,[2]APPLIC!$C$8:$F$8,0)+1)</f>
        <v>0.51800000000000002</v>
      </c>
      <c r="B30" s="75" t="s">
        <v>310</v>
      </c>
      <c r="C30" t="s">
        <v>294</v>
      </c>
      <c r="D30" s="7" t="s">
        <v>130</v>
      </c>
      <c r="E30" s="32">
        <f t="shared" si="5"/>
        <v>3507.3780000000002</v>
      </c>
      <c r="F30" s="32">
        <f t="shared" si="3"/>
        <v>3544.774092859408</v>
      </c>
      <c r="G30" s="32">
        <f t="shared" si="3"/>
        <v>3583.5229362203227</v>
      </c>
      <c r="H30" s="32">
        <f t="shared" si="3"/>
        <v>3623.5643668938369</v>
      </c>
      <c r="I30" s="32">
        <f t="shared" si="3"/>
        <v>3689.2030578837753</v>
      </c>
      <c r="J30" s="32">
        <f t="shared" si="3"/>
        <v>3734.9491360023735</v>
      </c>
      <c r="K30" s="32">
        <f t="shared" si="3"/>
        <v>3779.5439168299699</v>
      </c>
      <c r="L30" s="32">
        <f t="shared" si="3"/>
        <v>3825.9880291203808</v>
      </c>
      <c r="M30" s="32">
        <f t="shared" si="3"/>
        <v>3871.2962450043187</v>
      </c>
      <c r="N30" s="32">
        <f t="shared" si="3"/>
        <v>3947.4917087197473</v>
      </c>
      <c r="O30" s="32">
        <f t="shared" si="3"/>
        <v>3993.2519602184484</v>
      </c>
      <c r="P30" s="32">
        <f t="shared" si="3"/>
        <v>4037.7681102183642</v>
      </c>
      <c r="Q30" s="32">
        <f t="shared" si="3"/>
        <v>4083.9035881508762</v>
      </c>
      <c r="R30" s="32">
        <f t="shared" si="3"/>
        <v>4128.7685771743181</v>
      </c>
      <c r="S30" s="32">
        <f t="shared" si="3"/>
        <v>4202.7983407198035</v>
      </c>
      <c r="T30" s="32">
        <f t="shared" si="3"/>
        <v>4252.1238758335012</v>
      </c>
      <c r="U30" s="32">
        <f t="shared" si="3"/>
        <v>4303.0732305747451</v>
      </c>
      <c r="V30" s="32">
        <f t="shared" si="4"/>
        <v>4354.1189709529954</v>
      </c>
      <c r="W30" s="32">
        <f t="shared" si="4"/>
        <v>4403.834446506904</v>
      </c>
      <c r="X30" s="32">
        <f t="shared" si="4"/>
        <v>4486.7945742400798</v>
      </c>
      <c r="Y30" s="32"/>
      <c r="Z30" s="32" t="str">
        <f t="shared" si="6"/>
        <v>Washington Wells</v>
      </c>
      <c r="AA30" s="41">
        <f t="shared" si="7"/>
        <v>3813.775388104068</v>
      </c>
    </row>
    <row r="31" spans="1:27">
      <c r="A31" s="50">
        <f>INDEX([2]APPLIC!$B$8:$F$67,MATCH($C31,[2]APPLIC!$B$9:$B$67,0)+1,MATCH($D31,[2]APPLIC!$C$8:$F$8,0)+1)</f>
        <v>0.51800000000000002</v>
      </c>
      <c r="B31" s="75" t="s">
        <v>319</v>
      </c>
      <c r="C31" t="s">
        <v>294</v>
      </c>
      <c r="D31" s="7" t="s">
        <v>128</v>
      </c>
      <c r="E31" s="32">
        <f t="shared" si="5"/>
        <v>6019.6779999999999</v>
      </c>
      <c r="F31" s="32">
        <f t="shared" si="3"/>
        <v>6020.4307065695211</v>
      </c>
      <c r="G31" s="32">
        <f t="shared" si="3"/>
        <v>6021.4768093553666</v>
      </c>
      <c r="H31" s="32">
        <f t="shared" si="3"/>
        <v>6025.1626111763817</v>
      </c>
      <c r="I31" s="32">
        <f t="shared" si="3"/>
        <v>6030.4724356008746</v>
      </c>
      <c r="J31" s="32">
        <f t="shared" si="3"/>
        <v>6037.227754042854</v>
      </c>
      <c r="K31" s="32">
        <f t="shared" si="3"/>
        <v>6044.9058202231527</v>
      </c>
      <c r="L31" s="32">
        <f t="shared" si="3"/>
        <v>6053.6132909569487</v>
      </c>
      <c r="M31" s="32">
        <f t="shared" si="3"/>
        <v>6063.2230366513031</v>
      </c>
      <c r="N31" s="32">
        <f t="shared" si="3"/>
        <v>6073.6545914629132</v>
      </c>
      <c r="O31" s="32">
        <f t="shared" si="3"/>
        <v>6084.7627287382829</v>
      </c>
      <c r="P31" s="32">
        <f t="shared" si="3"/>
        <v>6096.5535018988012</v>
      </c>
      <c r="Q31" s="32">
        <f t="shared" si="3"/>
        <v>6108.9393325656065</v>
      </c>
      <c r="R31" s="32">
        <f t="shared" si="3"/>
        <v>6121.9396411639964</v>
      </c>
      <c r="S31" s="32">
        <f t="shared" si="3"/>
        <v>6135.48539545328</v>
      </c>
      <c r="T31" s="32">
        <f t="shared" si="3"/>
        <v>6149.3382326830551</v>
      </c>
      <c r="U31" s="32">
        <f t="shared" si="3"/>
        <v>6163.7673720850917</v>
      </c>
      <c r="V31" s="32">
        <f t="shared" si="4"/>
        <v>6178.6495850563806</v>
      </c>
      <c r="W31" s="32">
        <f t="shared" si="4"/>
        <v>6194.0024875000981</v>
      </c>
      <c r="X31" s="32">
        <f t="shared" si="4"/>
        <v>6209.7006392550802</v>
      </c>
      <c r="Y31" s="32"/>
      <c r="Z31" s="32" t="str">
        <f t="shared" si="6"/>
        <v>Idaho River</v>
      </c>
      <c r="AA31" s="41">
        <f t="shared" si="7"/>
        <v>5278.2455433668174</v>
      </c>
    </row>
    <row r="32" spans="1:27">
      <c r="A32" s="50">
        <f>INDEX([2]APPLIC!$B$8:$F$67,MATCH($C32,[2]APPLIC!$B$9:$B$67,0)+1,MATCH($D32,[2]APPLIC!$C$8:$F$8,0)+1)</f>
        <v>0.51800000000000002</v>
      </c>
      <c r="B32" s="75" t="s">
        <v>319</v>
      </c>
      <c r="C32" t="s">
        <v>294</v>
      </c>
      <c r="D32" s="7" t="s">
        <v>127</v>
      </c>
      <c r="E32" s="32">
        <f t="shared" si="5"/>
        <v>2842.2660000000001</v>
      </c>
      <c r="F32" s="32">
        <f t="shared" si="3"/>
        <v>2873.099590248597</v>
      </c>
      <c r="G32" s="32">
        <f t="shared" si="3"/>
        <v>2903.5334049112917</v>
      </c>
      <c r="H32" s="32">
        <f t="shared" si="3"/>
        <v>2934.7531022422631</v>
      </c>
      <c r="I32" s="32">
        <f t="shared" si="3"/>
        <v>2966.3266385598913</v>
      </c>
      <c r="J32" s="32">
        <f t="shared" si="3"/>
        <v>2989.0390292199827</v>
      </c>
      <c r="K32" s="32">
        <f t="shared" si="3"/>
        <v>3011.9147632566587</v>
      </c>
      <c r="L32" s="32">
        <f t="shared" si="3"/>
        <v>3035.7798746535454</v>
      </c>
      <c r="M32" s="32">
        <f t="shared" si="3"/>
        <v>3060.5090502798766</v>
      </c>
      <c r="N32" s="32">
        <f t="shared" si="3"/>
        <v>3086.0070216546819</v>
      </c>
      <c r="O32" s="32">
        <f t="shared" si="3"/>
        <v>3112.1496933577077</v>
      </c>
      <c r="P32" s="32">
        <f t="shared" si="3"/>
        <v>3138.8951545827822</v>
      </c>
      <c r="Q32" s="32">
        <f t="shared" si="3"/>
        <v>3166.1614915234145</v>
      </c>
      <c r="R32" s="32">
        <f t="shared" si="3"/>
        <v>3193.9226489897014</v>
      </c>
      <c r="S32" s="32">
        <f t="shared" si="3"/>
        <v>3222.1160007913913</v>
      </c>
      <c r="T32" s="32">
        <f t="shared" si="3"/>
        <v>3250.5851892279657</v>
      </c>
      <c r="U32" s="32">
        <f t="shared" si="3"/>
        <v>3279.4542948375856</v>
      </c>
      <c r="V32" s="32">
        <f t="shared" si="4"/>
        <v>3308.634569339747</v>
      </c>
      <c r="W32" s="32">
        <f t="shared" si="4"/>
        <v>3338.1207195906359</v>
      </c>
      <c r="X32" s="32">
        <f t="shared" si="4"/>
        <v>3367.8350869374567</v>
      </c>
      <c r="Y32" s="32"/>
      <c r="Z32" s="32" t="str">
        <f t="shared" si="6"/>
        <v>Montana River</v>
      </c>
      <c r="AA32" s="41">
        <f t="shared" si="7"/>
        <v>2862.6598238968381</v>
      </c>
    </row>
    <row r="33" spans="1:71">
      <c r="A33" s="50">
        <f>INDEX([2]APPLIC!$B$8:$F$67,MATCH($C33,[2]APPLIC!$B$9:$B$67,0)+1,MATCH($D33,[2]APPLIC!$C$8:$F$8,0)+1)</f>
        <v>0.51800000000000002</v>
      </c>
      <c r="B33" s="75" t="s">
        <v>319</v>
      </c>
      <c r="C33" t="s">
        <v>294</v>
      </c>
      <c r="D33" s="7" t="s">
        <v>129</v>
      </c>
      <c r="E33" s="32">
        <f t="shared" si="5"/>
        <v>4659.41</v>
      </c>
      <c r="F33" s="32">
        <f t="shared" si="3"/>
        <v>4706.5205614958677</v>
      </c>
      <c r="G33" s="32">
        <f t="shared" si="3"/>
        <v>4753.8644755161295</v>
      </c>
      <c r="H33" s="32">
        <f t="shared" si="3"/>
        <v>4806.9977819846454</v>
      </c>
      <c r="I33" s="32">
        <f t="shared" si="3"/>
        <v>4902.1912523522296</v>
      </c>
      <c r="J33" s="32">
        <f t="shared" si="3"/>
        <v>4961.4039780845915</v>
      </c>
      <c r="K33" s="32">
        <f t="shared" si="3"/>
        <v>5021.3125214121028</v>
      </c>
      <c r="L33" s="32">
        <f t="shared" si="3"/>
        <v>5085.7008573723451</v>
      </c>
      <c r="M33" s="32">
        <f t="shared" si="3"/>
        <v>5147.0580385523954</v>
      </c>
      <c r="N33" s="32">
        <f t="shared" si="3"/>
        <v>5256.9983253756282</v>
      </c>
      <c r="O33" s="32">
        <f t="shared" si="3"/>
        <v>5319.3688237759779</v>
      </c>
      <c r="P33" s="32">
        <f t="shared" si="3"/>
        <v>5382.2001770139796</v>
      </c>
      <c r="Q33" s="32">
        <f t="shared" si="3"/>
        <v>5441.7298042500151</v>
      </c>
      <c r="R33" s="32">
        <f t="shared" si="3"/>
        <v>5505.3392788682468</v>
      </c>
      <c r="S33" s="32">
        <f t="shared" si="3"/>
        <v>5613.3716779461847</v>
      </c>
      <c r="T33" s="32">
        <f t="shared" si="3"/>
        <v>5681.036131470124</v>
      </c>
      <c r="U33" s="32">
        <f t="shared" si="3"/>
        <v>5752.7065427421303</v>
      </c>
      <c r="V33" s="32">
        <f t="shared" si="4"/>
        <v>5824.5951318283533</v>
      </c>
      <c r="W33" s="32">
        <f t="shared" si="4"/>
        <v>5893.0540208184048</v>
      </c>
      <c r="X33" s="32">
        <f t="shared" si="4"/>
        <v>6016.4903127217867</v>
      </c>
      <c r="Y33" s="32"/>
      <c r="Z33" s="32" t="str">
        <f t="shared" si="6"/>
        <v>Oregon River</v>
      </c>
      <c r="AA33" s="41">
        <f t="shared" si="7"/>
        <v>5114.0167658135188</v>
      </c>
    </row>
    <row r="34" spans="1:71">
      <c r="A34" s="50">
        <f>INDEX([2]APPLIC!$B$8:$F$67,MATCH($C34,[2]APPLIC!$B$9:$B$67,0)+1,MATCH($D34,[2]APPLIC!$C$8:$F$8,0)+1)</f>
        <v>0.51800000000000002</v>
      </c>
      <c r="B34" s="75" t="s">
        <v>319</v>
      </c>
      <c r="C34" t="s">
        <v>294</v>
      </c>
      <c r="D34" s="7" t="s">
        <v>130</v>
      </c>
      <c r="E34" s="32">
        <f t="shared" si="5"/>
        <v>4196.3180000000002</v>
      </c>
      <c r="F34" s="32">
        <f t="shared" si="3"/>
        <v>4241.059655332162</v>
      </c>
      <c r="G34" s="32">
        <f t="shared" si="3"/>
        <v>4287.4197764467344</v>
      </c>
      <c r="H34" s="32">
        <f t="shared" si="3"/>
        <v>4335.3263825442291</v>
      </c>
      <c r="I34" s="32">
        <f t="shared" si="3"/>
        <v>4413.8582147269935</v>
      </c>
      <c r="J34" s="32">
        <f t="shared" si="3"/>
        <v>4468.5900089728602</v>
      </c>
      <c r="K34" s="32">
        <f t="shared" si="3"/>
        <v>4521.9443612818768</v>
      </c>
      <c r="L34" s="32">
        <f t="shared" si="3"/>
        <v>4577.5113017138101</v>
      </c>
      <c r="M34" s="32">
        <f t="shared" si="3"/>
        <v>4631.7192262265526</v>
      </c>
      <c r="N34" s="32">
        <f t="shared" si="3"/>
        <v>4722.8814550788184</v>
      </c>
      <c r="O34" s="32">
        <f t="shared" si="3"/>
        <v>4777.630206724215</v>
      </c>
      <c r="P34" s="32">
        <f t="shared" si="3"/>
        <v>4830.8904830717738</v>
      </c>
      <c r="Q34" s="32">
        <f t="shared" si="3"/>
        <v>4886.0881653537526</v>
      </c>
      <c r="R34" s="32">
        <f t="shared" si="3"/>
        <v>4939.7658017558942</v>
      </c>
      <c r="S34" s="32">
        <f t="shared" si="3"/>
        <v>5028.3369307592875</v>
      </c>
      <c r="T34" s="32">
        <f t="shared" si="3"/>
        <v>5087.351280184198</v>
      </c>
      <c r="U34" s="32">
        <f t="shared" si="3"/>
        <v>5148.3084095238546</v>
      </c>
      <c r="V34" s="32">
        <f t="shared" si="4"/>
        <v>5209.3808571393047</v>
      </c>
      <c r="W34" s="32">
        <f t="shared" si="4"/>
        <v>5268.8617414196497</v>
      </c>
      <c r="X34" s="32">
        <f t="shared" si="4"/>
        <v>5368.1173897384278</v>
      </c>
      <c r="Y34" s="32"/>
      <c r="Z34" s="32" t="str">
        <f t="shared" si="6"/>
        <v>Washington River</v>
      </c>
      <c r="AA34" s="41">
        <f t="shared" si="7"/>
        <v>4562.8997812776643</v>
      </c>
    </row>
    <row r="35" spans="1:71">
      <c r="E35" s="32"/>
      <c r="F35" s="32"/>
      <c r="G35" s="32"/>
      <c r="H35" s="32"/>
      <c r="I35" s="32"/>
      <c r="J35" s="32"/>
      <c r="K35" s="32"/>
      <c r="L35" s="32"/>
      <c r="M35" s="32"/>
      <c r="N35" s="32"/>
      <c r="O35" s="32"/>
      <c r="P35" s="32"/>
      <c r="Q35" s="32"/>
      <c r="R35" s="32"/>
      <c r="S35" s="32"/>
      <c r="T35" s="32"/>
      <c r="U35" s="32"/>
      <c r="V35" s="32"/>
      <c r="W35" s="32"/>
      <c r="X35" s="32"/>
      <c r="Y35" s="32"/>
    </row>
    <row r="36" spans="1:71">
      <c r="E36" s="32">
        <f>SUM(E27:E30)</f>
        <v>13541.556</v>
      </c>
      <c r="F36" s="32">
        <f t="shared" ref="F36:X36" si="8">SUM(F27:F30)</f>
        <v>13633.745171661345</v>
      </c>
      <c r="G36" s="32">
        <f t="shared" si="8"/>
        <v>13727.62232170214</v>
      </c>
      <c r="H36" s="32">
        <f t="shared" si="8"/>
        <v>13830.637548923738</v>
      </c>
      <c r="I36" s="32">
        <f t="shared" si="8"/>
        <v>14000.85037050662</v>
      </c>
      <c r="J36" s="32">
        <f t="shared" si="8"/>
        <v>14115.272154699787</v>
      </c>
      <c r="K36" s="32">
        <f t="shared" si="8"/>
        <v>14229.982302006872</v>
      </c>
      <c r="L36" s="32">
        <f t="shared" si="8"/>
        <v>14351.928801544858</v>
      </c>
      <c r="M36" s="32">
        <f t="shared" si="8"/>
        <v>14470.807270709291</v>
      </c>
      <c r="N36" s="32">
        <f t="shared" si="8"/>
        <v>14667.902722998697</v>
      </c>
      <c r="O36" s="32">
        <f t="shared" si="8"/>
        <v>14789.800427969763</v>
      </c>
      <c r="P36" s="32">
        <f t="shared" si="8"/>
        <v>14911.610614923458</v>
      </c>
      <c r="Q36" s="32">
        <f t="shared" si="8"/>
        <v>15032.505734018414</v>
      </c>
      <c r="R36" s="32">
        <f t="shared" si="8"/>
        <v>15156.661753909017</v>
      </c>
      <c r="S36" s="32">
        <f t="shared" si="8"/>
        <v>15353.017010132968</v>
      </c>
      <c r="T36" s="32">
        <f t="shared" si="8"/>
        <v>15486.391734376415</v>
      </c>
      <c r="U36" s="32">
        <f t="shared" si="8"/>
        <v>15625.79281080241</v>
      </c>
      <c r="V36" s="32">
        <f t="shared" si="8"/>
        <v>15765.947659558935</v>
      </c>
      <c r="W36" s="32">
        <f t="shared" si="8"/>
        <v>15901.953822135085</v>
      </c>
      <c r="X36" s="32">
        <f t="shared" si="8"/>
        <v>16124.11323810141</v>
      </c>
      <c r="Y36" s="32"/>
      <c r="AA36" s="41">
        <f>MAX(E36:X36)*$AA$25</f>
        <v>13705.496252386198</v>
      </c>
    </row>
    <row r="37" spans="1:71">
      <c r="D37" s="32"/>
      <c r="E37" s="32"/>
      <c r="F37" s="32"/>
      <c r="G37" s="32"/>
      <c r="H37" s="32"/>
      <c r="I37" s="32"/>
      <c r="J37" s="32"/>
      <c r="K37" s="32"/>
      <c r="L37" s="32"/>
      <c r="M37" s="32"/>
      <c r="N37" s="32"/>
      <c r="O37" s="32"/>
      <c r="P37" s="32"/>
      <c r="Q37" s="32"/>
      <c r="R37" s="32"/>
      <c r="S37" s="32"/>
      <c r="T37" s="32"/>
      <c r="U37" s="32"/>
      <c r="V37" s="32"/>
      <c r="W37" s="32"/>
      <c r="X37" s="32"/>
    </row>
    <row r="39" spans="1:71" ht="15">
      <c r="A39" s="49" t="str">
        <f>CONCATENATE("# UNITS ACHIEVABLE BY YEAR FOR MEASURE - ",C40)</f>
        <v># UNITS ACHIEVABLE BY YEAR FOR MEASURE - Irrigation Motor - Retro</v>
      </c>
      <c r="E39" s="57" t="s">
        <v>32</v>
      </c>
      <c r="F39"/>
    </row>
    <row r="40" spans="1:71" ht="15">
      <c r="C40" s="57" t="str">
        <f>C26</f>
        <v>Irrigation Motor - Retro</v>
      </c>
      <c r="E40" s="61">
        <f>VLOOKUP($C$40,[2]ACHIEV!$B$10:$X$104,MATCH(E$11,$E$11:$Y$11,0)+2,FALSE)</f>
        <v>0.10937459468255628</v>
      </c>
      <c r="F40" s="61">
        <f>VLOOKUP($C$40,[2]ACHIEV!$B$10:$X$104,MATCH(F$11,$E$11:$Y$11,0)+2,FALSE)</f>
        <v>0.10937459468255628</v>
      </c>
      <c r="G40" s="61">
        <f>VLOOKUP($C$40,[2]ACHIEV!$B$10:$X$104,MATCH(G$11,$E$11:$Y$11,0)+2,FALSE)</f>
        <v>0.10937459468255628</v>
      </c>
      <c r="H40" s="61">
        <f>VLOOKUP($C$40,[2]ACHIEV!$B$10:$X$104,MATCH(H$11,$E$11:$Y$11,0)+2,FALSE)</f>
        <v>0.10937459468255628</v>
      </c>
      <c r="I40" s="61">
        <f>VLOOKUP($C$40,[2]ACHIEV!$B$10:$X$104,MATCH(I$11,$E$11:$Y$11,0)+2,FALSE)</f>
        <v>0.10937459468255628</v>
      </c>
      <c r="J40" s="61">
        <f>VLOOKUP($C$40,[2]ACHIEV!$B$10:$X$104,MATCH(J$11,$E$11:$Y$11,0)+2,FALSE)</f>
        <v>9.8437135214300656E-2</v>
      </c>
      <c r="K40" s="61">
        <f>VLOOKUP($C$40,[2]ACHIEV!$B$10:$X$104,MATCH(K$11,$E$11:$Y$11,0)+2,FALSE)</f>
        <v>7.874970817144053E-2</v>
      </c>
      <c r="L40" s="61">
        <f>VLOOKUP($C$40,[2]ACHIEV!$B$10:$X$104,MATCH(L$11,$E$11:$Y$11,0)+2,FALSE)</f>
        <v>6.2999766537152418E-2</v>
      </c>
      <c r="M40" s="61">
        <f>VLOOKUP($C$40,[2]ACHIEV!$B$10:$X$104,MATCH(M$11,$E$11:$Y$11,0)+2,FALSE)</f>
        <v>5.0399813229721938E-2</v>
      </c>
      <c r="N40" s="61">
        <f>VLOOKUP($C$40,[2]ACHIEV!$B$10:$X$104,MATCH(N$11,$E$11:$Y$11,0)+2,FALSE)</f>
        <v>4.0319850583777551E-2</v>
      </c>
      <c r="O40" s="61">
        <f>VLOOKUP($C$40,[2]ACHIEV!$B$10:$X$104,MATCH(O$11,$E$11:$Y$11,0)+2,FALSE)</f>
        <v>3.225588046702204E-2</v>
      </c>
      <c r="P40" s="61">
        <f>VLOOKUP($C$40,[2]ACHIEV!$B$10:$X$104,MATCH(P$11,$E$11:$Y$11,0)+2,FALSE)</f>
        <v>2.5804704373617631E-2</v>
      </c>
      <c r="Q40" s="61">
        <f>VLOOKUP($C$40,[2]ACHIEV!$B$10:$X$104,MATCH(Q$11,$E$11:$Y$11,0)+2,FALSE)</f>
        <v>2.0643763498894106E-2</v>
      </c>
      <c r="R40" s="61">
        <f>VLOOKUP($C$40,[2]ACHIEV!$B$10:$X$104,MATCH(R$11,$E$11:$Y$11,0)+2,FALSE)</f>
        <v>1.6515010799115284E-2</v>
      </c>
      <c r="S40" s="61">
        <f>VLOOKUP($C$40,[2]ACHIEV!$B$10:$X$104,MATCH(S$11,$E$11:$Y$11,0)+2,FALSE)</f>
        <v>1.3212008639292228E-2</v>
      </c>
      <c r="T40" s="61">
        <f>VLOOKUP($C$40,[2]ACHIEV!$B$10:$X$104,MATCH(T$11,$E$11:$Y$11,0)+2,FALSE)</f>
        <v>1.0569606911433781E-2</v>
      </c>
      <c r="U40" s="61">
        <f>VLOOKUP($C$40,[2]ACHIEV!$B$10:$X$104,MATCH(U$11,$E$11:$Y$11,0)+2,FALSE)</f>
        <v>7.2092823794611682E-5</v>
      </c>
      <c r="V40" s="61">
        <f>VLOOKUP($C$40,[2]ACHIEV!$B$10:$X$104,MATCH(V$11,$E$11:$Y$11,0)+2,FALSE)</f>
        <v>2.5747437069512102E-5</v>
      </c>
      <c r="W40" s="61">
        <f>VLOOKUP($C$40,[2]ACHIEV!$B$10:$X$104,MATCH(W$11,$E$11:$Y$11,0)+2,FALSE)</f>
        <v>8.7775353646568632E-6</v>
      </c>
      <c r="X40" s="61">
        <f>VLOOKUP($C$40,[2]ACHIEV!$B$10:$X$104,MATCH(X$11,$E$11:$Y$11,0)+2,FALSE)</f>
        <v>2.8622397928446119E-6</v>
      </c>
      <c r="Y40" s="61"/>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row>
    <row r="41" spans="1:71">
      <c r="C41" s="7" t="str">
        <f>C27</f>
        <v>Motor Rewind</v>
      </c>
      <c r="D41" s="7" t="str">
        <f>CONCATENATE(D27," ",B27)</f>
        <v>Idaho Wells</v>
      </c>
      <c r="E41" s="32">
        <f t="shared" ref="E41:X41" si="9">E27*E$40*$AA$25</f>
        <v>440.20893274802665</v>
      </c>
      <c r="F41" s="32">
        <f t="shared" si="9"/>
        <v>440.26397691411682</v>
      </c>
      <c r="G41" s="32">
        <f t="shared" si="9"/>
        <v>440.34047665229247</v>
      </c>
      <c r="H41" s="32">
        <f t="shared" si="9"/>
        <v>440.61001314343861</v>
      </c>
      <c r="I41" s="32">
        <f t="shared" si="9"/>
        <v>440.99831167751063</v>
      </c>
      <c r="J41" s="32">
        <f t="shared" si="9"/>
        <v>397.34308508321772</v>
      </c>
      <c r="K41" s="32">
        <f t="shared" si="9"/>
        <v>318.27873659880044</v>
      </c>
      <c r="L41" s="32">
        <f t="shared" si="9"/>
        <v>254.98976459254175</v>
      </c>
      <c r="M41" s="32">
        <f t="shared" si="9"/>
        <v>204.31563636181883</v>
      </c>
      <c r="N41" s="32">
        <f t="shared" si="9"/>
        <v>163.7337231891764</v>
      </c>
      <c r="O41" s="32">
        <f t="shared" si="9"/>
        <v>131.2265412918828</v>
      </c>
      <c r="P41" s="32">
        <f t="shared" si="9"/>
        <v>105.18466083504788</v>
      </c>
      <c r="Q41" s="32">
        <f t="shared" si="9"/>
        <v>84.318684195280696</v>
      </c>
      <c r="R41" s="32">
        <f t="shared" si="9"/>
        <v>67.598496847286668</v>
      </c>
      <c r="S41" s="32">
        <f t="shared" si="9"/>
        <v>54.198455322537399</v>
      </c>
      <c r="T41" s="32">
        <f t="shared" si="9"/>
        <v>43.456660653349488</v>
      </c>
      <c r="U41" s="32">
        <f t="shared" si="9"/>
        <v>0.29710325489708767</v>
      </c>
      <c r="V41" s="32">
        <f t="shared" si="9"/>
        <v>0.10636450032300228</v>
      </c>
      <c r="W41" s="32">
        <f t="shared" si="9"/>
        <v>3.6350726649858875E-2</v>
      </c>
      <c r="X41" s="32">
        <f t="shared" si="9"/>
        <v>1.1883539463073908E-2</v>
      </c>
      <c r="Y41" s="32"/>
      <c r="AA41" s="32">
        <f>SUM(E41:X41)</f>
        <v>4027.5178581276587</v>
      </c>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row>
    <row r="42" spans="1:71">
      <c r="C42" s="7" t="str">
        <f t="shared" ref="C42" si="10">C28</f>
        <v>Motor Rewind</v>
      </c>
      <c r="D42" s="7" t="str">
        <f t="shared" ref="D42:D48" si="11">CONCATENATE(D28," ",B28)</f>
        <v>Montana Wells</v>
      </c>
      <c r="E42" s="32">
        <f t="shared" ref="E42:X42" si="12">E28*E$40*$AA$25</f>
        <v>78.448785849090399</v>
      </c>
      <c r="F42" s="32">
        <f t="shared" si="12"/>
        <v>79.299817286109587</v>
      </c>
      <c r="G42" s="32">
        <f t="shared" si="12"/>
        <v>80.139814601295669</v>
      </c>
      <c r="H42" s="32">
        <f t="shared" si="12"/>
        <v>81.001502898657975</v>
      </c>
      <c r="I42" s="32">
        <f t="shared" si="12"/>
        <v>81.872957431442742</v>
      </c>
      <c r="J42" s="32">
        <f t="shared" si="12"/>
        <v>74.249853612598656</v>
      </c>
      <c r="K42" s="32">
        <f t="shared" si="12"/>
        <v>59.85448248196105</v>
      </c>
      <c r="L42" s="32">
        <f t="shared" si="12"/>
        <v>48.262994834573711</v>
      </c>
      <c r="M42" s="32">
        <f t="shared" si="12"/>
        <v>38.924912499245274</v>
      </c>
      <c r="N42" s="32">
        <f t="shared" si="12"/>
        <v>31.399365613110685</v>
      </c>
      <c r="O42" s="32">
        <f t="shared" si="12"/>
        <v>25.332288715810602</v>
      </c>
      <c r="P42" s="32">
        <f t="shared" si="12"/>
        <v>20.439993223786242</v>
      </c>
      <c r="Q42" s="32">
        <f t="shared" si="12"/>
        <v>16.494037868749025</v>
      </c>
      <c r="R42" s="32">
        <f t="shared" si="12"/>
        <v>13.310927130743103</v>
      </c>
      <c r="S42" s="32">
        <f t="shared" si="12"/>
        <v>10.742740136653543</v>
      </c>
      <c r="T42" s="32">
        <f t="shared" si="12"/>
        <v>8.6701265805089545</v>
      </c>
      <c r="U42" s="32">
        <f t="shared" si="12"/>
        <v>5.9662118328188754E-2</v>
      </c>
      <c r="V42" s="32">
        <f t="shared" si="12"/>
        <v>2.1497495078839985E-2</v>
      </c>
      <c r="W42" s="32">
        <f t="shared" si="12"/>
        <v>7.3940039145856855E-3</v>
      </c>
      <c r="X42" s="32">
        <f t="shared" si="12"/>
        <v>2.4325505968862478E-3</v>
      </c>
      <c r="Y42" s="32"/>
      <c r="AA42" s="32">
        <f t="shared" ref="AA42:AA44" si="13">SUM(E42:X42)</f>
        <v>748.5355869322558</v>
      </c>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row>
    <row r="43" spans="1:71">
      <c r="C43" s="7" t="str">
        <f t="shared" ref="C43" si="14">C29</f>
        <v>Motor Rewind</v>
      </c>
      <c r="D43" s="7" t="str">
        <f t="shared" si="11"/>
        <v>Oregon Wells</v>
      </c>
      <c r="E43" s="32">
        <f t="shared" ref="E43:X43" si="15">E29*E$40*$AA$25</f>
        <v>414.20381036711268</v>
      </c>
      <c r="F43" s="32">
        <f t="shared" si="15"/>
        <v>418.39175993156886</v>
      </c>
      <c r="G43" s="32">
        <f t="shared" si="15"/>
        <v>422.60045364705758</v>
      </c>
      <c r="H43" s="32">
        <f t="shared" si="15"/>
        <v>427.32380231065719</v>
      </c>
      <c r="I43" s="32">
        <f t="shared" si="15"/>
        <v>435.78613941950192</v>
      </c>
      <c r="J43" s="32">
        <f t="shared" si="15"/>
        <v>396.94493277987334</v>
      </c>
      <c r="K43" s="32">
        <f t="shared" si="15"/>
        <v>321.39040805109465</v>
      </c>
      <c r="L43" s="32">
        <f t="shared" si="15"/>
        <v>260.409280132525</v>
      </c>
      <c r="M43" s="32">
        <f t="shared" si="15"/>
        <v>210.8408207575585</v>
      </c>
      <c r="N43" s="32">
        <f t="shared" si="15"/>
        <v>172.27547594626176</v>
      </c>
      <c r="O43" s="32">
        <f t="shared" si="15"/>
        <v>139.45552029967348</v>
      </c>
      <c r="P43" s="32">
        <f t="shared" si="15"/>
        <v>112.88219349447984</v>
      </c>
      <c r="Q43" s="32">
        <f t="shared" si="15"/>
        <v>91.304578277328162</v>
      </c>
      <c r="R43" s="32">
        <f t="shared" si="15"/>
        <v>73.897484691444035</v>
      </c>
      <c r="S43" s="32">
        <f t="shared" si="15"/>
        <v>60.278072122550611</v>
      </c>
      <c r="T43" s="32">
        <f t="shared" si="15"/>
        <v>48.803738688312102</v>
      </c>
      <c r="U43" s="32">
        <f t="shared" si="15"/>
        <v>0.33707843021190342</v>
      </c>
      <c r="V43" s="32">
        <f t="shared" si="15"/>
        <v>0.12188954445490185</v>
      </c>
      <c r="W43" s="32">
        <f t="shared" si="15"/>
        <v>4.2041646465184684E-2</v>
      </c>
      <c r="X43" s="32">
        <f t="shared" si="15"/>
        <v>1.3996387017499452E-2</v>
      </c>
      <c r="Y43" s="32"/>
      <c r="AA43" s="32">
        <f t="shared" si="13"/>
        <v>4007.3034769251494</v>
      </c>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row>
    <row r="44" spans="1:71">
      <c r="C44" s="7" t="str">
        <f t="shared" ref="C44" si="16">C30</f>
        <v>Motor Rewind</v>
      </c>
      <c r="D44" s="7" t="str">
        <f t="shared" si="11"/>
        <v>Washington Wells</v>
      </c>
      <c r="E44" s="32">
        <f t="shared" ref="E44:X44" si="17">E30*E$40*$AA$25</f>
        <v>326.07534007623764</v>
      </c>
      <c r="F44" s="32">
        <f t="shared" si="17"/>
        <v>329.55199520056533</v>
      </c>
      <c r="G44" s="32">
        <f t="shared" si="17"/>
        <v>333.1544133820305</v>
      </c>
      <c r="H44" s="32">
        <f t="shared" si="17"/>
        <v>336.87700134489205</v>
      </c>
      <c r="I44" s="32">
        <f t="shared" si="17"/>
        <v>342.97932578403237</v>
      </c>
      <c r="J44" s="32">
        <f t="shared" si="17"/>
        <v>312.50903915132091</v>
      </c>
      <c r="K44" s="32">
        <f t="shared" si="17"/>
        <v>252.99228340077792</v>
      </c>
      <c r="L44" s="32">
        <f t="shared" si="17"/>
        <v>204.88089971724531</v>
      </c>
      <c r="M44" s="32">
        <f t="shared" si="17"/>
        <v>165.84571654937028</v>
      </c>
      <c r="N44" s="32">
        <f t="shared" si="17"/>
        <v>135.28793449483879</v>
      </c>
      <c r="O44" s="32">
        <f t="shared" si="17"/>
        <v>109.48497921798156</v>
      </c>
      <c r="P44" s="32">
        <f t="shared" si="17"/>
        <v>88.564400551394783</v>
      </c>
      <c r="Q44" s="32">
        <f t="shared" si="17"/>
        <v>71.661068852160966</v>
      </c>
      <c r="R44" s="32">
        <f t="shared" si="17"/>
        <v>57.958658993219458</v>
      </c>
      <c r="S44" s="32">
        <f t="shared" si="17"/>
        <v>47.198296788774115</v>
      </c>
      <c r="T44" s="32">
        <f t="shared" si="17"/>
        <v>38.201786220340018</v>
      </c>
      <c r="U44" s="32">
        <f t="shared" si="17"/>
        <v>0.2636875951590652</v>
      </c>
      <c r="V44" s="32">
        <f t="shared" si="17"/>
        <v>9.5291293568113875E-2</v>
      </c>
      <c r="W44" s="32">
        <f t="shared" si="17"/>
        <v>3.285659070516217E-2</v>
      </c>
      <c r="X44" s="32">
        <f t="shared" si="17"/>
        <v>1.0915939676802865E-2</v>
      </c>
      <c r="Y44" s="32"/>
      <c r="AA44" s="32">
        <f t="shared" si="13"/>
        <v>3153.625891144291</v>
      </c>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row>
    <row r="45" spans="1:71">
      <c r="C45" s="7" t="str">
        <f>C31</f>
        <v>Motor Rewind</v>
      </c>
      <c r="D45" s="7" t="str">
        <f t="shared" si="11"/>
        <v>Idaho River</v>
      </c>
      <c r="E45" s="32">
        <f t="shared" ref="E45:X45" si="18">E31*E$40*$AA$25</f>
        <v>559.6398651640759</v>
      </c>
      <c r="F45" s="32">
        <f t="shared" si="18"/>
        <v>559.70984309363871</v>
      </c>
      <c r="G45" s="32">
        <f t="shared" si="18"/>
        <v>559.8070976016071</v>
      </c>
      <c r="H45" s="32">
        <f t="shared" si="18"/>
        <v>560.14976071982278</v>
      </c>
      <c r="I45" s="32">
        <f t="shared" si="18"/>
        <v>560.64340662994766</v>
      </c>
      <c r="J45" s="32">
        <f t="shared" si="18"/>
        <v>505.14429403260834</v>
      </c>
      <c r="K45" s="32">
        <f t="shared" si="18"/>
        <v>404.62938387645329</v>
      </c>
      <c r="L45" s="32">
        <f t="shared" si="18"/>
        <v>324.16979043101713</v>
      </c>
      <c r="M45" s="32">
        <f t="shared" si="18"/>
        <v>259.74751232476723</v>
      </c>
      <c r="N45" s="32">
        <f t="shared" si="18"/>
        <v>208.15551878147025</v>
      </c>
      <c r="O45" s="32">
        <f t="shared" si="18"/>
        <v>166.82897236111697</v>
      </c>
      <c r="P45" s="32">
        <f t="shared" si="18"/>
        <v>133.7217966922756</v>
      </c>
      <c r="Q45" s="32">
        <f t="shared" si="18"/>
        <v>107.19477398898994</v>
      </c>
      <c r="R45" s="32">
        <f t="shared" si="18"/>
        <v>85.938314392552044</v>
      </c>
      <c r="S45" s="32">
        <f t="shared" si="18"/>
        <v>68.902773143333022</v>
      </c>
      <c r="T45" s="32">
        <f t="shared" si="18"/>
        <v>55.246674702174182</v>
      </c>
      <c r="U45" s="32">
        <f t="shared" si="18"/>
        <v>0.37770888580670109</v>
      </c>
      <c r="V45" s="32">
        <f t="shared" si="18"/>
        <v>0.13522173266093526</v>
      </c>
      <c r="W45" s="32">
        <f t="shared" si="18"/>
        <v>4.6212864500383991E-2</v>
      </c>
      <c r="X45" s="32">
        <f t="shared" si="18"/>
        <v>1.5107604430629239E-2</v>
      </c>
      <c r="Y45" s="32"/>
      <c r="AA45" s="32">
        <f>SUM(E45:X45)</f>
        <v>5120.2040290232499</v>
      </c>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row>
    <row r="46" spans="1:71">
      <c r="C46" s="7" t="str">
        <f t="shared" ref="C46" si="19">C32</f>
        <v>Motor Rewind</v>
      </c>
      <c r="D46" s="7" t="str">
        <f t="shared" si="11"/>
        <v>Montana River</v>
      </c>
      <c r="E46" s="32">
        <f t="shared" ref="E46:X46" si="20">E32*E$40*$AA$25</f>
        <v>264.24093797050892</v>
      </c>
      <c r="F46" s="32">
        <f t="shared" si="20"/>
        <v>267.10748769115003</v>
      </c>
      <c r="G46" s="32">
        <f t="shared" si="20"/>
        <v>269.93687091301985</v>
      </c>
      <c r="H46" s="32">
        <f t="shared" si="20"/>
        <v>272.83931639345388</v>
      </c>
      <c r="I46" s="32">
        <f t="shared" si="20"/>
        <v>275.77465772027409</v>
      </c>
      <c r="J46" s="32">
        <f t="shared" si="20"/>
        <v>250.09757321812697</v>
      </c>
      <c r="K46" s="32">
        <f t="shared" si="20"/>
        <v>201.60929734715796</v>
      </c>
      <c r="L46" s="32">
        <f t="shared" si="20"/>
        <v>162.56540985715529</v>
      </c>
      <c r="M46" s="32">
        <f t="shared" si="20"/>
        <v>131.11172184368255</v>
      </c>
      <c r="N46" s="32">
        <f t="shared" si="20"/>
        <v>105.76324071156438</v>
      </c>
      <c r="O46" s="32">
        <f t="shared" si="20"/>
        <v>85.327359228761679</v>
      </c>
      <c r="P46" s="32">
        <f t="shared" si="20"/>
        <v>68.848522295221088</v>
      </c>
      <c r="Q46" s="32">
        <f t="shared" si="20"/>
        <v>55.557265675767901</v>
      </c>
      <c r="R46" s="32">
        <f t="shared" si="20"/>
        <v>44.835516983663247</v>
      </c>
      <c r="S46" s="32">
        <f t="shared" si="20"/>
        <v>36.185030773368943</v>
      </c>
      <c r="T46" s="32">
        <f t="shared" si="20"/>
        <v>29.20379652992796</v>
      </c>
      <c r="U46" s="32">
        <f t="shared" si="20"/>
        <v>0.20096135252717728</v>
      </c>
      <c r="V46" s="32">
        <f t="shared" si="20"/>
        <v>7.2410531306074291E-2</v>
      </c>
      <c r="W46" s="32">
        <f t="shared" si="20"/>
        <v>2.4905401767545528E-2</v>
      </c>
      <c r="X46" s="32">
        <f t="shared" si="20"/>
        <v>8.1936188613350794E-3</v>
      </c>
      <c r="Y46" s="32"/>
      <c r="AA46" s="32">
        <f t="shared" ref="AA46:AA48" si="21">SUM(E46:X46)</f>
        <v>2521.3104760572669</v>
      </c>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row>
    <row r="47" spans="1:71">
      <c r="C47" s="7" t="str">
        <f t="shared" ref="C47" si="22">C33</f>
        <v>Motor Rewind</v>
      </c>
      <c r="D47" s="7" t="str">
        <f t="shared" si="11"/>
        <v>Oregon River</v>
      </c>
      <c r="E47" s="32">
        <f t="shared" ref="E47:X47" si="23">E33*E$40*$AA$25</f>
        <v>433.17791817837212</v>
      </c>
      <c r="F47" s="32">
        <f t="shared" si="23"/>
        <v>437.55771196191859</v>
      </c>
      <c r="G47" s="32">
        <f t="shared" si="23"/>
        <v>441.9592001575727</v>
      </c>
      <c r="H47" s="32">
        <f t="shared" si="23"/>
        <v>446.89891893783999</v>
      </c>
      <c r="I47" s="32">
        <f t="shared" si="23"/>
        <v>455.74890409003831</v>
      </c>
      <c r="J47" s="32">
        <f t="shared" si="23"/>
        <v>415.12843510695973</v>
      </c>
      <c r="K47" s="32">
        <f t="shared" si="23"/>
        <v>336.11286134398279</v>
      </c>
      <c r="L47" s="32">
        <f t="shared" si="23"/>
        <v>272.3382716884156</v>
      </c>
      <c r="M47" s="32">
        <f t="shared" si="23"/>
        <v>220.49914925174269</v>
      </c>
      <c r="N47" s="32">
        <f t="shared" si="23"/>
        <v>180.16717894856703</v>
      </c>
      <c r="O47" s="32">
        <f t="shared" si="23"/>
        <v>145.84378619876333</v>
      </c>
      <c r="P47" s="32">
        <f t="shared" si="23"/>
        <v>118.05317178035649</v>
      </c>
      <c r="Q47" s="32">
        <f t="shared" si="23"/>
        <v>95.487115638247531</v>
      </c>
      <c r="R47" s="32">
        <f t="shared" si="23"/>
        <v>77.282626996807252</v>
      </c>
      <c r="S47" s="32">
        <f t="shared" si="23"/>
        <v>63.039327838895801</v>
      </c>
      <c r="T47" s="32">
        <f t="shared" si="23"/>
        <v>51.039370945397906</v>
      </c>
      <c r="U47" s="32">
        <f t="shared" si="23"/>
        <v>0.35251953025881544</v>
      </c>
      <c r="V47" s="32">
        <f t="shared" si="23"/>
        <v>0.12747313712031649</v>
      </c>
      <c r="W47" s="32">
        <f t="shared" si="23"/>
        <v>4.3967516562531839E-2</v>
      </c>
      <c r="X47" s="32">
        <f t="shared" si="23"/>
        <v>1.4637542288385959E-2</v>
      </c>
      <c r="Y47" s="32"/>
      <c r="AA47" s="32">
        <f t="shared" si="21"/>
        <v>4190.8725467901086</v>
      </c>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row>
    <row r="48" spans="1:71">
      <c r="C48" s="7" t="str">
        <f t="shared" ref="C48" si="24">C34</f>
        <v>Motor Rewind</v>
      </c>
      <c r="D48" s="7" t="str">
        <f t="shared" si="11"/>
        <v>Washington River</v>
      </c>
      <c r="E48" s="32">
        <f t="shared" ref="E48:X48" si="25">E34*E$40*$AA$25</f>
        <v>390.12499334774793</v>
      </c>
      <c r="F48" s="32">
        <f t="shared" si="25"/>
        <v>394.28455370252254</v>
      </c>
      <c r="G48" s="32">
        <f t="shared" si="25"/>
        <v>398.59458024041197</v>
      </c>
      <c r="H48" s="32">
        <f t="shared" si="25"/>
        <v>403.0483810212628</v>
      </c>
      <c r="I48" s="32">
        <f t="shared" si="25"/>
        <v>410.34936023873092</v>
      </c>
      <c r="J48" s="32">
        <f t="shared" si="25"/>
        <v>373.89391909095423</v>
      </c>
      <c r="K48" s="32">
        <f t="shared" si="25"/>
        <v>302.68652899567303</v>
      </c>
      <c r="L48" s="32">
        <f t="shared" si="25"/>
        <v>245.12482182977467</v>
      </c>
      <c r="M48" s="32">
        <f t="shared" si="25"/>
        <v>198.42211634418089</v>
      </c>
      <c r="N48" s="32">
        <f t="shared" si="25"/>
        <v>161.86199340462107</v>
      </c>
      <c r="O48" s="32">
        <f t="shared" si="25"/>
        <v>130.99066853417057</v>
      </c>
      <c r="P48" s="32">
        <f t="shared" si="25"/>
        <v>105.96074566044149</v>
      </c>
      <c r="Q48" s="32">
        <f t="shared" si="25"/>
        <v>85.737161242262019</v>
      </c>
      <c r="R48" s="32">
        <f t="shared" si="25"/>
        <v>69.343242726934122</v>
      </c>
      <c r="S48" s="32">
        <f t="shared" si="25"/>
        <v>56.469266324894285</v>
      </c>
      <c r="T48" s="32">
        <f t="shared" si="25"/>
        <v>45.70560776413744</v>
      </c>
      <c r="U48" s="32">
        <f t="shared" si="25"/>
        <v>0.31548267735690261</v>
      </c>
      <c r="V48" s="32">
        <f t="shared" si="25"/>
        <v>0.11400897492176797</v>
      </c>
      <c r="W48" s="32">
        <f t="shared" si="25"/>
        <v>3.9310477226778738E-2</v>
      </c>
      <c r="X48" s="32">
        <f t="shared" si="25"/>
        <v>1.3060113324734906E-2</v>
      </c>
      <c r="Y48" s="32"/>
      <c r="AA48" s="32">
        <f t="shared" si="21"/>
        <v>3773.0798027115507</v>
      </c>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row>
    <row r="49" spans="1:80">
      <c r="E49" s="32"/>
      <c r="F49" s="32"/>
      <c r="G49" s="32"/>
      <c r="H49" s="32"/>
      <c r="I49" s="32"/>
      <c r="J49" s="32"/>
      <c r="K49" s="32"/>
      <c r="L49" s="32"/>
      <c r="M49" s="32"/>
      <c r="N49" s="32"/>
      <c r="O49" s="32"/>
      <c r="P49" s="32"/>
      <c r="Q49" s="32"/>
      <c r="R49" s="32"/>
      <c r="S49" s="32"/>
      <c r="T49" s="32"/>
      <c r="U49" s="32"/>
      <c r="V49" s="32"/>
      <c r="W49" s="32"/>
      <c r="X49" s="32"/>
      <c r="Y49" s="32"/>
      <c r="AA49" s="32"/>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row>
    <row r="50" spans="1:80">
      <c r="E50" s="32"/>
      <c r="F50" s="32"/>
      <c r="G50" s="32"/>
      <c r="H50" s="32"/>
      <c r="I50" s="32"/>
      <c r="J50" s="32"/>
      <c r="K50" s="32"/>
      <c r="L50" s="32"/>
      <c r="M50" s="32"/>
      <c r="N50" s="32"/>
      <c r="O50" s="32"/>
      <c r="P50" s="32"/>
      <c r="Q50" s="32"/>
      <c r="R50" s="32"/>
      <c r="S50" s="32"/>
      <c r="T50" s="32"/>
      <c r="U50" s="32"/>
      <c r="V50" s="32"/>
      <c r="W50" s="32"/>
      <c r="X50" s="32"/>
      <c r="Y50" s="32"/>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row>
    <row r="51" spans="1:80">
      <c r="C51" s="7" t="s">
        <v>134</v>
      </c>
      <c r="E51" s="32">
        <f>SUM(E41:E48)</f>
        <v>2906.1205837011726</v>
      </c>
      <c r="F51" s="32">
        <f t="shared" ref="F51:X51" si="26">SUM(F41:F48)</f>
        <v>2926.1671457815901</v>
      </c>
      <c r="G51" s="32">
        <f t="shared" si="26"/>
        <v>2946.5329071952883</v>
      </c>
      <c r="H51" s="32">
        <f t="shared" si="26"/>
        <v>2968.7486967700252</v>
      </c>
      <c r="I51" s="32">
        <f t="shared" si="26"/>
        <v>3004.1530629914787</v>
      </c>
      <c r="J51" s="32">
        <f t="shared" si="26"/>
        <v>2725.3111320756598</v>
      </c>
      <c r="K51" s="32">
        <f t="shared" si="26"/>
        <v>2197.5539820959011</v>
      </c>
      <c r="L51" s="32">
        <f t="shared" si="26"/>
        <v>1772.7412330832485</v>
      </c>
      <c r="M51" s="32">
        <f t="shared" si="26"/>
        <v>1429.7075859323663</v>
      </c>
      <c r="N51" s="32">
        <f t="shared" si="26"/>
        <v>1158.6444310896102</v>
      </c>
      <c r="O51" s="32">
        <f t="shared" si="26"/>
        <v>934.49011584816105</v>
      </c>
      <c r="P51" s="32">
        <f t="shared" si="26"/>
        <v>753.65548453300335</v>
      </c>
      <c r="Q51" s="32">
        <f t="shared" si="26"/>
        <v>607.75468573878618</v>
      </c>
      <c r="R51" s="32">
        <f t="shared" si="26"/>
        <v>490.16526876264993</v>
      </c>
      <c r="S51" s="32">
        <f t="shared" si="26"/>
        <v>397.01396245100779</v>
      </c>
      <c r="T51" s="32">
        <f t="shared" si="26"/>
        <v>320.32776208414805</v>
      </c>
      <c r="U51" s="32">
        <f t="shared" si="26"/>
        <v>2.2042038445458418</v>
      </c>
      <c r="V51" s="32">
        <f t="shared" si="26"/>
        <v>0.79415720943395207</v>
      </c>
      <c r="W51" s="32">
        <f t="shared" si="26"/>
        <v>0.27303922779203149</v>
      </c>
      <c r="X51" s="32">
        <f t="shared" si="26"/>
        <v>9.0227295659347659E-2</v>
      </c>
      <c r="Y51" s="32"/>
      <c r="AA51" s="32">
        <f t="shared" ref="AA51" si="27">SUM(E51:Y51)</f>
        <v>27542.449667711528</v>
      </c>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row>
    <row r="52" spans="1:80">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row>
    <row r="53" spans="1:80">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row>
    <row r="54" spans="1:80">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row>
    <row r="55" spans="1:80" ht="15">
      <c r="A55" s="49" t="s">
        <v>33</v>
      </c>
      <c r="C55" s="57" t="str">
        <f>C8</f>
        <v>Irrigation Motor</v>
      </c>
      <c r="D55" s="57"/>
      <c r="E55" s="7" t="s">
        <v>126</v>
      </c>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row>
    <row r="56" spans="1:80" ht="15">
      <c r="A56" s="57" t="s">
        <v>34</v>
      </c>
      <c r="B56" s="57" t="s">
        <v>21</v>
      </c>
      <c r="C56" s="57">
        <v>1</v>
      </c>
      <c r="D56" s="57"/>
      <c r="E56" s="51">
        <f t="shared" ref="E56:X56" si="28">E11</f>
        <v>2016</v>
      </c>
      <c r="F56" s="52">
        <f t="shared" si="28"/>
        <v>2017</v>
      </c>
      <c r="G56" s="52">
        <f t="shared" si="28"/>
        <v>2018</v>
      </c>
      <c r="H56" s="52">
        <f t="shared" si="28"/>
        <v>2019</v>
      </c>
      <c r="I56" s="52">
        <f t="shared" si="28"/>
        <v>2020</v>
      </c>
      <c r="J56" s="52">
        <f t="shared" si="28"/>
        <v>2021</v>
      </c>
      <c r="K56" s="52">
        <f t="shared" si="28"/>
        <v>2022</v>
      </c>
      <c r="L56" s="52">
        <f t="shared" si="28"/>
        <v>2023</v>
      </c>
      <c r="M56" s="52">
        <f t="shared" si="28"/>
        <v>2024</v>
      </c>
      <c r="N56" s="52">
        <f t="shared" si="28"/>
        <v>2025</v>
      </c>
      <c r="O56" s="52">
        <f t="shared" si="28"/>
        <v>2026</v>
      </c>
      <c r="P56" s="52">
        <f t="shared" si="28"/>
        <v>2027</v>
      </c>
      <c r="Q56" s="52">
        <f t="shared" si="28"/>
        <v>2028</v>
      </c>
      <c r="R56" s="52">
        <f t="shared" si="28"/>
        <v>2029</v>
      </c>
      <c r="S56" s="52">
        <f t="shared" si="28"/>
        <v>2030</v>
      </c>
      <c r="T56" s="52">
        <f t="shared" si="28"/>
        <v>2031</v>
      </c>
      <c r="U56" s="52">
        <f t="shared" si="28"/>
        <v>2032</v>
      </c>
      <c r="V56" s="52">
        <f t="shared" si="28"/>
        <v>2033</v>
      </c>
      <c r="W56" s="52">
        <f t="shared" si="28"/>
        <v>2034</v>
      </c>
      <c r="X56" s="52">
        <f t="shared" si="28"/>
        <v>2035</v>
      </c>
      <c r="Y56" s="53" t="s">
        <v>31</v>
      </c>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row>
    <row r="57" spans="1:80" ht="15">
      <c r="A57" s="57" t="s">
        <v>22</v>
      </c>
      <c r="B57" s="57" t="s">
        <v>35</v>
      </c>
      <c r="C57" s="57" t="s">
        <v>36</v>
      </c>
      <c r="D57" s="57" t="s">
        <v>133</v>
      </c>
      <c r="E57" s="54" t="str">
        <f>CONCATENATE("Units_",E$11)</f>
        <v>Units_2016</v>
      </c>
      <c r="F57" s="55" t="str">
        <f t="shared" ref="F57:X57" si="29">CONCATENATE("Units_",F$11)</f>
        <v>Units_2017</v>
      </c>
      <c r="G57" s="55" t="str">
        <f t="shared" si="29"/>
        <v>Units_2018</v>
      </c>
      <c r="H57" s="55" t="str">
        <f t="shared" si="29"/>
        <v>Units_2019</v>
      </c>
      <c r="I57" s="55" t="str">
        <f t="shared" si="29"/>
        <v>Units_2020</v>
      </c>
      <c r="J57" s="55" t="str">
        <f t="shared" si="29"/>
        <v>Units_2021</v>
      </c>
      <c r="K57" s="55" t="str">
        <f t="shared" si="29"/>
        <v>Units_2022</v>
      </c>
      <c r="L57" s="55" t="str">
        <f t="shared" si="29"/>
        <v>Units_2023</v>
      </c>
      <c r="M57" s="55" t="str">
        <f t="shared" si="29"/>
        <v>Units_2024</v>
      </c>
      <c r="N57" s="55" t="str">
        <f t="shared" si="29"/>
        <v>Units_2025</v>
      </c>
      <c r="O57" s="55" t="str">
        <f t="shared" si="29"/>
        <v>Units_2026</v>
      </c>
      <c r="P57" s="55" t="str">
        <f t="shared" si="29"/>
        <v>Units_2027</v>
      </c>
      <c r="Q57" s="55" t="str">
        <f t="shared" si="29"/>
        <v>Units_2028</v>
      </c>
      <c r="R57" s="55" t="str">
        <f t="shared" si="29"/>
        <v>Units_2029</v>
      </c>
      <c r="S57" s="55" t="str">
        <f t="shared" si="29"/>
        <v>Units_2030</v>
      </c>
      <c r="T57" s="55" t="str">
        <f t="shared" si="29"/>
        <v>Units_2031</v>
      </c>
      <c r="U57" s="55" t="str">
        <f t="shared" si="29"/>
        <v>Units_2032</v>
      </c>
      <c r="V57" s="55" t="str">
        <f t="shared" si="29"/>
        <v>Units_2033</v>
      </c>
      <c r="W57" s="55" t="str">
        <f t="shared" si="29"/>
        <v>Units_2034</v>
      </c>
      <c r="X57" s="55" t="str">
        <f t="shared" si="29"/>
        <v>Units_2035</v>
      </c>
      <c r="Y57" s="56" t="s">
        <v>31</v>
      </c>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row>
    <row r="58" spans="1:80">
      <c r="A58" s="62">
        <f t="shared" ref="A58:A65" si="30">VLOOKUP($C58,MeasureOutput,3,FALSE)</f>
        <v>857.35378710031875</v>
      </c>
      <c r="B58" s="62">
        <f t="shared" ref="B58:B65" si="31">VLOOKUP($C58,MeasureOutput,11,FALSE)</f>
        <v>25.043599008275351</v>
      </c>
      <c r="C58" s="7" t="s">
        <v>312</v>
      </c>
      <c r="D58" s="7" t="str">
        <f>LEFT(C58,FIND(" ",C58))</f>
        <v xml:space="preserve">Montana </v>
      </c>
      <c r="E58" s="42">
        <f>VLOOKUP(LEFT($C58,FIND("Gre",$C58)-2),$D$41:$Y$48,E$26-1,FALSE)*$C$56*$A58/8760/1000</f>
        <v>7.6778953928241488E-3</v>
      </c>
      <c r="F58" s="42">
        <f t="shared" ref="F58:U65" si="32">VLOOKUP(LEFT($C58,FIND("Gre",$C58)-2),$D$41:$Y$48,F$26-1,FALSE)*$C$56*$A58/8760/1000</f>
        <v>7.7611870623983305E-3</v>
      </c>
      <c r="G58" s="42">
        <f t="shared" si="32"/>
        <v>7.8433988066139559E-3</v>
      </c>
      <c r="H58" s="42">
        <f t="shared" si="32"/>
        <v>7.9277334784225873E-3</v>
      </c>
      <c r="I58" s="42">
        <f t="shared" si="32"/>
        <v>8.0130239857249558E-3</v>
      </c>
      <c r="J58" s="42">
        <f t="shared" si="32"/>
        <v>7.2669398614618429E-3</v>
      </c>
      <c r="K58" s="42">
        <f t="shared" si="32"/>
        <v>5.8580442044336746E-3</v>
      </c>
      <c r="L58" s="42">
        <f t="shared" si="32"/>
        <v>4.7235686527653982E-3</v>
      </c>
      <c r="M58" s="42">
        <f t="shared" si="32"/>
        <v>3.8096371168694597E-3</v>
      </c>
      <c r="N58" s="42">
        <f t="shared" si="32"/>
        <v>3.0731010297885808E-3</v>
      </c>
      <c r="O58" s="42">
        <f t="shared" si="32"/>
        <v>2.4793074961665402E-3</v>
      </c>
      <c r="P58" s="42">
        <f t="shared" si="32"/>
        <v>2.0004915067029666E-3</v>
      </c>
      <c r="Q58" s="42">
        <f t="shared" si="32"/>
        <v>1.6142951862269459E-3</v>
      </c>
      <c r="R58" s="42">
        <f t="shared" si="32"/>
        <v>1.3027595645386963E-3</v>
      </c>
      <c r="S58" s="42">
        <f t="shared" si="32"/>
        <v>1.0514074132413826E-3</v>
      </c>
      <c r="T58" s="42">
        <f t="shared" si="32"/>
        <v>8.4855774639708769E-4</v>
      </c>
      <c r="U58" s="42">
        <f t="shared" si="32"/>
        <v>5.8392172482990838E-6</v>
      </c>
      <c r="V58" s="42">
        <f t="shared" ref="V58:X65" si="33">VLOOKUP(LEFT($C58,FIND("Gre",$C58)-2),$D$41:$Y$48,V$26-1,FALSE)*$C$56*$A58/8760/1000</f>
        <v>2.1039907327641473E-6</v>
      </c>
      <c r="W58" s="42">
        <f t="shared" si="33"/>
        <v>7.2366178744344973E-7</v>
      </c>
      <c r="X58" s="42">
        <f t="shared" si="33"/>
        <v>2.3807722220931111E-7</v>
      </c>
      <c r="Y58" s="42">
        <f>VLOOKUP(LEFT($C58,FIND("Gre",$C58)-2),$Z$27:$AA$34,2,FALSE)*$C$56*$A58/8760/1000</f>
        <v>8.3178643104776379E-2</v>
      </c>
      <c r="AA58" s="32">
        <f>SUM(E58:X58)</f>
        <v>7.3260253451567253E-2</v>
      </c>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row>
    <row r="59" spans="1:80">
      <c r="A59" s="62">
        <f t="shared" si="30"/>
        <v>857.35378710031875</v>
      </c>
      <c r="B59" s="62">
        <f t="shared" si="31"/>
        <v>25.043599008275351</v>
      </c>
      <c r="C59" s="7" t="s">
        <v>317</v>
      </c>
      <c r="D59" s="7" t="str">
        <f t="shared" ref="D59:D65" si="34">LEFT(C59,FIND(" ",C59))</f>
        <v xml:space="preserve">Oregon </v>
      </c>
      <c r="E59" s="42">
        <f t="shared" ref="E59:E65" si="35">VLOOKUP(LEFT($C59,FIND("Gre",$C59)-2),$D$41:$Y$48,E$26-1,FALSE)*$C$56*$A59/8760/1000</f>
        <v>4.2395745278362935E-2</v>
      </c>
      <c r="F59" s="42">
        <f t="shared" si="32"/>
        <v>4.2824401989212481E-2</v>
      </c>
      <c r="G59" s="42">
        <f t="shared" si="32"/>
        <v>4.3255181963347343E-2</v>
      </c>
      <c r="H59" s="42">
        <f t="shared" si="32"/>
        <v>4.3738639338172999E-2</v>
      </c>
      <c r="I59" s="42">
        <f t="shared" si="32"/>
        <v>4.4604800101417152E-2</v>
      </c>
      <c r="J59" s="42">
        <f t="shared" si="32"/>
        <v>4.0629216435157628E-2</v>
      </c>
      <c r="K59" s="42">
        <f t="shared" si="32"/>
        <v>3.2895848694793145E-2</v>
      </c>
      <c r="L59" s="42">
        <f t="shared" si="32"/>
        <v>2.665413796854094E-2</v>
      </c>
      <c r="M59" s="42">
        <f t="shared" si="32"/>
        <v>2.1580568568878997E-2</v>
      </c>
      <c r="N59" s="42">
        <f t="shared" si="32"/>
        <v>1.7633220682960592E-2</v>
      </c>
      <c r="O59" s="42">
        <f t="shared" si="32"/>
        <v>1.4273940915817232E-2</v>
      </c>
      <c r="P59" s="42">
        <f t="shared" si="32"/>
        <v>1.1554033550809719E-2</v>
      </c>
      <c r="Q59" s="42">
        <f t="shared" si="32"/>
        <v>9.3454612113855681E-3</v>
      </c>
      <c r="R59" s="42">
        <f t="shared" si="32"/>
        <v>7.5637617503166703E-3</v>
      </c>
      <c r="S59" s="42">
        <f t="shared" si="32"/>
        <v>6.1697495957689337E-3</v>
      </c>
      <c r="T59" s="42">
        <f t="shared" si="32"/>
        <v>4.995296572061058E-3</v>
      </c>
      <c r="U59" s="42">
        <f t="shared" si="32"/>
        <v>3.4501592955961283E-5</v>
      </c>
      <c r="V59" s="42">
        <f t="shared" si="33"/>
        <v>1.2475979094025292E-5</v>
      </c>
      <c r="W59" s="42">
        <f t="shared" si="33"/>
        <v>4.3031640221783859E-6</v>
      </c>
      <c r="X59" s="42">
        <f t="shared" si="33"/>
        <v>1.4325972962087635E-6</v>
      </c>
      <c r="Y59" s="42">
        <f t="shared" ref="Y59:Y65" si="36">VLOOKUP(LEFT($C59,FIND("Gre",$C59)-2),$Z$27:$AA$34,2,FALSE)*$C$56*$A59/8760/1000</f>
        <v>0.50051616911698005</v>
      </c>
      <c r="AA59" s="32">
        <f t="shared" ref="AA59:AA61" si="37">SUM(E59:X59)</f>
        <v>0.4101667179503718</v>
      </c>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row>
    <row r="60" spans="1:80">
      <c r="A60" s="62">
        <f t="shared" si="30"/>
        <v>818.2600452312563</v>
      </c>
      <c r="B60" s="62">
        <f t="shared" si="31"/>
        <v>28.968729190233617</v>
      </c>
      <c r="C60" s="7" t="s">
        <v>313</v>
      </c>
      <c r="D60" s="7" t="str">
        <f t="shared" si="34"/>
        <v xml:space="preserve">Oregon </v>
      </c>
      <c r="E60" s="42">
        <f t="shared" si="35"/>
        <v>3.8690231576021951E-2</v>
      </c>
      <c r="F60" s="42">
        <f t="shared" si="32"/>
        <v>3.9081422420775169E-2</v>
      </c>
      <c r="G60" s="42">
        <f t="shared" si="32"/>
        <v>3.9474550949314013E-2</v>
      </c>
      <c r="H60" s="42">
        <f t="shared" si="32"/>
        <v>3.9915752717706712E-2</v>
      </c>
      <c r="I60" s="42">
        <f t="shared" si="32"/>
        <v>4.0706208464903679E-2</v>
      </c>
      <c r="J60" s="42">
        <f t="shared" si="32"/>
        <v>3.7078102585705153E-2</v>
      </c>
      <c r="K60" s="42">
        <f t="shared" si="32"/>
        <v>3.0020654090043453E-2</v>
      </c>
      <c r="L60" s="42">
        <f t="shared" si="32"/>
        <v>2.4324487367566074E-2</v>
      </c>
      <c r="M60" s="42">
        <f t="shared" si="32"/>
        <v>1.9694362960008566E-2</v>
      </c>
      <c r="N60" s="42">
        <f t="shared" si="32"/>
        <v>1.6092024970322416E-2</v>
      </c>
      <c r="O60" s="42">
        <f t="shared" si="32"/>
        <v>1.3026356204127763E-2</v>
      </c>
      <c r="P60" s="42">
        <f t="shared" si="32"/>
        <v>1.0544176798469919E-2</v>
      </c>
      <c r="Q60" s="42">
        <f t="shared" si="32"/>
        <v>8.5286402227200148E-3</v>
      </c>
      <c r="R60" s="42">
        <f t="shared" si="32"/>
        <v>6.902666571472268E-3</v>
      </c>
      <c r="S60" s="42">
        <f t="shared" si="32"/>
        <v>5.6304952079282182E-3</v>
      </c>
      <c r="T60" s="42">
        <f t="shared" si="32"/>
        <v>4.5586928569124061E-3</v>
      </c>
      <c r="U60" s="42">
        <f t="shared" si="32"/>
        <v>3.1486051546994629E-5</v>
      </c>
      <c r="V60" s="42">
        <f t="shared" si="33"/>
        <v>1.1385541570648997E-5</v>
      </c>
      <c r="W60" s="42">
        <f t="shared" si="33"/>
        <v>3.9270547418034828E-6</v>
      </c>
      <c r="X60" s="42">
        <f t="shared" si="33"/>
        <v>1.3073840495448938E-6</v>
      </c>
      <c r="Y60" s="42">
        <f t="shared" si="36"/>
        <v>0.45676957353931613</v>
      </c>
      <c r="AA60" s="32">
        <f t="shared" si="37"/>
        <v>0.37431693199590682</v>
      </c>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row>
    <row r="61" spans="1:80">
      <c r="A61" s="62">
        <f t="shared" si="30"/>
        <v>818.2600452312563</v>
      </c>
      <c r="B61" s="62">
        <f t="shared" si="31"/>
        <v>28.968729190233617</v>
      </c>
      <c r="C61" s="7" t="s">
        <v>315</v>
      </c>
      <c r="D61" s="7" t="str">
        <f t="shared" si="34"/>
        <v xml:space="preserve">Idaho </v>
      </c>
      <c r="E61" s="42">
        <f t="shared" si="35"/>
        <v>5.2275221618992118E-2</v>
      </c>
      <c r="F61" s="42">
        <f t="shared" si="32"/>
        <v>5.2281758165089065E-2</v>
      </c>
      <c r="G61" s="42">
        <f t="shared" si="32"/>
        <v>5.2290842580396041E-2</v>
      </c>
      <c r="H61" s="42">
        <f t="shared" si="32"/>
        <v>5.2322850290283059E-2</v>
      </c>
      <c r="I61" s="42">
        <f t="shared" si="32"/>
        <v>5.2368961103610341E-2</v>
      </c>
      <c r="J61" s="42">
        <f t="shared" si="32"/>
        <v>4.7184862201305154E-2</v>
      </c>
      <c r="K61" s="42">
        <f t="shared" si="32"/>
        <v>3.7795897026557314E-2</v>
      </c>
      <c r="L61" s="42">
        <f t="shared" si="32"/>
        <v>3.0280272532042345E-2</v>
      </c>
      <c r="M61" s="42">
        <f t="shared" si="32"/>
        <v>2.4262672509539993E-2</v>
      </c>
      <c r="N61" s="42">
        <f t="shared" si="32"/>
        <v>1.9443532444436241E-2</v>
      </c>
      <c r="O61" s="42">
        <f t="shared" si="32"/>
        <v>1.5583274254576665E-2</v>
      </c>
      <c r="P61" s="42">
        <f t="shared" si="32"/>
        <v>1.249077664495734E-2</v>
      </c>
      <c r="Q61" s="42">
        <f t="shared" si="32"/>
        <v>1.0012922444381874E-2</v>
      </c>
      <c r="R61" s="42">
        <f t="shared" si="32"/>
        <v>8.0273845915465256E-3</v>
      </c>
      <c r="S61" s="42">
        <f t="shared" si="32"/>
        <v>6.436117153975191E-3</v>
      </c>
      <c r="T61" s="42">
        <f t="shared" si="32"/>
        <v>5.1605190114928715E-3</v>
      </c>
      <c r="U61" s="42">
        <f t="shared" si="32"/>
        <v>3.5281288811008986E-5</v>
      </c>
      <c r="V61" s="42">
        <f t="shared" si="33"/>
        <v>1.2630883685318006E-5</v>
      </c>
      <c r="W61" s="42">
        <f t="shared" si="33"/>
        <v>4.3166827164783238E-6</v>
      </c>
      <c r="X61" s="42">
        <f t="shared" si="33"/>
        <v>1.4111814023678776E-6</v>
      </c>
      <c r="Y61" s="42">
        <f t="shared" si="36"/>
        <v>0.49303395400194167</v>
      </c>
      <c r="AA61" s="32">
        <f t="shared" si="37"/>
        <v>0.47827150460979739</v>
      </c>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1:80">
      <c r="A62" s="62">
        <f t="shared" si="30"/>
        <v>1111.4974068636257</v>
      </c>
      <c r="B62" s="62">
        <f t="shared" si="31"/>
        <v>27.838271825761808</v>
      </c>
      <c r="C62" s="7" t="s">
        <v>314</v>
      </c>
      <c r="D62" s="7" t="str">
        <f t="shared" si="34"/>
        <v xml:space="preserve">Washington </v>
      </c>
      <c r="E62" s="42">
        <f t="shared" si="35"/>
        <v>4.1373503988232072E-2</v>
      </c>
      <c r="F62" s="42">
        <f t="shared" si="32"/>
        <v>4.1814633343854157E-2</v>
      </c>
      <c r="G62" s="42">
        <f t="shared" si="32"/>
        <v>4.227171992686065E-2</v>
      </c>
      <c r="H62" s="42">
        <f t="shared" si="32"/>
        <v>4.2744054044160013E-2</v>
      </c>
      <c r="I62" s="42">
        <f t="shared" si="32"/>
        <v>4.3518336896893453E-2</v>
      </c>
      <c r="J62" s="42">
        <f t="shared" si="32"/>
        <v>3.9652167424444801E-2</v>
      </c>
      <c r="K62" s="42">
        <f t="shared" si="32"/>
        <v>3.2100487095487684E-2</v>
      </c>
      <c r="L62" s="42">
        <f t="shared" si="32"/>
        <v>2.5995957620046199E-2</v>
      </c>
      <c r="M62" s="42">
        <f t="shared" si="32"/>
        <v>2.1043046105486865E-2</v>
      </c>
      <c r="N62" s="42">
        <f t="shared" si="32"/>
        <v>1.7165774928190568E-2</v>
      </c>
      <c r="O62" s="42">
        <f t="shared" si="32"/>
        <v>1.3891811699920599E-2</v>
      </c>
      <c r="P62" s="42">
        <f t="shared" si="32"/>
        <v>1.1237340359966524E-2</v>
      </c>
      <c r="Q62" s="42">
        <f t="shared" si="32"/>
        <v>9.0925904340471049E-3</v>
      </c>
      <c r="R62" s="42">
        <f t="shared" si="32"/>
        <v>7.3539839242302042E-3</v>
      </c>
      <c r="S62" s="42">
        <f t="shared" si="32"/>
        <v>5.9886740284363256E-3</v>
      </c>
      <c r="T62" s="42">
        <f t="shared" si="32"/>
        <v>4.8471673882952652E-3</v>
      </c>
      <c r="U62" s="42">
        <f t="shared" si="32"/>
        <v>3.3457543178242756E-5</v>
      </c>
      <c r="V62" s="42">
        <f t="shared" si="33"/>
        <v>1.2090870513429115E-5</v>
      </c>
      <c r="W62" s="42">
        <f t="shared" si="33"/>
        <v>4.1689515259323347E-6</v>
      </c>
      <c r="X62" s="42">
        <f t="shared" si="33"/>
        <v>1.385050073544081E-6</v>
      </c>
      <c r="Y62" s="42">
        <f t="shared" si="36"/>
        <v>0.48390427559794397</v>
      </c>
      <c r="AA62" s="26">
        <f t="shared" ref="AA62:AA65" si="38">SUM(E62:X62)</f>
        <v>0.4001423516238436</v>
      </c>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row>
    <row r="63" spans="1:80">
      <c r="A63" s="62">
        <f t="shared" si="30"/>
        <v>1470.9620152427756</v>
      </c>
      <c r="B63" s="62">
        <f t="shared" si="31"/>
        <v>28.207939964256056</v>
      </c>
      <c r="C63" s="7" t="s">
        <v>311</v>
      </c>
      <c r="D63" s="7" t="str">
        <f t="shared" si="34"/>
        <v xml:space="preserve">Idaho </v>
      </c>
      <c r="E63" s="42">
        <f t="shared" si="35"/>
        <v>7.3919020415857156E-2</v>
      </c>
      <c r="F63" s="42">
        <f t="shared" si="32"/>
        <v>7.3928263324245222E-2</v>
      </c>
      <c r="G63" s="42">
        <f t="shared" si="32"/>
        <v>7.3941109010207826E-2</v>
      </c>
      <c r="H63" s="42">
        <f t="shared" si="32"/>
        <v>7.3986369049043196E-2</v>
      </c>
      <c r="I63" s="42">
        <f t="shared" si="32"/>
        <v>7.4051571377147574E-2</v>
      </c>
      <c r="J63" s="42">
        <f t="shared" si="32"/>
        <v>6.6721071367213641E-2</v>
      </c>
      <c r="K63" s="42">
        <f t="shared" si="32"/>
        <v>5.3444741072636533E-2</v>
      </c>
      <c r="L63" s="42">
        <f t="shared" si="32"/>
        <v>4.2817381049238143E-2</v>
      </c>
      <c r="M63" s="42">
        <f t="shared" si="32"/>
        <v>3.4308280845706751E-2</v>
      </c>
      <c r="N63" s="42">
        <f t="shared" si="32"/>
        <v>2.7493845596524395E-2</v>
      </c>
      <c r="O63" s="42">
        <f t="shared" si="32"/>
        <v>2.2035303382653793E-2</v>
      </c>
      <c r="P63" s="42">
        <f t="shared" si="32"/>
        <v>1.7662401903487428E-2</v>
      </c>
      <c r="Q63" s="42">
        <f t="shared" si="32"/>
        <v>1.4158628039555853E-2</v>
      </c>
      <c r="R63" s="42">
        <f t="shared" si="32"/>
        <v>1.1351006980578449E-2</v>
      </c>
      <c r="S63" s="42">
        <f t="shared" si="32"/>
        <v>9.1008982950097194E-3</v>
      </c>
      <c r="T63" s="42">
        <f t="shared" si="32"/>
        <v>7.2971572066635147E-3</v>
      </c>
      <c r="U63" s="42">
        <f t="shared" si="32"/>
        <v>4.9888995725868512E-5</v>
      </c>
      <c r="V63" s="42">
        <f t="shared" si="33"/>
        <v>1.7860518235777884E-5</v>
      </c>
      <c r="W63" s="42">
        <f t="shared" si="33"/>
        <v>6.1039427087232506E-6</v>
      </c>
      <c r="X63" s="42">
        <f t="shared" si="33"/>
        <v>1.9954606343402107E-6</v>
      </c>
      <c r="Y63" s="42">
        <f t="shared" si="36"/>
        <v>0.69716752570092655</v>
      </c>
      <c r="AA63" s="26">
        <f t="shared" si="38"/>
        <v>0.67629289783307389</v>
      </c>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row>
    <row r="64" spans="1:80">
      <c r="A64" s="62">
        <f t="shared" si="30"/>
        <v>797.38994023341627</v>
      </c>
      <c r="B64" s="62">
        <f t="shared" si="31"/>
        <v>24.513726435017748</v>
      </c>
      <c r="C64" s="7" t="s">
        <v>316</v>
      </c>
      <c r="D64" s="7" t="str">
        <f t="shared" si="34"/>
        <v xml:space="preserve">Montana </v>
      </c>
      <c r="E64" s="42">
        <f t="shared" si="35"/>
        <v>2.4052861385334016E-2</v>
      </c>
      <c r="F64" s="42">
        <f t="shared" si="32"/>
        <v>2.4313792653646586E-2</v>
      </c>
      <c r="G64" s="42">
        <f t="shared" si="32"/>
        <v>2.4571340794991816E-2</v>
      </c>
      <c r="H64" s="42">
        <f t="shared" si="32"/>
        <v>2.4835539519669214E-2</v>
      </c>
      <c r="I64" s="42">
        <f t="shared" si="32"/>
        <v>2.5102732629847056E-2</v>
      </c>
      <c r="J64" s="42">
        <f t="shared" si="32"/>
        <v>2.2765443945311041E-2</v>
      </c>
      <c r="K64" s="42">
        <f t="shared" si="32"/>
        <v>1.8351738077871157E-2</v>
      </c>
      <c r="L64" s="42">
        <f t="shared" si="32"/>
        <v>1.4797719457764596E-2</v>
      </c>
      <c r="M64" s="42">
        <f t="shared" si="32"/>
        <v>1.1934608224296156E-2</v>
      </c>
      <c r="N64" s="42">
        <f t="shared" si="32"/>
        <v>9.6272310719048779E-3</v>
      </c>
      <c r="O64" s="42">
        <f t="shared" si="32"/>
        <v>7.7670294378650124E-3</v>
      </c>
      <c r="P64" s="42">
        <f t="shared" si="32"/>
        <v>6.2670227258156816E-3</v>
      </c>
      <c r="Q64" s="42">
        <f t="shared" si="32"/>
        <v>5.0571694927776939E-3</v>
      </c>
      <c r="R64" s="42">
        <f t="shared" si="32"/>
        <v>4.0812089278467528E-3</v>
      </c>
      <c r="S64" s="42">
        <f t="shared" si="32"/>
        <v>3.2937876170914373E-3</v>
      </c>
      <c r="T64" s="42">
        <f t="shared" si="32"/>
        <v>2.6583120513228435E-3</v>
      </c>
      <c r="U64" s="42">
        <f t="shared" si="32"/>
        <v>1.829275809142379E-5</v>
      </c>
      <c r="V64" s="42">
        <f t="shared" si="33"/>
        <v>6.5912590445685497E-6</v>
      </c>
      <c r="W64" s="42">
        <f t="shared" si="33"/>
        <v>2.2670452998758386E-6</v>
      </c>
      <c r="X64" s="42">
        <f t="shared" si="33"/>
        <v>7.4583438974148072E-7</v>
      </c>
      <c r="Y64" s="42">
        <f t="shared" si="36"/>
        <v>0.2605771856033906</v>
      </c>
      <c r="AA64" s="26">
        <f t="shared" si="38"/>
        <v>0.22950543491018152</v>
      </c>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row>
    <row r="65" spans="1:80">
      <c r="A65" s="62">
        <f t="shared" si="30"/>
        <v>842.07444999887502</v>
      </c>
      <c r="B65" s="62">
        <f t="shared" si="31"/>
        <v>31.174095237668393</v>
      </c>
      <c r="C65" s="7" t="s">
        <v>318</v>
      </c>
      <c r="D65" s="7" t="str">
        <f t="shared" si="34"/>
        <v xml:space="preserve">Washington </v>
      </c>
      <c r="E65" s="42">
        <f t="shared" si="35"/>
        <v>3.7501631187684896E-2</v>
      </c>
      <c r="F65" s="42">
        <f t="shared" si="32"/>
        <v>3.7901478162340588E-2</v>
      </c>
      <c r="G65" s="42">
        <f t="shared" si="32"/>
        <v>3.8315789032931209E-2</v>
      </c>
      <c r="H65" s="42">
        <f t="shared" si="32"/>
        <v>3.8743920521851244E-2</v>
      </c>
      <c r="I65" s="42">
        <f t="shared" si="32"/>
        <v>3.9445743359636944E-2</v>
      </c>
      <c r="J65" s="42">
        <f t="shared" si="32"/>
        <v>3.5941383136579817E-2</v>
      </c>
      <c r="K65" s="42">
        <f t="shared" si="32"/>
        <v>2.9096414660513686E-2</v>
      </c>
      <c r="L65" s="42">
        <f t="shared" si="32"/>
        <v>2.3563167753810472E-2</v>
      </c>
      <c r="M65" s="42">
        <f t="shared" si="32"/>
        <v>1.9073766494079783E-2</v>
      </c>
      <c r="N65" s="42">
        <f t="shared" si="32"/>
        <v>1.5559343501360482E-2</v>
      </c>
      <c r="O65" s="42">
        <f t="shared" si="32"/>
        <v>1.2591768853983634E-2</v>
      </c>
      <c r="P65" s="42">
        <f t="shared" si="32"/>
        <v>1.0185711943320427E-2</v>
      </c>
      <c r="Q65" s="42">
        <f t="shared" si="32"/>
        <v>8.241674988303957E-3</v>
      </c>
      <c r="R65" s="42">
        <f t="shared" si="32"/>
        <v>6.6657731712809979E-3</v>
      </c>
      <c r="S65" s="42">
        <f t="shared" si="32"/>
        <v>5.4282336052939896E-3</v>
      </c>
      <c r="T65" s="42">
        <f t="shared" si="32"/>
        <v>4.3935530273801768E-3</v>
      </c>
      <c r="U65" s="42">
        <f t="shared" si="32"/>
        <v>3.0326472833274691E-5</v>
      </c>
      <c r="V65" s="42">
        <f t="shared" si="33"/>
        <v>1.0959365850705855E-5</v>
      </c>
      <c r="W65" s="42">
        <f t="shared" si="33"/>
        <v>3.7788069052434937E-6</v>
      </c>
      <c r="X65" s="42">
        <f t="shared" si="33"/>
        <v>1.255432390964512E-6</v>
      </c>
      <c r="Y65" s="42">
        <f t="shared" si="36"/>
        <v>0.43861887257070503</v>
      </c>
      <c r="AA65" s="26">
        <f t="shared" si="38"/>
        <v>0.36269567347833243</v>
      </c>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row>
    <row r="66" spans="1:80">
      <c r="AA66" s="32"/>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row>
    <row r="67" spans="1:80">
      <c r="B67" s="60">
        <f>SUMPRODUCT($B$58:$B$65,$AA$58:$AA$65)/AA67</f>
        <v>27.941340701879437</v>
      </c>
      <c r="E67" s="26">
        <f>SUM(E58:E65)</f>
        <v>0.31788611084330931</v>
      </c>
      <c r="F67" s="26">
        <f t="shared" ref="F67:Y67" si="39">SUM(F58:F65)</f>
        <v>0.3199069371215616</v>
      </c>
      <c r="G67" s="26">
        <f t="shared" si="39"/>
        <v>0.32196393306466281</v>
      </c>
      <c r="H67" s="26">
        <f t="shared" si="39"/>
        <v>0.32421485895930902</v>
      </c>
      <c r="I67" s="26">
        <f t="shared" si="39"/>
        <v>0.32781137791918119</v>
      </c>
      <c r="J67" s="26">
        <f t="shared" si="39"/>
        <v>0.29723918695717905</v>
      </c>
      <c r="K67" s="26">
        <f t="shared" si="39"/>
        <v>0.23956382492233663</v>
      </c>
      <c r="L67" s="26">
        <f t="shared" si="39"/>
        <v>0.19315669240177416</v>
      </c>
      <c r="M67" s="26">
        <f t="shared" si="39"/>
        <v>0.15570694282486658</v>
      </c>
      <c r="N67" s="26">
        <f t="shared" si="39"/>
        <v>0.12608807422548818</v>
      </c>
      <c r="O67" s="26">
        <f t="shared" si="39"/>
        <v>0.10164879224511124</v>
      </c>
      <c r="P67" s="26">
        <f t="shared" si="39"/>
        <v>8.194195543353E-2</v>
      </c>
      <c r="Q67" s="26">
        <f t="shared" si="39"/>
        <v>6.6051382019399002E-2</v>
      </c>
      <c r="R67" s="26">
        <f t="shared" si="39"/>
        <v>5.3248545481810558E-2</v>
      </c>
      <c r="S67" s="26">
        <f t="shared" si="39"/>
        <v>4.3099362916745196E-2</v>
      </c>
      <c r="T67" s="26">
        <f t="shared" si="39"/>
        <v>3.475925586052523E-2</v>
      </c>
      <c r="U67" s="26">
        <f t="shared" si="39"/>
        <v>2.3907392039107373E-4</v>
      </c>
      <c r="V67" s="26">
        <f t="shared" si="39"/>
        <v>8.6098408727237847E-5</v>
      </c>
      <c r="W67" s="26">
        <f t="shared" si="39"/>
        <v>2.9589309707678561E-5</v>
      </c>
      <c r="X67" s="26">
        <f t="shared" si="39"/>
        <v>9.7710174589211311E-6</v>
      </c>
      <c r="Y67" s="26">
        <f t="shared" si="39"/>
        <v>3.4137661992359805</v>
      </c>
      <c r="AA67" s="32">
        <f>SUM(E67:X67)</f>
        <v>3.0046517658530756</v>
      </c>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row>
    <row r="68" spans="1:80">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row>
    <row r="69" spans="1:80">
      <c r="D69" s="26"/>
      <c r="E69" s="26">
        <f>E67</f>
        <v>0.31788611084330931</v>
      </c>
      <c r="F69" s="26">
        <f>F67+E69</f>
        <v>0.63779304796487091</v>
      </c>
      <c r="G69" s="26">
        <f t="shared" ref="G69:W69" si="40">G67+F69</f>
        <v>0.95975698102953366</v>
      </c>
      <c r="H69" s="26">
        <f t="shared" si="40"/>
        <v>1.2839718399888427</v>
      </c>
      <c r="I69" s="26">
        <f t="shared" si="40"/>
        <v>1.6117832179080238</v>
      </c>
      <c r="J69" s="26">
        <f t="shared" si="40"/>
        <v>1.9090224048652029</v>
      </c>
      <c r="K69" s="26">
        <f t="shared" si="40"/>
        <v>2.1485862297875395</v>
      </c>
      <c r="L69" s="26">
        <f t="shared" si="40"/>
        <v>2.3417429221893138</v>
      </c>
      <c r="M69" s="26">
        <f t="shared" si="40"/>
        <v>2.4974498650141803</v>
      </c>
      <c r="N69" s="26">
        <f t="shared" si="40"/>
        <v>2.6235379392396685</v>
      </c>
      <c r="O69" s="26">
        <f t="shared" si="40"/>
        <v>2.7251867314847797</v>
      </c>
      <c r="P69" s="26">
        <f t="shared" si="40"/>
        <v>2.8071286869183099</v>
      </c>
      <c r="Q69" s="26">
        <f t="shared" si="40"/>
        <v>2.8731800689377089</v>
      </c>
      <c r="R69" s="26">
        <f t="shared" si="40"/>
        <v>2.9264286144195193</v>
      </c>
      <c r="S69" s="26">
        <f t="shared" si="40"/>
        <v>2.9695279773362646</v>
      </c>
      <c r="T69" s="26">
        <f t="shared" si="40"/>
        <v>3.00428723319679</v>
      </c>
      <c r="U69" s="26">
        <f t="shared" si="40"/>
        <v>3.0045263071171813</v>
      </c>
      <c r="V69" s="26">
        <f t="shared" si="40"/>
        <v>3.0046124055259087</v>
      </c>
      <c r="W69" s="26">
        <f t="shared" si="40"/>
        <v>3.0046419948356164</v>
      </c>
      <c r="X69" s="26">
        <f>X67+W69</f>
        <v>3.0046517658530756</v>
      </c>
      <c r="Y69" s="26"/>
      <c r="Z69" s="26"/>
      <c r="AA69" s="26"/>
      <c r="AB69" s="43"/>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row>
    <row r="70" spans="1:8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row>
    <row r="71" spans="1:80">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row>
    <row r="72" spans="1:80" ht="15">
      <c r="A72" s="49" t="s">
        <v>37</v>
      </c>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row>
    <row r="73" spans="1:80" ht="15">
      <c r="E73" s="51">
        <f t="shared" ref="E73:X73" si="41">E11</f>
        <v>2016</v>
      </c>
      <c r="F73" s="52">
        <f t="shared" si="41"/>
        <v>2017</v>
      </c>
      <c r="G73" s="52">
        <f t="shared" si="41"/>
        <v>2018</v>
      </c>
      <c r="H73" s="52">
        <f t="shared" si="41"/>
        <v>2019</v>
      </c>
      <c r="I73" s="52">
        <f t="shared" si="41"/>
        <v>2020</v>
      </c>
      <c r="J73" s="52">
        <f t="shared" si="41"/>
        <v>2021</v>
      </c>
      <c r="K73" s="52">
        <f t="shared" si="41"/>
        <v>2022</v>
      </c>
      <c r="L73" s="52">
        <f t="shared" si="41"/>
        <v>2023</v>
      </c>
      <c r="M73" s="52">
        <f t="shared" si="41"/>
        <v>2024</v>
      </c>
      <c r="N73" s="52">
        <f t="shared" si="41"/>
        <v>2025</v>
      </c>
      <c r="O73" s="52">
        <f t="shared" si="41"/>
        <v>2026</v>
      </c>
      <c r="P73" s="52">
        <f t="shared" si="41"/>
        <v>2027</v>
      </c>
      <c r="Q73" s="52">
        <f t="shared" si="41"/>
        <v>2028</v>
      </c>
      <c r="R73" s="52">
        <f t="shared" si="41"/>
        <v>2029</v>
      </c>
      <c r="S73" s="52">
        <f t="shared" si="41"/>
        <v>2030</v>
      </c>
      <c r="T73" s="52">
        <f t="shared" si="41"/>
        <v>2031</v>
      </c>
      <c r="U73" s="52">
        <f t="shared" si="41"/>
        <v>2032</v>
      </c>
      <c r="V73" s="52">
        <f t="shared" si="41"/>
        <v>2033</v>
      </c>
      <c r="W73" s="52">
        <f t="shared" si="41"/>
        <v>2034</v>
      </c>
      <c r="X73" s="52">
        <f t="shared" si="41"/>
        <v>2035</v>
      </c>
      <c r="Y73" s="53" t="s">
        <v>31</v>
      </c>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row>
    <row r="74" spans="1:80" ht="15">
      <c r="C74" s="44" t="s">
        <v>35</v>
      </c>
      <c r="D74" s="44" t="s">
        <v>35</v>
      </c>
      <c r="E74" s="54" t="str">
        <f t="shared" ref="E74:X74" si="42">CONCATENATE("Units_",E$11)</f>
        <v>Units_2016</v>
      </c>
      <c r="F74" s="55" t="str">
        <f t="shared" si="42"/>
        <v>Units_2017</v>
      </c>
      <c r="G74" s="55" t="str">
        <f t="shared" si="42"/>
        <v>Units_2018</v>
      </c>
      <c r="H74" s="55" t="str">
        <f t="shared" si="42"/>
        <v>Units_2019</v>
      </c>
      <c r="I74" s="55" t="str">
        <f t="shared" si="42"/>
        <v>Units_2020</v>
      </c>
      <c r="J74" s="55" t="str">
        <f t="shared" si="42"/>
        <v>Units_2021</v>
      </c>
      <c r="K74" s="55" t="str">
        <f t="shared" si="42"/>
        <v>Units_2022</v>
      </c>
      <c r="L74" s="55" t="str">
        <f t="shared" si="42"/>
        <v>Units_2023</v>
      </c>
      <c r="M74" s="55" t="str">
        <f t="shared" si="42"/>
        <v>Units_2024</v>
      </c>
      <c r="N74" s="55" t="str">
        <f t="shared" si="42"/>
        <v>Units_2025</v>
      </c>
      <c r="O74" s="55" t="str">
        <f t="shared" si="42"/>
        <v>Units_2026</v>
      </c>
      <c r="P74" s="55" t="str">
        <f t="shared" si="42"/>
        <v>Units_2027</v>
      </c>
      <c r="Q74" s="55" t="str">
        <f t="shared" si="42"/>
        <v>Units_2028</v>
      </c>
      <c r="R74" s="55" t="str">
        <f t="shared" si="42"/>
        <v>Units_2029</v>
      </c>
      <c r="S74" s="55" t="str">
        <f t="shared" si="42"/>
        <v>Units_2030</v>
      </c>
      <c r="T74" s="55" t="str">
        <f t="shared" si="42"/>
        <v>Units_2031</v>
      </c>
      <c r="U74" s="55" t="str">
        <f t="shared" si="42"/>
        <v>Units_2032</v>
      </c>
      <c r="V74" s="55" t="str">
        <f t="shared" si="42"/>
        <v>Units_2033</v>
      </c>
      <c r="W74" s="55" t="str">
        <f t="shared" si="42"/>
        <v>Units_2034</v>
      </c>
      <c r="X74" s="55" t="str">
        <f t="shared" si="42"/>
        <v>Units_2035</v>
      </c>
      <c r="Y74" s="56" t="s">
        <v>31</v>
      </c>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row>
    <row r="75" spans="1:80">
      <c r="B75" s="7" t="s">
        <v>38</v>
      </c>
      <c r="C75" s="45" t="s">
        <v>39</v>
      </c>
      <c r="D75" s="45" t="s">
        <v>40</v>
      </c>
      <c r="E75" s="42">
        <f>DSUM($B$57:$Y$65,E$57,$C$74:$D75)</f>
        <v>0</v>
      </c>
      <c r="F75" s="42">
        <f>DSUM($B$57:$Y$65,F$57,$C$74:$D75)</f>
        <v>0</v>
      </c>
      <c r="G75" s="42">
        <f>DSUM($B$57:$Y$65,G$57,$C$74:$D75)</f>
        <v>0</v>
      </c>
      <c r="H75" s="42">
        <f>DSUM($B$57:$Y$65,H$57,$C$74:$D75)</f>
        <v>0</v>
      </c>
      <c r="I75" s="42">
        <f>DSUM($B$57:$Y$65,I$57,$C$74:$D75)</f>
        <v>0</v>
      </c>
      <c r="J75" s="42">
        <f>DSUM($B$57:$Y$65,J$57,$C$74:$D75)</f>
        <v>0</v>
      </c>
      <c r="K75" s="42">
        <f>DSUM($B$57:$Y$65,K$57,$C$74:$D75)</f>
        <v>0</v>
      </c>
      <c r="L75" s="42">
        <f>DSUM($B$57:$Y$65,L$57,$C$74:$D75)</f>
        <v>0</v>
      </c>
      <c r="M75" s="42">
        <f>DSUM($B$57:$Y$65,M$57,$C$74:$D75)</f>
        <v>0</v>
      </c>
      <c r="N75" s="42">
        <f>DSUM($B$57:$Y$65,N$57,$C$74:$D75)</f>
        <v>0</v>
      </c>
      <c r="O75" s="42">
        <f>DSUM($B$57:$Y$65,O$57,$C$74:$D75)</f>
        <v>0</v>
      </c>
      <c r="P75" s="42">
        <f>DSUM($B$57:$Y$65,P$57,$C$74:$D75)</f>
        <v>0</v>
      </c>
      <c r="Q75" s="42">
        <f>DSUM($B$57:$Y$65,Q$57,$C$74:$D75)</f>
        <v>0</v>
      </c>
      <c r="R75" s="42">
        <f>DSUM($B$57:$Y$65,R$57,$C$74:$D75)</f>
        <v>0</v>
      </c>
      <c r="S75" s="42">
        <f>DSUM($B$57:$Y$65,S$57,$C$74:$D75)</f>
        <v>0</v>
      </c>
      <c r="T75" s="42">
        <f>DSUM($B$57:$Y$65,T$57,$C$74:$D75)</f>
        <v>0</v>
      </c>
      <c r="U75" s="42">
        <f>DSUM($B$57:$Y$65,U$57,$C$74:$D75)</f>
        <v>0</v>
      </c>
      <c r="V75" s="42">
        <f>DSUM($B$57:$Y$65,V$57,$C$74:$D75)</f>
        <v>0</v>
      </c>
      <c r="W75" s="42">
        <f>DSUM($B$57:$Y$65,W$57,$C$74:$D75)</f>
        <v>0</v>
      </c>
      <c r="X75" s="42">
        <f>DSUM($B$57:$Y$65,X$57,$C$74:$D75)</f>
        <v>0</v>
      </c>
      <c r="Y75" s="42">
        <f>DSUM($B$57:$Y$65,Y$57,$C$74:$D75)</f>
        <v>0</v>
      </c>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row>
    <row r="76" spans="1:80">
      <c r="B76" s="7" t="s">
        <v>41</v>
      </c>
      <c r="C76" s="45" t="s">
        <v>42</v>
      </c>
      <c r="D76" s="45" t="s">
        <v>43</v>
      </c>
      <c r="E76" s="42">
        <f>DSUM($B$57:$Y$65,E$57,$C$74:$D76)</f>
        <v>0</v>
      </c>
      <c r="F76" s="42">
        <f>DSUM($B$57:$Y$65,F$57,$C$74:$D76)</f>
        <v>0</v>
      </c>
      <c r="G76" s="42">
        <f>DSUM($B$57:$Y$65,G$57,$C$74:$D76)</f>
        <v>0</v>
      </c>
      <c r="H76" s="42">
        <f>DSUM($B$57:$Y$65,H$57,$C$74:$D76)</f>
        <v>0</v>
      </c>
      <c r="I76" s="42">
        <f>DSUM($B$57:$Y$65,I$57,$C$74:$D76)</f>
        <v>0</v>
      </c>
      <c r="J76" s="42">
        <f>DSUM($B$57:$Y$65,J$57,$C$74:$D76)</f>
        <v>0</v>
      </c>
      <c r="K76" s="42">
        <f>DSUM($B$57:$Y$65,K$57,$C$74:$D76)</f>
        <v>0</v>
      </c>
      <c r="L76" s="42">
        <f>DSUM($B$57:$Y$65,L$57,$C$74:$D76)</f>
        <v>0</v>
      </c>
      <c r="M76" s="42">
        <f>DSUM($B$57:$Y$65,M$57,$C$74:$D76)</f>
        <v>0</v>
      </c>
      <c r="N76" s="42">
        <f>DSUM($B$57:$Y$65,N$57,$C$74:$D76)</f>
        <v>0</v>
      </c>
      <c r="O76" s="42">
        <f>DSUM($B$57:$Y$65,O$57,$C$74:$D76)</f>
        <v>0</v>
      </c>
      <c r="P76" s="42">
        <f>DSUM($B$57:$Y$65,P$57,$C$74:$D76)</f>
        <v>0</v>
      </c>
      <c r="Q76" s="42">
        <f>DSUM($B$57:$Y$65,Q$57,$C$74:$D76)</f>
        <v>0</v>
      </c>
      <c r="R76" s="42">
        <f>DSUM($B$57:$Y$65,R$57,$C$74:$D76)</f>
        <v>0</v>
      </c>
      <c r="S76" s="42">
        <f>DSUM($B$57:$Y$65,S$57,$C$74:$D76)</f>
        <v>0</v>
      </c>
      <c r="T76" s="42">
        <f>DSUM($B$57:$Y$65,T$57,$C$74:$D76)</f>
        <v>0</v>
      </c>
      <c r="U76" s="42">
        <f>DSUM($B$57:$Y$65,U$57,$C$74:$D76)</f>
        <v>0</v>
      </c>
      <c r="V76" s="42">
        <f>DSUM($B$57:$Y$65,V$57,$C$74:$D76)</f>
        <v>0</v>
      </c>
      <c r="W76" s="42">
        <f>DSUM($B$57:$Y$65,W$57,$C$74:$D76)</f>
        <v>0</v>
      </c>
      <c r="X76" s="42">
        <f>DSUM($B$57:$Y$65,X$57,$C$74:$D76)</f>
        <v>0</v>
      </c>
      <c r="Y76" s="42">
        <f>DSUM($B$57:$Y$65,Y$57,$C$74:$D76)</f>
        <v>0</v>
      </c>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row>
    <row r="77" spans="1:80">
      <c r="B77" s="7" t="s">
        <v>44</v>
      </c>
      <c r="C77" s="45" t="s">
        <v>45</v>
      </c>
      <c r="D77" s="45" t="s">
        <v>46</v>
      </c>
      <c r="E77" s="42">
        <f>DSUM($B$57:$Y$65,E$57,$C$74:$D77)</f>
        <v>0</v>
      </c>
      <c r="F77" s="42">
        <f>DSUM($B$57:$Y$65,F$57,$C$74:$D77)</f>
        <v>0</v>
      </c>
      <c r="G77" s="42">
        <f>DSUM($B$57:$Y$65,G$57,$C$74:$D77)</f>
        <v>0</v>
      </c>
      <c r="H77" s="42">
        <f>DSUM($B$57:$Y$65,H$57,$C$74:$D77)</f>
        <v>0</v>
      </c>
      <c r="I77" s="42">
        <f>DSUM($B$57:$Y$65,I$57,$C$74:$D77)</f>
        <v>0</v>
      </c>
      <c r="J77" s="42">
        <f>DSUM($B$57:$Y$65,J$57,$C$74:$D77)</f>
        <v>0</v>
      </c>
      <c r="K77" s="42">
        <f>DSUM($B$57:$Y$65,K$57,$C$74:$D77)</f>
        <v>0</v>
      </c>
      <c r="L77" s="42">
        <f>DSUM($B$57:$Y$65,L$57,$C$74:$D77)</f>
        <v>0</v>
      </c>
      <c r="M77" s="42">
        <f>DSUM($B$57:$Y$65,M$57,$C$74:$D77)</f>
        <v>0</v>
      </c>
      <c r="N77" s="42">
        <f>DSUM($B$57:$Y$65,N$57,$C$74:$D77)</f>
        <v>0</v>
      </c>
      <c r="O77" s="42">
        <f>DSUM($B$57:$Y$65,O$57,$C$74:$D77)</f>
        <v>0</v>
      </c>
      <c r="P77" s="42">
        <f>DSUM($B$57:$Y$65,P$57,$C$74:$D77)</f>
        <v>0</v>
      </c>
      <c r="Q77" s="42">
        <f>DSUM($B$57:$Y$65,Q$57,$C$74:$D77)</f>
        <v>0</v>
      </c>
      <c r="R77" s="42">
        <f>DSUM($B$57:$Y$65,R$57,$C$74:$D77)</f>
        <v>0</v>
      </c>
      <c r="S77" s="42">
        <f>DSUM($B$57:$Y$65,S$57,$C$74:$D77)</f>
        <v>0</v>
      </c>
      <c r="T77" s="42">
        <f>DSUM($B$57:$Y$65,T$57,$C$74:$D77)</f>
        <v>0</v>
      </c>
      <c r="U77" s="42">
        <f>DSUM($B$57:$Y$65,U$57,$C$74:$D77)</f>
        <v>0</v>
      </c>
      <c r="V77" s="42">
        <f>DSUM($B$57:$Y$65,V$57,$C$74:$D77)</f>
        <v>0</v>
      </c>
      <c r="W77" s="42">
        <f>DSUM($B$57:$Y$65,W$57,$C$74:$D77)</f>
        <v>0</v>
      </c>
      <c r="X77" s="42">
        <f>DSUM($B$57:$Y$65,X$57,$C$74:$D77)</f>
        <v>0</v>
      </c>
      <c r="Y77" s="42">
        <f>DSUM($B$57:$Y$65,Y$57,$C$74:$D77)</f>
        <v>0</v>
      </c>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row>
    <row r="78" spans="1:80">
      <c r="B78" s="7" t="s">
        <v>47</v>
      </c>
      <c r="C78" s="45" t="s">
        <v>48</v>
      </c>
      <c r="D78" s="45" t="s">
        <v>49</v>
      </c>
      <c r="E78" s="42">
        <f>DSUM($B$57:$Y$65,E$57,$C$74:$D78)</f>
        <v>0.28038447965562441</v>
      </c>
      <c r="F78" s="42">
        <f>DSUM($B$57:$Y$65,F$57,$C$74:$D78)</f>
        <v>0.28200545895922102</v>
      </c>
      <c r="G78" s="42">
        <f>DSUM($B$57:$Y$65,G$57,$C$74:$D78)</f>
        <v>0.28364814403173161</v>
      </c>
      <c r="H78" s="42">
        <f>DSUM($B$57:$Y$65,H$57,$C$74:$D78)</f>
        <v>0.2854709384374578</v>
      </c>
      <c r="I78" s="42">
        <f>DSUM($B$57:$Y$65,I$57,$C$74:$D78)</f>
        <v>0.28836563455954423</v>
      </c>
      <c r="J78" s="42">
        <f>DSUM($B$57:$Y$65,J$57,$C$74:$D78)</f>
        <v>0.26129780382059925</v>
      </c>
      <c r="K78" s="42">
        <f>DSUM($B$57:$Y$65,K$57,$C$74:$D78)</f>
        <v>0.21046741026182295</v>
      </c>
      <c r="L78" s="42">
        <f>DSUM($B$57:$Y$65,L$57,$C$74:$D78)</f>
        <v>0.16959352464796368</v>
      </c>
      <c r="M78" s="42">
        <f>DSUM($B$57:$Y$65,M$57,$C$74:$D78)</f>
        <v>0.13663317633078678</v>
      </c>
      <c r="N78" s="42">
        <f>DSUM($B$57:$Y$65,N$57,$C$74:$D78)</f>
        <v>0.11052873072412769</v>
      </c>
      <c r="O78" s="42">
        <f>DSUM($B$57:$Y$65,O$57,$C$74:$D78)</f>
        <v>8.9057023391127602E-2</v>
      </c>
      <c r="P78" s="42">
        <f>DSUM($B$57:$Y$65,P$57,$C$74:$D78)</f>
        <v>7.1756243490209579E-2</v>
      </c>
      <c r="Q78" s="42">
        <f>DSUM($B$57:$Y$65,Q$57,$C$74:$D78)</f>
        <v>5.7809707031095045E-2</v>
      </c>
      <c r="R78" s="42">
        <f>DSUM($B$57:$Y$65,R$57,$C$74:$D78)</f>
        <v>4.6582772310529562E-2</v>
      </c>
      <c r="S78" s="42">
        <f>DSUM($B$57:$Y$65,S$57,$C$74:$D78)</f>
        <v>3.767112931145121E-2</v>
      </c>
      <c r="T78" s="42">
        <f>DSUM($B$57:$Y$65,T$57,$C$74:$D78)</f>
        <v>3.0365702833145051E-2</v>
      </c>
      <c r="U78" s="42">
        <f>DSUM($B$57:$Y$65,U$57,$C$74:$D78)</f>
        <v>2.0874744755779905E-4</v>
      </c>
      <c r="V78" s="42">
        <f>DSUM($B$57:$Y$65,V$57,$C$74:$D78)</f>
        <v>7.5139042876531996E-5</v>
      </c>
      <c r="W78" s="42">
        <f>DSUM($B$57:$Y$65,W$57,$C$74:$D78)</f>
        <v>2.5810502802435069E-5</v>
      </c>
      <c r="X78" s="42">
        <f>DSUM($B$57:$Y$65,X$57,$C$74:$D78)</f>
        <v>8.5155850679566191E-6</v>
      </c>
      <c r="Y78" s="42">
        <f>DSUM($B$57:$Y$65,Y$57,$C$74:$D78)</f>
        <v>2.9751473266652755</v>
      </c>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row>
    <row r="79" spans="1:80">
      <c r="B79" s="7" t="s">
        <v>50</v>
      </c>
      <c r="C79" s="45" t="s">
        <v>51</v>
      </c>
      <c r="D79" s="45" t="s">
        <v>52</v>
      </c>
      <c r="E79" s="42">
        <f>DSUM($B$57:$Y$65,E$57,$C$74:$D79)</f>
        <v>0.31788611084330931</v>
      </c>
      <c r="F79" s="42">
        <f>DSUM($B$57:$Y$65,F$57,$C$74:$D79)</f>
        <v>0.3199069371215616</v>
      </c>
      <c r="G79" s="42">
        <f>DSUM($B$57:$Y$65,G$57,$C$74:$D79)</f>
        <v>0.32196393306466281</v>
      </c>
      <c r="H79" s="42">
        <f>DSUM($B$57:$Y$65,H$57,$C$74:$D79)</f>
        <v>0.32421485895930902</v>
      </c>
      <c r="I79" s="42">
        <f>DSUM($B$57:$Y$65,I$57,$C$74:$D79)</f>
        <v>0.32781137791918119</v>
      </c>
      <c r="J79" s="42">
        <f>DSUM($B$57:$Y$65,J$57,$C$74:$D79)</f>
        <v>0.29723918695717905</v>
      </c>
      <c r="K79" s="42">
        <f>DSUM($B$57:$Y$65,K$57,$C$74:$D79)</f>
        <v>0.23956382492233663</v>
      </c>
      <c r="L79" s="42">
        <f>DSUM($B$57:$Y$65,L$57,$C$74:$D79)</f>
        <v>0.19315669240177416</v>
      </c>
      <c r="M79" s="42">
        <f>DSUM($B$57:$Y$65,M$57,$C$74:$D79)</f>
        <v>0.15570694282486658</v>
      </c>
      <c r="N79" s="42">
        <f>DSUM($B$57:$Y$65,N$57,$C$74:$D79)</f>
        <v>0.12608807422548818</v>
      </c>
      <c r="O79" s="42">
        <f>DSUM($B$57:$Y$65,O$57,$C$74:$D79)</f>
        <v>0.10164879224511124</v>
      </c>
      <c r="P79" s="42">
        <f>DSUM($B$57:$Y$65,P$57,$C$74:$D79)</f>
        <v>8.194195543353E-2</v>
      </c>
      <c r="Q79" s="42">
        <f>DSUM($B$57:$Y$65,Q$57,$C$74:$D79)</f>
        <v>6.6051382019399002E-2</v>
      </c>
      <c r="R79" s="42">
        <f>DSUM($B$57:$Y$65,R$57,$C$74:$D79)</f>
        <v>5.3248545481810558E-2</v>
      </c>
      <c r="S79" s="42">
        <f>DSUM($B$57:$Y$65,S$57,$C$74:$D79)</f>
        <v>4.3099362916745196E-2</v>
      </c>
      <c r="T79" s="42">
        <f>DSUM($B$57:$Y$65,T$57,$C$74:$D79)</f>
        <v>3.475925586052523E-2</v>
      </c>
      <c r="U79" s="42">
        <f>DSUM($B$57:$Y$65,U$57,$C$74:$D79)</f>
        <v>2.3907392039107373E-4</v>
      </c>
      <c r="V79" s="42">
        <f>DSUM($B$57:$Y$65,V$57,$C$74:$D79)</f>
        <v>8.6098408727237847E-5</v>
      </c>
      <c r="W79" s="42">
        <f>DSUM($B$57:$Y$65,W$57,$C$74:$D79)</f>
        <v>2.9589309707678561E-5</v>
      </c>
      <c r="X79" s="42">
        <f>DSUM($B$57:$Y$65,X$57,$C$74:$D79)</f>
        <v>9.7710174589211311E-6</v>
      </c>
      <c r="Y79" s="42">
        <f>DSUM($B$57:$Y$65,Y$57,$C$74:$D79)</f>
        <v>3.4137661992359805</v>
      </c>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row>
    <row r="80" spans="1:80">
      <c r="B80" s="7" t="s">
        <v>53</v>
      </c>
      <c r="C80" s="45" t="s">
        <v>54</v>
      </c>
      <c r="D80" s="45" t="s">
        <v>55</v>
      </c>
      <c r="E80" s="42">
        <f>DSUM($B$57:$Y$65,E$57,$C$74:$D80)</f>
        <v>0.31788611084330931</v>
      </c>
      <c r="F80" s="42">
        <f>DSUM($B$57:$Y$65,F$57,$C$74:$D80)</f>
        <v>0.3199069371215616</v>
      </c>
      <c r="G80" s="42">
        <f>DSUM($B$57:$Y$65,G$57,$C$74:$D80)</f>
        <v>0.32196393306466281</v>
      </c>
      <c r="H80" s="42">
        <f>DSUM($B$57:$Y$65,H$57,$C$74:$D80)</f>
        <v>0.32421485895930902</v>
      </c>
      <c r="I80" s="42">
        <f>DSUM($B$57:$Y$65,I$57,$C$74:$D80)</f>
        <v>0.32781137791918119</v>
      </c>
      <c r="J80" s="42">
        <f>DSUM($B$57:$Y$65,J$57,$C$74:$D80)</f>
        <v>0.29723918695717905</v>
      </c>
      <c r="K80" s="42">
        <f>DSUM($B$57:$Y$65,K$57,$C$74:$D80)</f>
        <v>0.23956382492233663</v>
      </c>
      <c r="L80" s="42">
        <f>DSUM($B$57:$Y$65,L$57,$C$74:$D80)</f>
        <v>0.19315669240177416</v>
      </c>
      <c r="M80" s="42">
        <f>DSUM($B$57:$Y$65,M$57,$C$74:$D80)</f>
        <v>0.15570694282486658</v>
      </c>
      <c r="N80" s="42">
        <f>DSUM($B$57:$Y$65,N$57,$C$74:$D80)</f>
        <v>0.12608807422548818</v>
      </c>
      <c r="O80" s="42">
        <f>DSUM($B$57:$Y$65,O$57,$C$74:$D80)</f>
        <v>0.10164879224511124</v>
      </c>
      <c r="P80" s="42">
        <f>DSUM($B$57:$Y$65,P$57,$C$74:$D80)</f>
        <v>8.194195543353E-2</v>
      </c>
      <c r="Q80" s="42">
        <f>DSUM($B$57:$Y$65,Q$57,$C$74:$D80)</f>
        <v>6.6051382019399002E-2</v>
      </c>
      <c r="R80" s="42">
        <f>DSUM($B$57:$Y$65,R$57,$C$74:$D80)</f>
        <v>5.3248545481810558E-2</v>
      </c>
      <c r="S80" s="42">
        <f>DSUM($B$57:$Y$65,S$57,$C$74:$D80)</f>
        <v>4.3099362916745196E-2</v>
      </c>
      <c r="T80" s="42">
        <f>DSUM($B$57:$Y$65,T$57,$C$74:$D80)</f>
        <v>3.475925586052523E-2</v>
      </c>
      <c r="U80" s="42">
        <f>DSUM($B$57:$Y$65,U$57,$C$74:$D80)</f>
        <v>2.3907392039107373E-4</v>
      </c>
      <c r="V80" s="42">
        <f>DSUM($B$57:$Y$65,V$57,$C$74:$D80)</f>
        <v>8.6098408727237847E-5</v>
      </c>
      <c r="W80" s="42">
        <f>DSUM($B$57:$Y$65,W$57,$C$74:$D80)</f>
        <v>2.9589309707678561E-5</v>
      </c>
      <c r="X80" s="42">
        <f>DSUM($B$57:$Y$65,X$57,$C$74:$D80)</f>
        <v>9.7710174589211311E-6</v>
      </c>
      <c r="Y80" s="42">
        <f>DSUM($B$57:$Y$65,Y$57,$C$74:$D80)</f>
        <v>3.4137661992359805</v>
      </c>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row>
    <row r="81" spans="2:79">
      <c r="B81" s="7" t="s">
        <v>56</v>
      </c>
      <c r="C81" s="45" t="s">
        <v>57</v>
      </c>
      <c r="D81" s="45" t="s">
        <v>58</v>
      </c>
      <c r="E81" s="42">
        <f>DSUM($B$57:$Y$65,E$57,$C$74:$D81)</f>
        <v>0.31788611084330931</v>
      </c>
      <c r="F81" s="42">
        <f>DSUM($B$57:$Y$65,F$57,$C$74:$D81)</f>
        <v>0.3199069371215616</v>
      </c>
      <c r="G81" s="42">
        <f>DSUM($B$57:$Y$65,G$57,$C$74:$D81)</f>
        <v>0.32196393306466281</v>
      </c>
      <c r="H81" s="42">
        <f>DSUM($B$57:$Y$65,H$57,$C$74:$D81)</f>
        <v>0.32421485895930902</v>
      </c>
      <c r="I81" s="42">
        <f>DSUM($B$57:$Y$65,I$57,$C$74:$D81)</f>
        <v>0.32781137791918119</v>
      </c>
      <c r="J81" s="42">
        <f>DSUM($B$57:$Y$65,J$57,$C$74:$D81)</f>
        <v>0.29723918695717905</v>
      </c>
      <c r="K81" s="42">
        <f>DSUM($B$57:$Y$65,K$57,$C$74:$D81)</f>
        <v>0.23956382492233663</v>
      </c>
      <c r="L81" s="42">
        <f>DSUM($B$57:$Y$65,L$57,$C$74:$D81)</f>
        <v>0.19315669240177416</v>
      </c>
      <c r="M81" s="42">
        <f>DSUM($B$57:$Y$65,M$57,$C$74:$D81)</f>
        <v>0.15570694282486658</v>
      </c>
      <c r="N81" s="42">
        <f>DSUM($B$57:$Y$65,N$57,$C$74:$D81)</f>
        <v>0.12608807422548818</v>
      </c>
      <c r="O81" s="42">
        <f>DSUM($B$57:$Y$65,O$57,$C$74:$D81)</f>
        <v>0.10164879224511124</v>
      </c>
      <c r="P81" s="42">
        <f>DSUM($B$57:$Y$65,P$57,$C$74:$D81)</f>
        <v>8.194195543353E-2</v>
      </c>
      <c r="Q81" s="42">
        <f>DSUM($B$57:$Y$65,Q$57,$C$74:$D81)</f>
        <v>6.6051382019399002E-2</v>
      </c>
      <c r="R81" s="42">
        <f>DSUM($B$57:$Y$65,R$57,$C$74:$D81)</f>
        <v>5.3248545481810558E-2</v>
      </c>
      <c r="S81" s="42">
        <f>DSUM($B$57:$Y$65,S$57,$C$74:$D81)</f>
        <v>4.3099362916745196E-2</v>
      </c>
      <c r="T81" s="42">
        <f>DSUM($B$57:$Y$65,T$57,$C$74:$D81)</f>
        <v>3.475925586052523E-2</v>
      </c>
      <c r="U81" s="42">
        <f>DSUM($B$57:$Y$65,U$57,$C$74:$D81)</f>
        <v>2.3907392039107373E-4</v>
      </c>
      <c r="V81" s="42">
        <f>DSUM($B$57:$Y$65,V$57,$C$74:$D81)</f>
        <v>8.6098408727237847E-5</v>
      </c>
      <c r="W81" s="42">
        <f>DSUM($B$57:$Y$65,W$57,$C$74:$D81)</f>
        <v>2.9589309707678561E-5</v>
      </c>
      <c r="X81" s="42">
        <f>DSUM($B$57:$Y$65,X$57,$C$74:$D81)</f>
        <v>9.7710174589211311E-6</v>
      </c>
      <c r="Y81" s="42">
        <f>DSUM($B$57:$Y$65,Y$57,$C$74:$D81)</f>
        <v>3.4137661992359805</v>
      </c>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row>
    <row r="82" spans="2:79">
      <c r="B82" s="7" t="s">
        <v>59</v>
      </c>
      <c r="C82" s="45" t="s">
        <v>60</v>
      </c>
      <c r="D82" s="45" t="s">
        <v>61</v>
      </c>
      <c r="E82" s="42">
        <f>DSUM($B$57:$Y$65,E$57,$C$74:$D82)</f>
        <v>0.31788611084330931</v>
      </c>
      <c r="F82" s="42">
        <f>DSUM($B$57:$Y$65,F$57,$C$74:$D82)</f>
        <v>0.3199069371215616</v>
      </c>
      <c r="G82" s="42">
        <f>DSUM($B$57:$Y$65,G$57,$C$74:$D82)</f>
        <v>0.32196393306466281</v>
      </c>
      <c r="H82" s="42">
        <f>DSUM($B$57:$Y$65,H$57,$C$74:$D82)</f>
        <v>0.32421485895930902</v>
      </c>
      <c r="I82" s="42">
        <f>DSUM($B$57:$Y$65,I$57,$C$74:$D82)</f>
        <v>0.32781137791918119</v>
      </c>
      <c r="J82" s="42">
        <f>DSUM($B$57:$Y$65,J$57,$C$74:$D82)</f>
        <v>0.29723918695717905</v>
      </c>
      <c r="K82" s="42">
        <f>DSUM($B$57:$Y$65,K$57,$C$74:$D82)</f>
        <v>0.23956382492233663</v>
      </c>
      <c r="L82" s="42">
        <f>DSUM($B$57:$Y$65,L$57,$C$74:$D82)</f>
        <v>0.19315669240177416</v>
      </c>
      <c r="M82" s="42">
        <f>DSUM($B$57:$Y$65,M$57,$C$74:$D82)</f>
        <v>0.15570694282486658</v>
      </c>
      <c r="N82" s="42">
        <f>DSUM($B$57:$Y$65,N$57,$C$74:$D82)</f>
        <v>0.12608807422548818</v>
      </c>
      <c r="O82" s="42">
        <f>DSUM($B$57:$Y$65,O$57,$C$74:$D82)</f>
        <v>0.10164879224511124</v>
      </c>
      <c r="P82" s="42">
        <f>DSUM($B$57:$Y$65,P$57,$C$74:$D82)</f>
        <v>8.194195543353E-2</v>
      </c>
      <c r="Q82" s="42">
        <f>DSUM($B$57:$Y$65,Q$57,$C$74:$D82)</f>
        <v>6.6051382019399002E-2</v>
      </c>
      <c r="R82" s="42">
        <f>DSUM($B$57:$Y$65,R$57,$C$74:$D82)</f>
        <v>5.3248545481810558E-2</v>
      </c>
      <c r="S82" s="42">
        <f>DSUM($B$57:$Y$65,S$57,$C$74:$D82)</f>
        <v>4.3099362916745196E-2</v>
      </c>
      <c r="T82" s="42">
        <f>DSUM($B$57:$Y$65,T$57,$C$74:$D82)</f>
        <v>3.475925586052523E-2</v>
      </c>
      <c r="U82" s="42">
        <f>DSUM($B$57:$Y$65,U$57,$C$74:$D82)</f>
        <v>2.3907392039107373E-4</v>
      </c>
      <c r="V82" s="42">
        <f>DSUM($B$57:$Y$65,V$57,$C$74:$D82)</f>
        <v>8.6098408727237847E-5</v>
      </c>
      <c r="W82" s="42">
        <f>DSUM($B$57:$Y$65,W$57,$C$74:$D82)</f>
        <v>2.9589309707678561E-5</v>
      </c>
      <c r="X82" s="42">
        <f>DSUM($B$57:$Y$65,X$57,$C$74:$D82)</f>
        <v>9.7710174589211311E-6</v>
      </c>
      <c r="Y82" s="42">
        <f>DSUM($B$57:$Y$65,Y$57,$C$74:$D82)</f>
        <v>3.4137661992359805</v>
      </c>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row>
    <row r="83" spans="2:79">
      <c r="B83" s="7" t="s">
        <v>62</v>
      </c>
      <c r="C83" s="45" t="s">
        <v>63</v>
      </c>
      <c r="D83" s="45" t="s">
        <v>64</v>
      </c>
      <c r="E83" s="42">
        <f>DSUM($B$57:$Y$65,E$57,$C$74:$D83)</f>
        <v>0.31788611084330931</v>
      </c>
      <c r="F83" s="42">
        <f>DSUM($B$57:$Y$65,F$57,$C$74:$D83)</f>
        <v>0.3199069371215616</v>
      </c>
      <c r="G83" s="42">
        <f>DSUM($B$57:$Y$65,G$57,$C$74:$D83)</f>
        <v>0.32196393306466281</v>
      </c>
      <c r="H83" s="42">
        <f>DSUM($B$57:$Y$65,H$57,$C$74:$D83)</f>
        <v>0.32421485895930902</v>
      </c>
      <c r="I83" s="42">
        <f>DSUM($B$57:$Y$65,I$57,$C$74:$D83)</f>
        <v>0.32781137791918119</v>
      </c>
      <c r="J83" s="42">
        <f>DSUM($B$57:$Y$65,J$57,$C$74:$D83)</f>
        <v>0.29723918695717905</v>
      </c>
      <c r="K83" s="42">
        <f>DSUM($B$57:$Y$65,K$57,$C$74:$D83)</f>
        <v>0.23956382492233663</v>
      </c>
      <c r="L83" s="42">
        <f>DSUM($B$57:$Y$65,L$57,$C$74:$D83)</f>
        <v>0.19315669240177416</v>
      </c>
      <c r="M83" s="42">
        <f>DSUM($B$57:$Y$65,M$57,$C$74:$D83)</f>
        <v>0.15570694282486658</v>
      </c>
      <c r="N83" s="42">
        <f>DSUM($B$57:$Y$65,N$57,$C$74:$D83)</f>
        <v>0.12608807422548818</v>
      </c>
      <c r="O83" s="42">
        <f>DSUM($B$57:$Y$65,O$57,$C$74:$D83)</f>
        <v>0.10164879224511124</v>
      </c>
      <c r="P83" s="42">
        <f>DSUM($B$57:$Y$65,P$57,$C$74:$D83)</f>
        <v>8.194195543353E-2</v>
      </c>
      <c r="Q83" s="42">
        <f>DSUM($B$57:$Y$65,Q$57,$C$74:$D83)</f>
        <v>6.6051382019399002E-2</v>
      </c>
      <c r="R83" s="42">
        <f>DSUM($B$57:$Y$65,R$57,$C$74:$D83)</f>
        <v>5.3248545481810558E-2</v>
      </c>
      <c r="S83" s="42">
        <f>DSUM($B$57:$Y$65,S$57,$C$74:$D83)</f>
        <v>4.3099362916745196E-2</v>
      </c>
      <c r="T83" s="42">
        <f>DSUM($B$57:$Y$65,T$57,$C$74:$D83)</f>
        <v>3.475925586052523E-2</v>
      </c>
      <c r="U83" s="42">
        <f>DSUM($B$57:$Y$65,U$57,$C$74:$D83)</f>
        <v>2.3907392039107373E-4</v>
      </c>
      <c r="V83" s="42">
        <f>DSUM($B$57:$Y$65,V$57,$C$74:$D83)</f>
        <v>8.6098408727237847E-5</v>
      </c>
      <c r="W83" s="42">
        <f>DSUM($B$57:$Y$65,W$57,$C$74:$D83)</f>
        <v>2.9589309707678561E-5</v>
      </c>
      <c r="X83" s="42">
        <f>DSUM($B$57:$Y$65,X$57,$C$74:$D83)</f>
        <v>9.7710174589211311E-6</v>
      </c>
      <c r="Y83" s="42">
        <f>DSUM($B$57:$Y$65,Y$57,$C$74:$D83)</f>
        <v>3.4137661992359805</v>
      </c>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row>
    <row r="84" spans="2:79">
      <c r="B84" s="7" t="s">
        <v>65</v>
      </c>
      <c r="C84" s="45" t="s">
        <v>66</v>
      </c>
      <c r="D84" s="45" t="s">
        <v>67</v>
      </c>
      <c r="E84" s="42">
        <f>DSUM($B$57:$Y$65,E$57,$C$74:$D84)</f>
        <v>0.31788611084330931</v>
      </c>
      <c r="F84" s="42">
        <f>DSUM($B$57:$Y$65,F$57,$C$74:$D84)</f>
        <v>0.3199069371215616</v>
      </c>
      <c r="G84" s="42">
        <f>DSUM($B$57:$Y$65,G$57,$C$74:$D84)</f>
        <v>0.32196393306466281</v>
      </c>
      <c r="H84" s="42">
        <f>DSUM($B$57:$Y$65,H$57,$C$74:$D84)</f>
        <v>0.32421485895930902</v>
      </c>
      <c r="I84" s="42">
        <f>DSUM($B$57:$Y$65,I$57,$C$74:$D84)</f>
        <v>0.32781137791918119</v>
      </c>
      <c r="J84" s="42">
        <f>DSUM($B$57:$Y$65,J$57,$C$74:$D84)</f>
        <v>0.29723918695717905</v>
      </c>
      <c r="K84" s="42">
        <f>DSUM($B$57:$Y$65,K$57,$C$74:$D84)</f>
        <v>0.23956382492233663</v>
      </c>
      <c r="L84" s="42">
        <f>DSUM($B$57:$Y$65,L$57,$C$74:$D84)</f>
        <v>0.19315669240177416</v>
      </c>
      <c r="M84" s="42">
        <f>DSUM($B$57:$Y$65,M$57,$C$74:$D84)</f>
        <v>0.15570694282486658</v>
      </c>
      <c r="N84" s="42">
        <f>DSUM($B$57:$Y$65,N$57,$C$74:$D84)</f>
        <v>0.12608807422548818</v>
      </c>
      <c r="O84" s="42">
        <f>DSUM($B$57:$Y$65,O$57,$C$74:$D84)</f>
        <v>0.10164879224511124</v>
      </c>
      <c r="P84" s="42">
        <f>DSUM($B$57:$Y$65,P$57,$C$74:$D84)</f>
        <v>8.194195543353E-2</v>
      </c>
      <c r="Q84" s="42">
        <f>DSUM($B$57:$Y$65,Q$57,$C$74:$D84)</f>
        <v>6.6051382019399002E-2</v>
      </c>
      <c r="R84" s="42">
        <f>DSUM($B$57:$Y$65,R$57,$C$74:$D84)</f>
        <v>5.3248545481810558E-2</v>
      </c>
      <c r="S84" s="42">
        <f>DSUM($B$57:$Y$65,S$57,$C$74:$D84)</f>
        <v>4.3099362916745196E-2</v>
      </c>
      <c r="T84" s="42">
        <f>DSUM($B$57:$Y$65,T$57,$C$74:$D84)</f>
        <v>3.475925586052523E-2</v>
      </c>
      <c r="U84" s="42">
        <f>DSUM($B$57:$Y$65,U$57,$C$74:$D84)</f>
        <v>2.3907392039107373E-4</v>
      </c>
      <c r="V84" s="42">
        <f>DSUM($B$57:$Y$65,V$57,$C$74:$D84)</f>
        <v>8.6098408727237847E-5</v>
      </c>
      <c r="W84" s="42">
        <f>DSUM($B$57:$Y$65,W$57,$C$74:$D84)</f>
        <v>2.9589309707678561E-5</v>
      </c>
      <c r="X84" s="42">
        <f>DSUM($B$57:$Y$65,X$57,$C$74:$D84)</f>
        <v>9.7710174589211311E-6</v>
      </c>
      <c r="Y84" s="42">
        <f>DSUM($B$57:$Y$65,Y$57,$C$74:$D84)</f>
        <v>3.4137661992359805</v>
      </c>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row>
    <row r="85" spans="2:79">
      <c r="B85" s="7" t="s">
        <v>68</v>
      </c>
      <c r="C85" s="45" t="s">
        <v>69</v>
      </c>
      <c r="D85" s="45" t="s">
        <v>70</v>
      </c>
      <c r="E85" s="42">
        <f>DSUM($B$57:$Y$65,E$57,$C$74:$D85)</f>
        <v>0.31788611084330931</v>
      </c>
      <c r="F85" s="42">
        <f>DSUM($B$57:$Y$65,F$57,$C$74:$D85)</f>
        <v>0.3199069371215616</v>
      </c>
      <c r="G85" s="42">
        <f>DSUM($B$57:$Y$65,G$57,$C$74:$D85)</f>
        <v>0.32196393306466281</v>
      </c>
      <c r="H85" s="42">
        <f>DSUM($B$57:$Y$65,H$57,$C$74:$D85)</f>
        <v>0.32421485895930902</v>
      </c>
      <c r="I85" s="42">
        <f>DSUM($B$57:$Y$65,I$57,$C$74:$D85)</f>
        <v>0.32781137791918119</v>
      </c>
      <c r="J85" s="42">
        <f>DSUM($B$57:$Y$65,J$57,$C$74:$D85)</f>
        <v>0.29723918695717905</v>
      </c>
      <c r="K85" s="42">
        <f>DSUM($B$57:$Y$65,K$57,$C$74:$D85)</f>
        <v>0.23956382492233663</v>
      </c>
      <c r="L85" s="42">
        <f>DSUM($B$57:$Y$65,L$57,$C$74:$D85)</f>
        <v>0.19315669240177416</v>
      </c>
      <c r="M85" s="42">
        <f>DSUM($B$57:$Y$65,M$57,$C$74:$D85)</f>
        <v>0.15570694282486658</v>
      </c>
      <c r="N85" s="42">
        <f>DSUM($B$57:$Y$65,N$57,$C$74:$D85)</f>
        <v>0.12608807422548818</v>
      </c>
      <c r="O85" s="42">
        <f>DSUM($B$57:$Y$65,O$57,$C$74:$D85)</f>
        <v>0.10164879224511124</v>
      </c>
      <c r="P85" s="42">
        <f>DSUM($B$57:$Y$65,P$57,$C$74:$D85)</f>
        <v>8.194195543353E-2</v>
      </c>
      <c r="Q85" s="42">
        <f>DSUM($B$57:$Y$65,Q$57,$C$74:$D85)</f>
        <v>6.6051382019399002E-2</v>
      </c>
      <c r="R85" s="42">
        <f>DSUM($B$57:$Y$65,R$57,$C$74:$D85)</f>
        <v>5.3248545481810558E-2</v>
      </c>
      <c r="S85" s="42">
        <f>DSUM($B$57:$Y$65,S$57,$C$74:$D85)</f>
        <v>4.3099362916745196E-2</v>
      </c>
      <c r="T85" s="42">
        <f>DSUM($B$57:$Y$65,T$57,$C$74:$D85)</f>
        <v>3.475925586052523E-2</v>
      </c>
      <c r="U85" s="42">
        <f>DSUM($B$57:$Y$65,U$57,$C$74:$D85)</f>
        <v>2.3907392039107373E-4</v>
      </c>
      <c r="V85" s="42">
        <f>DSUM($B$57:$Y$65,V$57,$C$74:$D85)</f>
        <v>8.6098408727237847E-5</v>
      </c>
      <c r="W85" s="42">
        <f>DSUM($B$57:$Y$65,W$57,$C$74:$D85)</f>
        <v>2.9589309707678561E-5</v>
      </c>
      <c r="X85" s="42">
        <f>DSUM($B$57:$Y$65,X$57,$C$74:$D85)</f>
        <v>9.7710174589211311E-6</v>
      </c>
      <c r="Y85" s="42">
        <f>DSUM($B$57:$Y$65,Y$57,$C$74:$D85)</f>
        <v>3.4137661992359805</v>
      </c>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row>
    <row r="86" spans="2:79">
      <c r="B86" s="7" t="s">
        <v>71</v>
      </c>
      <c r="C86" s="45" t="s">
        <v>72</v>
      </c>
      <c r="D86" s="45" t="s">
        <v>73</v>
      </c>
      <c r="E86" s="42">
        <f>DSUM($B$57:$Y$65,E$57,$C$74:$D86)</f>
        <v>0.31788611084330931</v>
      </c>
      <c r="F86" s="42">
        <f>DSUM($B$57:$Y$65,F$57,$C$74:$D86)</f>
        <v>0.3199069371215616</v>
      </c>
      <c r="G86" s="42">
        <f>DSUM($B$57:$Y$65,G$57,$C$74:$D86)</f>
        <v>0.32196393306466281</v>
      </c>
      <c r="H86" s="42">
        <f>DSUM($B$57:$Y$65,H$57,$C$74:$D86)</f>
        <v>0.32421485895930902</v>
      </c>
      <c r="I86" s="42">
        <f>DSUM($B$57:$Y$65,I$57,$C$74:$D86)</f>
        <v>0.32781137791918119</v>
      </c>
      <c r="J86" s="42">
        <f>DSUM($B$57:$Y$65,J$57,$C$74:$D86)</f>
        <v>0.29723918695717905</v>
      </c>
      <c r="K86" s="42">
        <f>DSUM($B$57:$Y$65,K$57,$C$74:$D86)</f>
        <v>0.23956382492233663</v>
      </c>
      <c r="L86" s="42">
        <f>DSUM($B$57:$Y$65,L$57,$C$74:$D86)</f>
        <v>0.19315669240177416</v>
      </c>
      <c r="M86" s="42">
        <f>DSUM($B$57:$Y$65,M$57,$C$74:$D86)</f>
        <v>0.15570694282486658</v>
      </c>
      <c r="N86" s="42">
        <f>DSUM($B$57:$Y$65,N$57,$C$74:$D86)</f>
        <v>0.12608807422548818</v>
      </c>
      <c r="O86" s="42">
        <f>DSUM($B$57:$Y$65,O$57,$C$74:$D86)</f>
        <v>0.10164879224511124</v>
      </c>
      <c r="P86" s="42">
        <f>DSUM($B$57:$Y$65,P$57,$C$74:$D86)</f>
        <v>8.194195543353E-2</v>
      </c>
      <c r="Q86" s="42">
        <f>DSUM($B$57:$Y$65,Q$57,$C$74:$D86)</f>
        <v>6.6051382019399002E-2</v>
      </c>
      <c r="R86" s="42">
        <f>DSUM($B$57:$Y$65,R$57,$C$74:$D86)</f>
        <v>5.3248545481810558E-2</v>
      </c>
      <c r="S86" s="42">
        <f>DSUM($B$57:$Y$65,S$57,$C$74:$D86)</f>
        <v>4.3099362916745196E-2</v>
      </c>
      <c r="T86" s="42">
        <f>DSUM($B$57:$Y$65,T$57,$C$74:$D86)</f>
        <v>3.475925586052523E-2</v>
      </c>
      <c r="U86" s="42">
        <f>DSUM($B$57:$Y$65,U$57,$C$74:$D86)</f>
        <v>2.3907392039107373E-4</v>
      </c>
      <c r="V86" s="42">
        <f>DSUM($B$57:$Y$65,V$57,$C$74:$D86)</f>
        <v>8.6098408727237847E-5</v>
      </c>
      <c r="W86" s="42">
        <f>DSUM($B$57:$Y$65,W$57,$C$74:$D86)</f>
        <v>2.9589309707678561E-5</v>
      </c>
      <c r="X86" s="42">
        <f>DSUM($B$57:$Y$65,X$57,$C$74:$D86)</f>
        <v>9.7710174589211311E-6</v>
      </c>
      <c r="Y86" s="42">
        <f>DSUM($B$57:$Y$65,Y$57,$C$74:$D86)</f>
        <v>3.4137661992359805</v>
      </c>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row>
    <row r="87" spans="2:79">
      <c r="B87" s="7" t="s">
        <v>74</v>
      </c>
      <c r="C87" s="45" t="s">
        <v>75</v>
      </c>
      <c r="D87" s="45" t="s">
        <v>76</v>
      </c>
      <c r="E87" s="42">
        <f>DSUM($B$57:$Y$65,E$57,$C$74:$D87)</f>
        <v>0.31788611084330931</v>
      </c>
      <c r="F87" s="42">
        <f>DSUM($B$57:$Y$65,F$57,$C$74:$D87)</f>
        <v>0.3199069371215616</v>
      </c>
      <c r="G87" s="42">
        <f>DSUM($B$57:$Y$65,G$57,$C$74:$D87)</f>
        <v>0.32196393306466281</v>
      </c>
      <c r="H87" s="42">
        <f>DSUM($B$57:$Y$65,H$57,$C$74:$D87)</f>
        <v>0.32421485895930902</v>
      </c>
      <c r="I87" s="42">
        <f>DSUM($B$57:$Y$65,I$57,$C$74:$D87)</f>
        <v>0.32781137791918119</v>
      </c>
      <c r="J87" s="42">
        <f>DSUM($B$57:$Y$65,J$57,$C$74:$D87)</f>
        <v>0.29723918695717905</v>
      </c>
      <c r="K87" s="42">
        <f>DSUM($B$57:$Y$65,K$57,$C$74:$D87)</f>
        <v>0.23956382492233663</v>
      </c>
      <c r="L87" s="42">
        <f>DSUM($B$57:$Y$65,L$57,$C$74:$D87)</f>
        <v>0.19315669240177416</v>
      </c>
      <c r="M87" s="42">
        <f>DSUM($B$57:$Y$65,M$57,$C$74:$D87)</f>
        <v>0.15570694282486658</v>
      </c>
      <c r="N87" s="42">
        <f>DSUM($B$57:$Y$65,N$57,$C$74:$D87)</f>
        <v>0.12608807422548818</v>
      </c>
      <c r="O87" s="42">
        <f>DSUM($B$57:$Y$65,O$57,$C$74:$D87)</f>
        <v>0.10164879224511124</v>
      </c>
      <c r="P87" s="42">
        <f>DSUM($B$57:$Y$65,P$57,$C$74:$D87)</f>
        <v>8.194195543353E-2</v>
      </c>
      <c r="Q87" s="42">
        <f>DSUM($B$57:$Y$65,Q$57,$C$74:$D87)</f>
        <v>6.6051382019399002E-2</v>
      </c>
      <c r="R87" s="42">
        <f>DSUM($B$57:$Y$65,R$57,$C$74:$D87)</f>
        <v>5.3248545481810558E-2</v>
      </c>
      <c r="S87" s="42">
        <f>DSUM($B$57:$Y$65,S$57,$C$74:$D87)</f>
        <v>4.3099362916745196E-2</v>
      </c>
      <c r="T87" s="42">
        <f>DSUM($B$57:$Y$65,T$57,$C$74:$D87)</f>
        <v>3.475925586052523E-2</v>
      </c>
      <c r="U87" s="42">
        <f>DSUM($B$57:$Y$65,U$57,$C$74:$D87)</f>
        <v>2.3907392039107373E-4</v>
      </c>
      <c r="V87" s="42">
        <f>DSUM($B$57:$Y$65,V$57,$C$74:$D87)</f>
        <v>8.6098408727237847E-5</v>
      </c>
      <c r="W87" s="42">
        <f>DSUM($B$57:$Y$65,W$57,$C$74:$D87)</f>
        <v>2.9589309707678561E-5</v>
      </c>
      <c r="X87" s="42">
        <f>DSUM($B$57:$Y$65,X$57,$C$74:$D87)</f>
        <v>9.7710174589211311E-6</v>
      </c>
      <c r="Y87" s="42">
        <f>DSUM($B$57:$Y$65,Y$57,$C$74:$D87)</f>
        <v>3.4137661992359805</v>
      </c>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row>
    <row r="88" spans="2:79">
      <c r="B88" s="7" t="s">
        <v>77</v>
      </c>
      <c r="C88" s="45" t="s">
        <v>78</v>
      </c>
      <c r="D88" s="45" t="s">
        <v>79</v>
      </c>
      <c r="E88" s="42">
        <f>DSUM($B$57:$Y$65,E$57,$C$74:$D88)</f>
        <v>0.31788611084330931</v>
      </c>
      <c r="F88" s="42">
        <f>DSUM($B$57:$Y$65,F$57,$C$74:$D88)</f>
        <v>0.3199069371215616</v>
      </c>
      <c r="G88" s="42">
        <f>DSUM($B$57:$Y$65,G$57,$C$74:$D88)</f>
        <v>0.32196393306466281</v>
      </c>
      <c r="H88" s="42">
        <f>DSUM($B$57:$Y$65,H$57,$C$74:$D88)</f>
        <v>0.32421485895930902</v>
      </c>
      <c r="I88" s="42">
        <f>DSUM($B$57:$Y$65,I$57,$C$74:$D88)</f>
        <v>0.32781137791918119</v>
      </c>
      <c r="J88" s="42">
        <f>DSUM($B$57:$Y$65,J$57,$C$74:$D88)</f>
        <v>0.29723918695717905</v>
      </c>
      <c r="K88" s="42">
        <f>DSUM($B$57:$Y$65,K$57,$C$74:$D88)</f>
        <v>0.23956382492233663</v>
      </c>
      <c r="L88" s="42">
        <f>DSUM($B$57:$Y$65,L$57,$C$74:$D88)</f>
        <v>0.19315669240177416</v>
      </c>
      <c r="M88" s="42">
        <f>DSUM($B$57:$Y$65,M$57,$C$74:$D88)</f>
        <v>0.15570694282486658</v>
      </c>
      <c r="N88" s="42">
        <f>DSUM($B$57:$Y$65,N$57,$C$74:$D88)</f>
        <v>0.12608807422548818</v>
      </c>
      <c r="O88" s="42">
        <f>DSUM($B$57:$Y$65,O$57,$C$74:$D88)</f>
        <v>0.10164879224511124</v>
      </c>
      <c r="P88" s="42">
        <f>DSUM($B$57:$Y$65,P$57,$C$74:$D88)</f>
        <v>8.194195543353E-2</v>
      </c>
      <c r="Q88" s="42">
        <f>DSUM($B$57:$Y$65,Q$57,$C$74:$D88)</f>
        <v>6.6051382019399002E-2</v>
      </c>
      <c r="R88" s="42">
        <f>DSUM($B$57:$Y$65,R$57,$C$74:$D88)</f>
        <v>5.3248545481810558E-2</v>
      </c>
      <c r="S88" s="42">
        <f>DSUM($B$57:$Y$65,S$57,$C$74:$D88)</f>
        <v>4.3099362916745196E-2</v>
      </c>
      <c r="T88" s="42">
        <f>DSUM($B$57:$Y$65,T$57,$C$74:$D88)</f>
        <v>3.475925586052523E-2</v>
      </c>
      <c r="U88" s="42">
        <f>DSUM($B$57:$Y$65,U$57,$C$74:$D88)</f>
        <v>2.3907392039107373E-4</v>
      </c>
      <c r="V88" s="42">
        <f>DSUM($B$57:$Y$65,V$57,$C$74:$D88)</f>
        <v>8.6098408727237847E-5</v>
      </c>
      <c r="W88" s="42">
        <f>DSUM($B$57:$Y$65,W$57,$C$74:$D88)</f>
        <v>2.9589309707678561E-5</v>
      </c>
      <c r="X88" s="42">
        <f>DSUM($B$57:$Y$65,X$57,$C$74:$D88)</f>
        <v>9.7710174589211311E-6</v>
      </c>
      <c r="Y88" s="42">
        <f>DSUM($B$57:$Y$65,Y$57,$C$74:$D88)</f>
        <v>3.4137661992359805</v>
      </c>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row>
    <row r="89" spans="2:79">
      <c r="B89" s="7" t="s">
        <v>80</v>
      </c>
      <c r="C89" s="45" t="s">
        <v>81</v>
      </c>
      <c r="D89" s="45" t="s">
        <v>82</v>
      </c>
      <c r="E89" s="42">
        <f>DSUM($B$57:$Y$65,E$57,$C$74:$D89)</f>
        <v>0.31788611084330931</v>
      </c>
      <c r="F89" s="42">
        <f>DSUM($B$57:$Y$65,F$57,$C$74:$D89)</f>
        <v>0.3199069371215616</v>
      </c>
      <c r="G89" s="42">
        <f>DSUM($B$57:$Y$65,G$57,$C$74:$D89)</f>
        <v>0.32196393306466281</v>
      </c>
      <c r="H89" s="42">
        <f>DSUM($B$57:$Y$65,H$57,$C$74:$D89)</f>
        <v>0.32421485895930902</v>
      </c>
      <c r="I89" s="42">
        <f>DSUM($B$57:$Y$65,I$57,$C$74:$D89)</f>
        <v>0.32781137791918119</v>
      </c>
      <c r="J89" s="42">
        <f>DSUM($B$57:$Y$65,J$57,$C$74:$D89)</f>
        <v>0.29723918695717905</v>
      </c>
      <c r="K89" s="42">
        <f>DSUM($B$57:$Y$65,K$57,$C$74:$D89)</f>
        <v>0.23956382492233663</v>
      </c>
      <c r="L89" s="42">
        <f>DSUM($B$57:$Y$65,L$57,$C$74:$D89)</f>
        <v>0.19315669240177416</v>
      </c>
      <c r="M89" s="42">
        <f>DSUM($B$57:$Y$65,M$57,$C$74:$D89)</f>
        <v>0.15570694282486658</v>
      </c>
      <c r="N89" s="42">
        <f>DSUM($B$57:$Y$65,N$57,$C$74:$D89)</f>
        <v>0.12608807422548818</v>
      </c>
      <c r="O89" s="42">
        <f>DSUM($B$57:$Y$65,O$57,$C$74:$D89)</f>
        <v>0.10164879224511124</v>
      </c>
      <c r="P89" s="42">
        <f>DSUM($B$57:$Y$65,P$57,$C$74:$D89)</f>
        <v>8.194195543353E-2</v>
      </c>
      <c r="Q89" s="42">
        <f>DSUM($B$57:$Y$65,Q$57,$C$74:$D89)</f>
        <v>6.6051382019399002E-2</v>
      </c>
      <c r="R89" s="42">
        <f>DSUM($B$57:$Y$65,R$57,$C$74:$D89)</f>
        <v>5.3248545481810558E-2</v>
      </c>
      <c r="S89" s="42">
        <f>DSUM($B$57:$Y$65,S$57,$C$74:$D89)</f>
        <v>4.3099362916745196E-2</v>
      </c>
      <c r="T89" s="42">
        <f>DSUM($B$57:$Y$65,T$57,$C$74:$D89)</f>
        <v>3.475925586052523E-2</v>
      </c>
      <c r="U89" s="42">
        <f>DSUM($B$57:$Y$65,U$57,$C$74:$D89)</f>
        <v>2.3907392039107373E-4</v>
      </c>
      <c r="V89" s="42">
        <f>DSUM($B$57:$Y$65,V$57,$C$74:$D89)</f>
        <v>8.6098408727237847E-5</v>
      </c>
      <c r="W89" s="42">
        <f>DSUM($B$57:$Y$65,W$57,$C$74:$D89)</f>
        <v>2.9589309707678561E-5</v>
      </c>
      <c r="X89" s="42">
        <f>DSUM($B$57:$Y$65,X$57,$C$74:$D89)</f>
        <v>9.7710174589211311E-6</v>
      </c>
      <c r="Y89" s="42">
        <f>DSUM($B$57:$Y$65,Y$57,$C$74:$D89)</f>
        <v>3.4137661992359805</v>
      </c>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row>
    <row r="90" spans="2:79">
      <c r="B90" s="7" t="s">
        <v>83</v>
      </c>
      <c r="C90" s="45" t="s">
        <v>84</v>
      </c>
      <c r="D90" s="45" t="s">
        <v>85</v>
      </c>
      <c r="E90" s="42">
        <f>DSUM($B$57:$Y$65,E$57,$C$74:$D90)</f>
        <v>0.31788611084330931</v>
      </c>
      <c r="F90" s="42">
        <f>DSUM($B$57:$Y$65,F$57,$C$74:$D90)</f>
        <v>0.3199069371215616</v>
      </c>
      <c r="G90" s="42">
        <f>DSUM($B$57:$Y$65,G$57,$C$74:$D90)</f>
        <v>0.32196393306466281</v>
      </c>
      <c r="H90" s="42">
        <f>DSUM($B$57:$Y$65,H$57,$C$74:$D90)</f>
        <v>0.32421485895930902</v>
      </c>
      <c r="I90" s="42">
        <f>DSUM($B$57:$Y$65,I$57,$C$74:$D90)</f>
        <v>0.32781137791918119</v>
      </c>
      <c r="J90" s="42">
        <f>DSUM($B$57:$Y$65,J$57,$C$74:$D90)</f>
        <v>0.29723918695717905</v>
      </c>
      <c r="K90" s="42">
        <f>DSUM($B$57:$Y$65,K$57,$C$74:$D90)</f>
        <v>0.23956382492233663</v>
      </c>
      <c r="L90" s="42">
        <f>DSUM($B$57:$Y$65,L$57,$C$74:$D90)</f>
        <v>0.19315669240177416</v>
      </c>
      <c r="M90" s="42">
        <f>DSUM($B$57:$Y$65,M$57,$C$74:$D90)</f>
        <v>0.15570694282486658</v>
      </c>
      <c r="N90" s="42">
        <f>DSUM($B$57:$Y$65,N$57,$C$74:$D90)</f>
        <v>0.12608807422548818</v>
      </c>
      <c r="O90" s="42">
        <f>DSUM($B$57:$Y$65,O$57,$C$74:$D90)</f>
        <v>0.10164879224511124</v>
      </c>
      <c r="P90" s="42">
        <f>DSUM($B$57:$Y$65,P$57,$C$74:$D90)</f>
        <v>8.194195543353E-2</v>
      </c>
      <c r="Q90" s="42">
        <f>DSUM($B$57:$Y$65,Q$57,$C$74:$D90)</f>
        <v>6.6051382019399002E-2</v>
      </c>
      <c r="R90" s="42">
        <f>DSUM($B$57:$Y$65,R$57,$C$74:$D90)</f>
        <v>5.3248545481810558E-2</v>
      </c>
      <c r="S90" s="42">
        <f>DSUM($B$57:$Y$65,S$57,$C$74:$D90)</f>
        <v>4.3099362916745196E-2</v>
      </c>
      <c r="T90" s="42">
        <f>DSUM($B$57:$Y$65,T$57,$C$74:$D90)</f>
        <v>3.475925586052523E-2</v>
      </c>
      <c r="U90" s="42">
        <f>DSUM($B$57:$Y$65,U$57,$C$74:$D90)</f>
        <v>2.3907392039107373E-4</v>
      </c>
      <c r="V90" s="42">
        <f>DSUM($B$57:$Y$65,V$57,$C$74:$D90)</f>
        <v>8.6098408727237847E-5</v>
      </c>
      <c r="W90" s="42">
        <f>DSUM($B$57:$Y$65,W$57,$C$74:$D90)</f>
        <v>2.9589309707678561E-5</v>
      </c>
      <c r="X90" s="42">
        <f>DSUM($B$57:$Y$65,X$57,$C$74:$D90)</f>
        <v>9.7710174589211311E-6</v>
      </c>
      <c r="Y90" s="42">
        <f>DSUM($B$57:$Y$65,Y$57,$C$74:$D90)</f>
        <v>3.4137661992359805</v>
      </c>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row>
    <row r="91" spans="2:79">
      <c r="B91" s="7" t="s">
        <v>86</v>
      </c>
      <c r="C91" s="45" t="s">
        <v>87</v>
      </c>
      <c r="D91" s="45" t="s">
        <v>88</v>
      </c>
      <c r="E91" s="42">
        <f>DSUM($B$57:$Y$65,E$57,$C$74:$D91)</f>
        <v>0.31788611084330931</v>
      </c>
      <c r="F91" s="42">
        <f>DSUM($B$57:$Y$65,F$57,$C$74:$D91)</f>
        <v>0.3199069371215616</v>
      </c>
      <c r="G91" s="42">
        <f>DSUM($B$57:$Y$65,G$57,$C$74:$D91)</f>
        <v>0.32196393306466281</v>
      </c>
      <c r="H91" s="42">
        <f>DSUM($B$57:$Y$65,H$57,$C$74:$D91)</f>
        <v>0.32421485895930902</v>
      </c>
      <c r="I91" s="42">
        <f>DSUM($B$57:$Y$65,I$57,$C$74:$D91)</f>
        <v>0.32781137791918119</v>
      </c>
      <c r="J91" s="42">
        <f>DSUM($B$57:$Y$65,J$57,$C$74:$D91)</f>
        <v>0.29723918695717905</v>
      </c>
      <c r="K91" s="42">
        <f>DSUM($B$57:$Y$65,K$57,$C$74:$D91)</f>
        <v>0.23956382492233663</v>
      </c>
      <c r="L91" s="42">
        <f>DSUM($B$57:$Y$65,L$57,$C$74:$D91)</f>
        <v>0.19315669240177416</v>
      </c>
      <c r="M91" s="42">
        <f>DSUM($B$57:$Y$65,M$57,$C$74:$D91)</f>
        <v>0.15570694282486658</v>
      </c>
      <c r="N91" s="42">
        <f>DSUM($B$57:$Y$65,N$57,$C$74:$D91)</f>
        <v>0.12608807422548818</v>
      </c>
      <c r="O91" s="42">
        <f>DSUM($B$57:$Y$65,O$57,$C$74:$D91)</f>
        <v>0.10164879224511124</v>
      </c>
      <c r="P91" s="42">
        <f>DSUM($B$57:$Y$65,P$57,$C$74:$D91)</f>
        <v>8.194195543353E-2</v>
      </c>
      <c r="Q91" s="42">
        <f>DSUM($B$57:$Y$65,Q$57,$C$74:$D91)</f>
        <v>6.6051382019399002E-2</v>
      </c>
      <c r="R91" s="42">
        <f>DSUM($B$57:$Y$65,R$57,$C$74:$D91)</f>
        <v>5.3248545481810558E-2</v>
      </c>
      <c r="S91" s="42">
        <f>DSUM($B$57:$Y$65,S$57,$C$74:$D91)</f>
        <v>4.3099362916745196E-2</v>
      </c>
      <c r="T91" s="42">
        <f>DSUM($B$57:$Y$65,T$57,$C$74:$D91)</f>
        <v>3.475925586052523E-2</v>
      </c>
      <c r="U91" s="42">
        <f>DSUM($B$57:$Y$65,U$57,$C$74:$D91)</f>
        <v>2.3907392039107373E-4</v>
      </c>
      <c r="V91" s="42">
        <f>DSUM($B$57:$Y$65,V$57,$C$74:$D91)</f>
        <v>8.6098408727237847E-5</v>
      </c>
      <c r="W91" s="42">
        <f>DSUM($B$57:$Y$65,W$57,$C$74:$D91)</f>
        <v>2.9589309707678561E-5</v>
      </c>
      <c r="X91" s="42">
        <f>DSUM($B$57:$Y$65,X$57,$C$74:$D91)</f>
        <v>9.7710174589211311E-6</v>
      </c>
      <c r="Y91" s="42">
        <f>DSUM($B$57:$Y$65,Y$57,$C$74:$D91)</f>
        <v>3.4137661992359805</v>
      </c>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row>
    <row r="92" spans="2:79">
      <c r="B92" s="7" t="s">
        <v>89</v>
      </c>
      <c r="C92" s="45" t="s">
        <v>90</v>
      </c>
      <c r="D92" s="45" t="s">
        <v>91</v>
      </c>
      <c r="E92" s="42">
        <f>DSUM($B$57:$Y$65,E$57,$C$74:$D92)</f>
        <v>0.31788611084330931</v>
      </c>
      <c r="F92" s="42">
        <f>DSUM($B$57:$Y$65,F$57,$C$74:$D92)</f>
        <v>0.3199069371215616</v>
      </c>
      <c r="G92" s="42">
        <f>DSUM($B$57:$Y$65,G$57,$C$74:$D92)</f>
        <v>0.32196393306466281</v>
      </c>
      <c r="H92" s="42">
        <f>DSUM($B$57:$Y$65,H$57,$C$74:$D92)</f>
        <v>0.32421485895930902</v>
      </c>
      <c r="I92" s="42">
        <f>DSUM($B$57:$Y$65,I$57,$C$74:$D92)</f>
        <v>0.32781137791918119</v>
      </c>
      <c r="J92" s="42">
        <f>DSUM($B$57:$Y$65,J$57,$C$74:$D92)</f>
        <v>0.29723918695717905</v>
      </c>
      <c r="K92" s="42">
        <f>DSUM($B$57:$Y$65,K$57,$C$74:$D92)</f>
        <v>0.23956382492233663</v>
      </c>
      <c r="L92" s="42">
        <f>DSUM($B$57:$Y$65,L$57,$C$74:$D92)</f>
        <v>0.19315669240177416</v>
      </c>
      <c r="M92" s="42">
        <f>DSUM($B$57:$Y$65,M$57,$C$74:$D92)</f>
        <v>0.15570694282486658</v>
      </c>
      <c r="N92" s="42">
        <f>DSUM($B$57:$Y$65,N$57,$C$74:$D92)</f>
        <v>0.12608807422548818</v>
      </c>
      <c r="O92" s="42">
        <f>DSUM($B$57:$Y$65,O$57,$C$74:$D92)</f>
        <v>0.10164879224511124</v>
      </c>
      <c r="P92" s="42">
        <f>DSUM($B$57:$Y$65,P$57,$C$74:$D92)</f>
        <v>8.194195543353E-2</v>
      </c>
      <c r="Q92" s="42">
        <f>DSUM($B$57:$Y$65,Q$57,$C$74:$D92)</f>
        <v>6.6051382019399002E-2</v>
      </c>
      <c r="R92" s="42">
        <f>DSUM($B$57:$Y$65,R$57,$C$74:$D92)</f>
        <v>5.3248545481810558E-2</v>
      </c>
      <c r="S92" s="42">
        <f>DSUM($B$57:$Y$65,S$57,$C$74:$D92)</f>
        <v>4.3099362916745196E-2</v>
      </c>
      <c r="T92" s="42">
        <f>DSUM($B$57:$Y$65,T$57,$C$74:$D92)</f>
        <v>3.475925586052523E-2</v>
      </c>
      <c r="U92" s="42">
        <f>DSUM($B$57:$Y$65,U$57,$C$74:$D92)</f>
        <v>2.3907392039107373E-4</v>
      </c>
      <c r="V92" s="42">
        <f>DSUM($B$57:$Y$65,V$57,$C$74:$D92)</f>
        <v>8.6098408727237847E-5</v>
      </c>
      <c r="W92" s="42">
        <f>DSUM($B$57:$Y$65,W$57,$C$74:$D92)</f>
        <v>2.9589309707678561E-5</v>
      </c>
      <c r="X92" s="42">
        <f>DSUM($B$57:$Y$65,X$57,$C$74:$D92)</f>
        <v>9.7710174589211311E-6</v>
      </c>
      <c r="Y92" s="42">
        <f>DSUM($B$57:$Y$65,Y$57,$C$74:$D92)</f>
        <v>3.4137661992359805</v>
      </c>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row>
    <row r="93" spans="2:79">
      <c r="B93" s="7" t="s">
        <v>92</v>
      </c>
      <c r="C93" s="45" t="s">
        <v>93</v>
      </c>
      <c r="D93" s="45" t="s">
        <v>94</v>
      </c>
      <c r="E93" s="42">
        <f>DSUM($B$57:$Y$65,E$57,$C$74:$D93)</f>
        <v>0.31788611084330931</v>
      </c>
      <c r="F93" s="42">
        <f>DSUM($B$57:$Y$65,F$57,$C$74:$D93)</f>
        <v>0.3199069371215616</v>
      </c>
      <c r="G93" s="42">
        <f>DSUM($B$57:$Y$65,G$57,$C$74:$D93)</f>
        <v>0.32196393306466281</v>
      </c>
      <c r="H93" s="42">
        <f>DSUM($B$57:$Y$65,H$57,$C$74:$D93)</f>
        <v>0.32421485895930902</v>
      </c>
      <c r="I93" s="42">
        <f>DSUM($B$57:$Y$65,I$57,$C$74:$D93)</f>
        <v>0.32781137791918119</v>
      </c>
      <c r="J93" s="42">
        <f>DSUM($B$57:$Y$65,J$57,$C$74:$D93)</f>
        <v>0.29723918695717905</v>
      </c>
      <c r="K93" s="42">
        <f>DSUM($B$57:$Y$65,K$57,$C$74:$D93)</f>
        <v>0.23956382492233663</v>
      </c>
      <c r="L93" s="42">
        <f>DSUM($B$57:$Y$65,L$57,$C$74:$D93)</f>
        <v>0.19315669240177416</v>
      </c>
      <c r="M93" s="42">
        <f>DSUM($B$57:$Y$65,M$57,$C$74:$D93)</f>
        <v>0.15570694282486658</v>
      </c>
      <c r="N93" s="42">
        <f>DSUM($B$57:$Y$65,N$57,$C$74:$D93)</f>
        <v>0.12608807422548818</v>
      </c>
      <c r="O93" s="42">
        <f>DSUM($B$57:$Y$65,O$57,$C$74:$D93)</f>
        <v>0.10164879224511124</v>
      </c>
      <c r="P93" s="42">
        <f>DSUM($B$57:$Y$65,P$57,$C$74:$D93)</f>
        <v>8.194195543353E-2</v>
      </c>
      <c r="Q93" s="42">
        <f>DSUM($B$57:$Y$65,Q$57,$C$74:$D93)</f>
        <v>6.6051382019399002E-2</v>
      </c>
      <c r="R93" s="42">
        <f>DSUM($B$57:$Y$65,R$57,$C$74:$D93)</f>
        <v>5.3248545481810558E-2</v>
      </c>
      <c r="S93" s="42">
        <f>DSUM($B$57:$Y$65,S$57,$C$74:$D93)</f>
        <v>4.3099362916745196E-2</v>
      </c>
      <c r="T93" s="42">
        <f>DSUM($B$57:$Y$65,T$57,$C$74:$D93)</f>
        <v>3.475925586052523E-2</v>
      </c>
      <c r="U93" s="42">
        <f>DSUM($B$57:$Y$65,U$57,$C$74:$D93)</f>
        <v>2.3907392039107373E-4</v>
      </c>
      <c r="V93" s="42">
        <f>DSUM($B$57:$Y$65,V$57,$C$74:$D93)</f>
        <v>8.6098408727237847E-5</v>
      </c>
      <c r="W93" s="42">
        <f>DSUM($B$57:$Y$65,W$57,$C$74:$D93)</f>
        <v>2.9589309707678561E-5</v>
      </c>
      <c r="X93" s="42">
        <f>DSUM($B$57:$Y$65,X$57,$C$74:$D93)</f>
        <v>9.7710174589211311E-6</v>
      </c>
      <c r="Y93" s="42">
        <f>DSUM($B$57:$Y$65,Y$57,$C$74:$D93)</f>
        <v>3.4137661992359805</v>
      </c>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row>
    <row r="94" spans="2:79">
      <c r="B94" s="7" t="s">
        <v>95</v>
      </c>
      <c r="C94" s="45" t="s">
        <v>96</v>
      </c>
      <c r="D94" s="45" t="s">
        <v>97</v>
      </c>
      <c r="E94" s="42">
        <f>DSUM($B$57:$Y$65,E$57,$C$74:$D94)</f>
        <v>0.31788611084330931</v>
      </c>
      <c r="F94" s="42">
        <f>DSUM($B$57:$Y$65,F$57,$C$74:$D94)</f>
        <v>0.3199069371215616</v>
      </c>
      <c r="G94" s="42">
        <f>DSUM($B$57:$Y$65,G$57,$C$74:$D94)</f>
        <v>0.32196393306466281</v>
      </c>
      <c r="H94" s="42">
        <f>DSUM($B$57:$Y$65,H$57,$C$74:$D94)</f>
        <v>0.32421485895930902</v>
      </c>
      <c r="I94" s="42">
        <f>DSUM($B$57:$Y$65,I$57,$C$74:$D94)</f>
        <v>0.32781137791918119</v>
      </c>
      <c r="J94" s="42">
        <f>DSUM($B$57:$Y$65,J$57,$C$74:$D94)</f>
        <v>0.29723918695717905</v>
      </c>
      <c r="K94" s="42">
        <f>DSUM($B$57:$Y$65,K$57,$C$74:$D94)</f>
        <v>0.23956382492233663</v>
      </c>
      <c r="L94" s="42">
        <f>DSUM($B$57:$Y$65,L$57,$C$74:$D94)</f>
        <v>0.19315669240177416</v>
      </c>
      <c r="M94" s="42">
        <f>DSUM($B$57:$Y$65,M$57,$C$74:$D94)</f>
        <v>0.15570694282486658</v>
      </c>
      <c r="N94" s="42">
        <f>DSUM($B$57:$Y$65,N$57,$C$74:$D94)</f>
        <v>0.12608807422548818</v>
      </c>
      <c r="O94" s="42">
        <f>DSUM($B$57:$Y$65,O$57,$C$74:$D94)</f>
        <v>0.10164879224511124</v>
      </c>
      <c r="P94" s="42">
        <f>DSUM($B$57:$Y$65,P$57,$C$74:$D94)</f>
        <v>8.194195543353E-2</v>
      </c>
      <c r="Q94" s="42">
        <f>DSUM($B$57:$Y$65,Q$57,$C$74:$D94)</f>
        <v>6.6051382019399002E-2</v>
      </c>
      <c r="R94" s="42">
        <f>DSUM($B$57:$Y$65,R$57,$C$74:$D94)</f>
        <v>5.3248545481810558E-2</v>
      </c>
      <c r="S94" s="42">
        <f>DSUM($B$57:$Y$65,S$57,$C$74:$D94)</f>
        <v>4.3099362916745196E-2</v>
      </c>
      <c r="T94" s="42">
        <f>DSUM($B$57:$Y$65,T$57,$C$74:$D94)</f>
        <v>3.475925586052523E-2</v>
      </c>
      <c r="U94" s="42">
        <f>DSUM($B$57:$Y$65,U$57,$C$74:$D94)</f>
        <v>2.3907392039107373E-4</v>
      </c>
      <c r="V94" s="42">
        <f>DSUM($B$57:$Y$65,V$57,$C$74:$D94)</f>
        <v>8.6098408727237847E-5</v>
      </c>
      <c r="W94" s="42">
        <f>DSUM($B$57:$Y$65,W$57,$C$74:$D94)</f>
        <v>2.9589309707678561E-5</v>
      </c>
      <c r="X94" s="42">
        <f>DSUM($B$57:$Y$65,X$57,$C$74:$D94)</f>
        <v>9.7710174589211311E-6</v>
      </c>
      <c r="Y94" s="42">
        <f>DSUM($B$57:$Y$65,Y$57,$C$74:$D94)</f>
        <v>3.4137661992359805</v>
      </c>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row>
    <row r="95" spans="2:79">
      <c r="B95" s="7" t="s">
        <v>98</v>
      </c>
      <c r="C95" s="45" t="s">
        <v>99</v>
      </c>
      <c r="D95" s="45" t="s">
        <v>100</v>
      </c>
      <c r="E95" s="42">
        <f>DSUM($B$57:$Y$65,E$57,$C$74:$D95)</f>
        <v>0.31788611084330931</v>
      </c>
      <c r="F95" s="42">
        <f>DSUM($B$57:$Y$65,F$57,$C$74:$D95)</f>
        <v>0.3199069371215616</v>
      </c>
      <c r="G95" s="42">
        <f>DSUM($B$57:$Y$65,G$57,$C$74:$D95)</f>
        <v>0.32196393306466281</v>
      </c>
      <c r="H95" s="42">
        <f>DSUM($B$57:$Y$65,H$57,$C$74:$D95)</f>
        <v>0.32421485895930902</v>
      </c>
      <c r="I95" s="42">
        <f>DSUM($B$57:$Y$65,I$57,$C$74:$D95)</f>
        <v>0.32781137791918119</v>
      </c>
      <c r="J95" s="42">
        <f>DSUM($B$57:$Y$65,J$57,$C$74:$D95)</f>
        <v>0.29723918695717905</v>
      </c>
      <c r="K95" s="42">
        <f>DSUM($B$57:$Y$65,K$57,$C$74:$D95)</f>
        <v>0.23956382492233663</v>
      </c>
      <c r="L95" s="42">
        <f>DSUM($B$57:$Y$65,L$57,$C$74:$D95)</f>
        <v>0.19315669240177416</v>
      </c>
      <c r="M95" s="42">
        <f>DSUM($B$57:$Y$65,M$57,$C$74:$D95)</f>
        <v>0.15570694282486658</v>
      </c>
      <c r="N95" s="42">
        <f>DSUM($B$57:$Y$65,N$57,$C$74:$D95)</f>
        <v>0.12608807422548818</v>
      </c>
      <c r="O95" s="42">
        <f>DSUM($B$57:$Y$65,O$57,$C$74:$D95)</f>
        <v>0.10164879224511124</v>
      </c>
      <c r="P95" s="42">
        <f>DSUM($B$57:$Y$65,P$57,$C$74:$D95)</f>
        <v>8.194195543353E-2</v>
      </c>
      <c r="Q95" s="42">
        <f>DSUM($B$57:$Y$65,Q$57,$C$74:$D95)</f>
        <v>6.6051382019399002E-2</v>
      </c>
      <c r="R95" s="42">
        <f>DSUM($B$57:$Y$65,R$57,$C$74:$D95)</f>
        <v>5.3248545481810558E-2</v>
      </c>
      <c r="S95" s="42">
        <f>DSUM($B$57:$Y$65,S$57,$C$74:$D95)</f>
        <v>4.3099362916745196E-2</v>
      </c>
      <c r="T95" s="42">
        <f>DSUM($B$57:$Y$65,T$57,$C$74:$D95)</f>
        <v>3.475925586052523E-2</v>
      </c>
      <c r="U95" s="42">
        <f>DSUM($B$57:$Y$65,U$57,$C$74:$D95)</f>
        <v>2.3907392039107373E-4</v>
      </c>
      <c r="V95" s="42">
        <f>DSUM($B$57:$Y$65,V$57,$C$74:$D95)</f>
        <v>8.6098408727237847E-5</v>
      </c>
      <c r="W95" s="42">
        <f>DSUM($B$57:$Y$65,W$57,$C$74:$D95)</f>
        <v>2.9589309707678561E-5</v>
      </c>
      <c r="X95" s="42">
        <f>DSUM($B$57:$Y$65,X$57,$C$74:$D95)</f>
        <v>9.7710174589211311E-6</v>
      </c>
      <c r="Y95" s="42">
        <f>DSUM($B$57:$Y$65,Y$57,$C$74:$D95)</f>
        <v>3.4137661992359805</v>
      </c>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row>
    <row r="96" spans="2:79">
      <c r="B96" s="7" t="s">
        <v>160</v>
      </c>
      <c r="C96" s="45" t="s">
        <v>101</v>
      </c>
      <c r="D96" s="45" t="s">
        <v>161</v>
      </c>
      <c r="E96" s="42">
        <f>DSUM($B$57:$Y$65,E$57,$C$74:$D96)</f>
        <v>0.31788611084330931</v>
      </c>
      <c r="F96" s="42">
        <f>DSUM($B$57:$Y$65,F$57,$C$74:$D96)</f>
        <v>0.3199069371215616</v>
      </c>
      <c r="G96" s="42">
        <f>DSUM($B$57:$Y$65,G$57,$C$74:$D96)</f>
        <v>0.32196393306466281</v>
      </c>
      <c r="H96" s="42">
        <f>DSUM($B$57:$Y$65,H$57,$C$74:$D96)</f>
        <v>0.32421485895930902</v>
      </c>
      <c r="I96" s="42">
        <f>DSUM($B$57:$Y$65,I$57,$C$74:$D96)</f>
        <v>0.32781137791918119</v>
      </c>
      <c r="J96" s="42">
        <f>DSUM($B$57:$Y$65,J$57,$C$74:$D96)</f>
        <v>0.29723918695717905</v>
      </c>
      <c r="K96" s="42">
        <f>DSUM($B$57:$Y$65,K$57,$C$74:$D96)</f>
        <v>0.23956382492233663</v>
      </c>
      <c r="L96" s="42">
        <f>DSUM($B$57:$Y$65,L$57,$C$74:$D96)</f>
        <v>0.19315669240177416</v>
      </c>
      <c r="M96" s="42">
        <f>DSUM($B$57:$Y$65,M$57,$C$74:$D96)</f>
        <v>0.15570694282486658</v>
      </c>
      <c r="N96" s="42">
        <f>DSUM($B$57:$Y$65,N$57,$C$74:$D96)</f>
        <v>0.12608807422548818</v>
      </c>
      <c r="O96" s="42">
        <f>DSUM($B$57:$Y$65,O$57,$C$74:$D96)</f>
        <v>0.10164879224511124</v>
      </c>
      <c r="P96" s="42">
        <f>DSUM($B$57:$Y$65,P$57,$C$74:$D96)</f>
        <v>8.194195543353E-2</v>
      </c>
      <c r="Q96" s="42">
        <f>DSUM($B$57:$Y$65,Q$57,$C$74:$D96)</f>
        <v>6.6051382019399002E-2</v>
      </c>
      <c r="R96" s="42">
        <f>DSUM($B$57:$Y$65,R$57,$C$74:$D96)</f>
        <v>5.3248545481810558E-2</v>
      </c>
      <c r="S96" s="42">
        <f>DSUM($B$57:$Y$65,S$57,$C$74:$D96)</f>
        <v>4.3099362916745196E-2</v>
      </c>
      <c r="T96" s="42">
        <f>DSUM($B$57:$Y$65,T$57,$C$74:$D96)</f>
        <v>3.475925586052523E-2</v>
      </c>
      <c r="U96" s="42">
        <f>DSUM($B$57:$Y$65,U$57,$C$74:$D96)</f>
        <v>2.3907392039107373E-4</v>
      </c>
      <c r="V96" s="42">
        <f>DSUM($B$57:$Y$65,V$57,$C$74:$D96)</f>
        <v>8.6098408727237847E-5</v>
      </c>
      <c r="W96" s="42">
        <f>DSUM($B$57:$Y$65,W$57,$C$74:$D96)</f>
        <v>2.9589309707678561E-5</v>
      </c>
      <c r="X96" s="42">
        <f>DSUM($B$57:$Y$65,X$57,$C$74:$D96)</f>
        <v>9.7710174589211311E-6</v>
      </c>
      <c r="Y96" s="42">
        <f>DSUM($B$57:$Y$65,Y$57,$C$74:$D96)</f>
        <v>3.4137661992359805</v>
      </c>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row>
    <row r="97" spans="1:79">
      <c r="B97" s="7" t="s">
        <v>162</v>
      </c>
      <c r="C97" s="45" t="s">
        <v>163</v>
      </c>
      <c r="D97" s="45" t="s">
        <v>164</v>
      </c>
      <c r="E97" s="42">
        <f>DSUM($B$57:$Y$65,E$57,$C$74:$D97)</f>
        <v>0.31788611084330931</v>
      </c>
      <c r="F97" s="42">
        <f>DSUM($B$57:$Y$65,F$57,$C$74:$D97)</f>
        <v>0.3199069371215616</v>
      </c>
      <c r="G97" s="42">
        <f>DSUM($B$57:$Y$65,G$57,$C$74:$D97)</f>
        <v>0.32196393306466281</v>
      </c>
      <c r="H97" s="42">
        <f>DSUM($B$57:$Y$65,H$57,$C$74:$D97)</f>
        <v>0.32421485895930902</v>
      </c>
      <c r="I97" s="42">
        <f>DSUM($B$57:$Y$65,I$57,$C$74:$D97)</f>
        <v>0.32781137791918119</v>
      </c>
      <c r="J97" s="42">
        <f>DSUM($B$57:$Y$65,J$57,$C$74:$D97)</f>
        <v>0.29723918695717905</v>
      </c>
      <c r="K97" s="42">
        <f>DSUM($B$57:$Y$65,K$57,$C$74:$D97)</f>
        <v>0.23956382492233663</v>
      </c>
      <c r="L97" s="42">
        <f>DSUM($B$57:$Y$65,L$57,$C$74:$D97)</f>
        <v>0.19315669240177416</v>
      </c>
      <c r="M97" s="42">
        <f>DSUM($B$57:$Y$65,M$57,$C$74:$D97)</f>
        <v>0.15570694282486658</v>
      </c>
      <c r="N97" s="42">
        <f>DSUM($B$57:$Y$65,N$57,$C$74:$D97)</f>
        <v>0.12608807422548818</v>
      </c>
      <c r="O97" s="42">
        <f>DSUM($B$57:$Y$65,O$57,$C$74:$D97)</f>
        <v>0.10164879224511124</v>
      </c>
      <c r="P97" s="42">
        <f>DSUM($B$57:$Y$65,P$57,$C$74:$D97)</f>
        <v>8.194195543353E-2</v>
      </c>
      <c r="Q97" s="42">
        <f>DSUM($B$57:$Y$65,Q$57,$C$74:$D97)</f>
        <v>6.6051382019399002E-2</v>
      </c>
      <c r="R97" s="42">
        <f>DSUM($B$57:$Y$65,R$57,$C$74:$D97)</f>
        <v>5.3248545481810558E-2</v>
      </c>
      <c r="S97" s="42">
        <f>DSUM($B$57:$Y$65,S$57,$C$74:$D97)</f>
        <v>4.3099362916745196E-2</v>
      </c>
      <c r="T97" s="42">
        <f>DSUM($B$57:$Y$65,T$57,$C$74:$D97)</f>
        <v>3.475925586052523E-2</v>
      </c>
      <c r="U97" s="42">
        <f>DSUM($B$57:$Y$65,U$57,$C$74:$D97)</f>
        <v>2.3907392039107373E-4</v>
      </c>
      <c r="V97" s="42">
        <f>DSUM($B$57:$Y$65,V$57,$C$74:$D97)</f>
        <v>8.6098408727237847E-5</v>
      </c>
      <c r="W97" s="42">
        <f>DSUM($B$57:$Y$65,W$57,$C$74:$D97)</f>
        <v>2.9589309707678561E-5</v>
      </c>
      <c r="X97" s="42">
        <f>DSUM($B$57:$Y$65,X$57,$C$74:$D97)</f>
        <v>9.7710174589211311E-6</v>
      </c>
      <c r="Y97" s="42">
        <f>DSUM($B$57:$Y$65,Y$57,$C$74:$D97)</f>
        <v>3.4137661992359805</v>
      </c>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row>
    <row r="98" spans="1:79">
      <c r="B98" s="7" t="s">
        <v>165</v>
      </c>
      <c r="C98" s="45" t="s">
        <v>166</v>
      </c>
      <c r="D98" s="45" t="s">
        <v>167</v>
      </c>
      <c r="E98" s="42">
        <f>DSUM($B$57:$Y$65,E$57,$C$74:$D98)</f>
        <v>0.31788611084330931</v>
      </c>
      <c r="F98" s="42">
        <f>DSUM($B$57:$Y$65,F$57,$C$74:$D98)</f>
        <v>0.3199069371215616</v>
      </c>
      <c r="G98" s="42">
        <f>DSUM($B$57:$Y$65,G$57,$C$74:$D98)</f>
        <v>0.32196393306466281</v>
      </c>
      <c r="H98" s="42">
        <f>DSUM($B$57:$Y$65,H$57,$C$74:$D98)</f>
        <v>0.32421485895930902</v>
      </c>
      <c r="I98" s="42">
        <f>DSUM($B$57:$Y$65,I$57,$C$74:$D98)</f>
        <v>0.32781137791918119</v>
      </c>
      <c r="J98" s="42">
        <f>DSUM($B$57:$Y$65,J$57,$C$74:$D98)</f>
        <v>0.29723918695717905</v>
      </c>
      <c r="K98" s="42">
        <f>DSUM($B$57:$Y$65,K$57,$C$74:$D98)</f>
        <v>0.23956382492233663</v>
      </c>
      <c r="L98" s="42">
        <f>DSUM($B$57:$Y$65,L$57,$C$74:$D98)</f>
        <v>0.19315669240177416</v>
      </c>
      <c r="M98" s="42">
        <f>DSUM($B$57:$Y$65,M$57,$C$74:$D98)</f>
        <v>0.15570694282486658</v>
      </c>
      <c r="N98" s="42">
        <f>DSUM($B$57:$Y$65,N$57,$C$74:$D98)</f>
        <v>0.12608807422548818</v>
      </c>
      <c r="O98" s="42">
        <f>DSUM($B$57:$Y$65,O$57,$C$74:$D98)</f>
        <v>0.10164879224511124</v>
      </c>
      <c r="P98" s="42">
        <f>DSUM($B$57:$Y$65,P$57,$C$74:$D98)</f>
        <v>8.194195543353E-2</v>
      </c>
      <c r="Q98" s="42">
        <f>DSUM($B$57:$Y$65,Q$57,$C$74:$D98)</f>
        <v>6.6051382019399002E-2</v>
      </c>
      <c r="R98" s="42">
        <f>DSUM($B$57:$Y$65,R$57,$C$74:$D98)</f>
        <v>5.3248545481810558E-2</v>
      </c>
      <c r="S98" s="42">
        <f>DSUM($B$57:$Y$65,S$57,$C$74:$D98)</f>
        <v>4.3099362916745196E-2</v>
      </c>
      <c r="T98" s="42">
        <f>DSUM($B$57:$Y$65,T$57,$C$74:$D98)</f>
        <v>3.475925586052523E-2</v>
      </c>
      <c r="U98" s="42">
        <f>DSUM($B$57:$Y$65,U$57,$C$74:$D98)</f>
        <v>2.3907392039107373E-4</v>
      </c>
      <c r="V98" s="42">
        <f>DSUM($B$57:$Y$65,V$57,$C$74:$D98)</f>
        <v>8.6098408727237847E-5</v>
      </c>
      <c r="W98" s="42">
        <f>DSUM($B$57:$Y$65,W$57,$C$74:$D98)</f>
        <v>2.9589309707678561E-5</v>
      </c>
      <c r="X98" s="42">
        <f>DSUM($B$57:$Y$65,X$57,$C$74:$D98)</f>
        <v>9.7710174589211311E-6</v>
      </c>
      <c r="Y98" s="42">
        <f>DSUM($B$57:$Y$65,Y$57,$C$74:$D98)</f>
        <v>3.4137661992359805</v>
      </c>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row>
    <row r="99" spans="1:79">
      <c r="B99" s="7" t="s">
        <v>168</v>
      </c>
      <c r="C99" s="45" t="s">
        <v>169</v>
      </c>
      <c r="D99" s="45" t="s">
        <v>170</v>
      </c>
      <c r="E99" s="42">
        <f>DSUM($B$57:$Y$65,E$57,$C$74:$D99)</f>
        <v>0.31788611084330931</v>
      </c>
      <c r="F99" s="42">
        <f>DSUM($B$57:$Y$65,F$57,$C$74:$D99)</f>
        <v>0.3199069371215616</v>
      </c>
      <c r="G99" s="42">
        <f>DSUM($B$57:$Y$65,G$57,$C$74:$D99)</f>
        <v>0.32196393306466281</v>
      </c>
      <c r="H99" s="42">
        <f>DSUM($B$57:$Y$65,H$57,$C$74:$D99)</f>
        <v>0.32421485895930902</v>
      </c>
      <c r="I99" s="42">
        <f>DSUM($B$57:$Y$65,I$57,$C$74:$D99)</f>
        <v>0.32781137791918119</v>
      </c>
      <c r="J99" s="42">
        <f>DSUM($B$57:$Y$65,J$57,$C$74:$D99)</f>
        <v>0.29723918695717905</v>
      </c>
      <c r="K99" s="42">
        <f>DSUM($B$57:$Y$65,K$57,$C$74:$D99)</f>
        <v>0.23956382492233663</v>
      </c>
      <c r="L99" s="42">
        <f>DSUM($B$57:$Y$65,L$57,$C$74:$D99)</f>
        <v>0.19315669240177416</v>
      </c>
      <c r="M99" s="42">
        <f>DSUM($B$57:$Y$65,M$57,$C$74:$D99)</f>
        <v>0.15570694282486658</v>
      </c>
      <c r="N99" s="42">
        <f>DSUM($B$57:$Y$65,N$57,$C$74:$D99)</f>
        <v>0.12608807422548818</v>
      </c>
      <c r="O99" s="42">
        <f>DSUM($B$57:$Y$65,O$57,$C$74:$D99)</f>
        <v>0.10164879224511124</v>
      </c>
      <c r="P99" s="42">
        <f>DSUM($B$57:$Y$65,P$57,$C$74:$D99)</f>
        <v>8.194195543353E-2</v>
      </c>
      <c r="Q99" s="42">
        <f>DSUM($B$57:$Y$65,Q$57,$C$74:$D99)</f>
        <v>6.6051382019399002E-2</v>
      </c>
      <c r="R99" s="42">
        <f>DSUM($B$57:$Y$65,R$57,$C$74:$D99)</f>
        <v>5.3248545481810558E-2</v>
      </c>
      <c r="S99" s="42">
        <f>DSUM($B$57:$Y$65,S$57,$C$74:$D99)</f>
        <v>4.3099362916745196E-2</v>
      </c>
      <c r="T99" s="42">
        <f>DSUM($B$57:$Y$65,T$57,$C$74:$D99)</f>
        <v>3.475925586052523E-2</v>
      </c>
      <c r="U99" s="42">
        <f>DSUM($B$57:$Y$65,U$57,$C$74:$D99)</f>
        <v>2.3907392039107373E-4</v>
      </c>
      <c r="V99" s="42">
        <f>DSUM($B$57:$Y$65,V$57,$C$74:$D99)</f>
        <v>8.6098408727237847E-5</v>
      </c>
      <c r="W99" s="42">
        <f>DSUM($B$57:$Y$65,W$57,$C$74:$D99)</f>
        <v>2.9589309707678561E-5</v>
      </c>
      <c r="X99" s="42">
        <f>DSUM($B$57:$Y$65,X$57,$C$74:$D99)</f>
        <v>9.7710174589211311E-6</v>
      </c>
      <c r="Y99" s="42">
        <f>DSUM($B$57:$Y$65,Y$57,$C$74:$D99)</f>
        <v>3.4137661992359805</v>
      </c>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row>
    <row r="100" spans="1:79">
      <c r="B100" s="7" t="s">
        <v>171</v>
      </c>
      <c r="C100" s="45" t="s">
        <v>172</v>
      </c>
      <c r="D100" s="45" t="s">
        <v>173</v>
      </c>
      <c r="E100" s="42">
        <f>DSUM($B$57:$Y$65,E$57,$C$74:$D100)</f>
        <v>0.31788611084330931</v>
      </c>
      <c r="F100" s="42">
        <f>DSUM($B$57:$Y$65,F$57,$C$74:$D100)</f>
        <v>0.3199069371215616</v>
      </c>
      <c r="G100" s="42">
        <f>DSUM($B$57:$Y$65,G$57,$C$74:$D100)</f>
        <v>0.32196393306466281</v>
      </c>
      <c r="H100" s="42">
        <f>DSUM($B$57:$Y$65,H$57,$C$74:$D100)</f>
        <v>0.32421485895930902</v>
      </c>
      <c r="I100" s="42">
        <f>DSUM($B$57:$Y$65,I$57,$C$74:$D100)</f>
        <v>0.32781137791918119</v>
      </c>
      <c r="J100" s="42">
        <f>DSUM($B$57:$Y$65,J$57,$C$74:$D100)</f>
        <v>0.29723918695717905</v>
      </c>
      <c r="K100" s="42">
        <f>DSUM($B$57:$Y$65,K$57,$C$74:$D100)</f>
        <v>0.23956382492233663</v>
      </c>
      <c r="L100" s="42">
        <f>DSUM($B$57:$Y$65,L$57,$C$74:$D100)</f>
        <v>0.19315669240177416</v>
      </c>
      <c r="M100" s="42">
        <f>DSUM($B$57:$Y$65,M$57,$C$74:$D100)</f>
        <v>0.15570694282486658</v>
      </c>
      <c r="N100" s="42">
        <f>DSUM($B$57:$Y$65,N$57,$C$74:$D100)</f>
        <v>0.12608807422548818</v>
      </c>
      <c r="O100" s="42">
        <f>DSUM($B$57:$Y$65,O$57,$C$74:$D100)</f>
        <v>0.10164879224511124</v>
      </c>
      <c r="P100" s="42">
        <f>DSUM($B$57:$Y$65,P$57,$C$74:$D100)</f>
        <v>8.194195543353E-2</v>
      </c>
      <c r="Q100" s="42">
        <f>DSUM($B$57:$Y$65,Q$57,$C$74:$D100)</f>
        <v>6.6051382019399002E-2</v>
      </c>
      <c r="R100" s="42">
        <f>DSUM($B$57:$Y$65,R$57,$C$74:$D100)</f>
        <v>5.3248545481810558E-2</v>
      </c>
      <c r="S100" s="42">
        <f>DSUM($B$57:$Y$65,S$57,$C$74:$D100)</f>
        <v>4.3099362916745196E-2</v>
      </c>
      <c r="T100" s="42">
        <f>DSUM($B$57:$Y$65,T$57,$C$74:$D100)</f>
        <v>3.475925586052523E-2</v>
      </c>
      <c r="U100" s="42">
        <f>DSUM($B$57:$Y$65,U$57,$C$74:$D100)</f>
        <v>2.3907392039107373E-4</v>
      </c>
      <c r="V100" s="42">
        <f>DSUM($B$57:$Y$65,V$57,$C$74:$D100)</f>
        <v>8.6098408727237847E-5</v>
      </c>
      <c r="W100" s="42">
        <f>DSUM($B$57:$Y$65,W$57,$C$74:$D100)</f>
        <v>2.9589309707678561E-5</v>
      </c>
      <c r="X100" s="42">
        <f>DSUM($B$57:$Y$65,X$57,$C$74:$D100)</f>
        <v>9.7710174589211311E-6</v>
      </c>
      <c r="Y100" s="42">
        <f>DSUM($B$57:$Y$65,Y$57,$C$74:$D100)</f>
        <v>3.4137661992359805</v>
      </c>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row>
    <row r="101" spans="1:79">
      <c r="B101" s="7" t="s">
        <v>174</v>
      </c>
      <c r="C101" s="45" t="s">
        <v>175</v>
      </c>
      <c r="D101" s="45" t="s">
        <v>176</v>
      </c>
      <c r="E101" s="42">
        <f>DSUM($B$57:$Y$65,E$57,$C$74:$D101)</f>
        <v>0.31788611084330931</v>
      </c>
      <c r="F101" s="42">
        <f>DSUM($B$57:$Y$65,F$57,$C$74:$D101)</f>
        <v>0.3199069371215616</v>
      </c>
      <c r="G101" s="42">
        <f>DSUM($B$57:$Y$65,G$57,$C$74:$D101)</f>
        <v>0.32196393306466281</v>
      </c>
      <c r="H101" s="42">
        <f>DSUM($B$57:$Y$65,H$57,$C$74:$D101)</f>
        <v>0.32421485895930902</v>
      </c>
      <c r="I101" s="42">
        <f>DSUM($B$57:$Y$65,I$57,$C$74:$D101)</f>
        <v>0.32781137791918119</v>
      </c>
      <c r="J101" s="42">
        <f>DSUM($B$57:$Y$65,J$57,$C$74:$D101)</f>
        <v>0.29723918695717905</v>
      </c>
      <c r="K101" s="42">
        <f>DSUM($B$57:$Y$65,K$57,$C$74:$D101)</f>
        <v>0.23956382492233663</v>
      </c>
      <c r="L101" s="42">
        <f>DSUM($B$57:$Y$65,L$57,$C$74:$D101)</f>
        <v>0.19315669240177416</v>
      </c>
      <c r="M101" s="42">
        <f>DSUM($B$57:$Y$65,M$57,$C$74:$D101)</f>
        <v>0.15570694282486658</v>
      </c>
      <c r="N101" s="42">
        <f>DSUM($B$57:$Y$65,N$57,$C$74:$D101)</f>
        <v>0.12608807422548818</v>
      </c>
      <c r="O101" s="42">
        <f>DSUM($B$57:$Y$65,O$57,$C$74:$D101)</f>
        <v>0.10164879224511124</v>
      </c>
      <c r="P101" s="42">
        <f>DSUM($B$57:$Y$65,P$57,$C$74:$D101)</f>
        <v>8.194195543353E-2</v>
      </c>
      <c r="Q101" s="42">
        <f>DSUM($B$57:$Y$65,Q$57,$C$74:$D101)</f>
        <v>6.6051382019399002E-2</v>
      </c>
      <c r="R101" s="42">
        <f>DSUM($B$57:$Y$65,R$57,$C$74:$D101)</f>
        <v>5.3248545481810558E-2</v>
      </c>
      <c r="S101" s="42">
        <f>DSUM($B$57:$Y$65,S$57,$C$74:$D101)</f>
        <v>4.3099362916745196E-2</v>
      </c>
      <c r="T101" s="42">
        <f>DSUM($B$57:$Y$65,T$57,$C$74:$D101)</f>
        <v>3.475925586052523E-2</v>
      </c>
      <c r="U101" s="42">
        <f>DSUM($B$57:$Y$65,U$57,$C$74:$D101)</f>
        <v>2.3907392039107373E-4</v>
      </c>
      <c r="V101" s="42">
        <f>DSUM($B$57:$Y$65,V$57,$C$74:$D101)</f>
        <v>8.6098408727237847E-5</v>
      </c>
      <c r="W101" s="42">
        <f>DSUM($B$57:$Y$65,W$57,$C$74:$D101)</f>
        <v>2.9589309707678561E-5</v>
      </c>
      <c r="X101" s="42">
        <f>DSUM($B$57:$Y$65,X$57,$C$74:$D101)</f>
        <v>9.7710174589211311E-6</v>
      </c>
      <c r="Y101" s="42">
        <f>DSUM($B$57:$Y$65,Y$57,$C$74:$D101)</f>
        <v>3.4137661992359805</v>
      </c>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row>
    <row r="102" spans="1:79">
      <c r="B102" s="7" t="s">
        <v>177</v>
      </c>
      <c r="C102" s="45" t="s">
        <v>178</v>
      </c>
      <c r="D102" s="45" t="s">
        <v>179</v>
      </c>
      <c r="E102" s="42">
        <f>DSUM($B$57:$Y$65,E$57,$C$74:$D102)</f>
        <v>0.31788611084330931</v>
      </c>
      <c r="F102" s="42">
        <f>DSUM($B$57:$Y$65,F$57,$C$74:$D102)</f>
        <v>0.3199069371215616</v>
      </c>
      <c r="G102" s="42">
        <f>DSUM($B$57:$Y$65,G$57,$C$74:$D102)</f>
        <v>0.32196393306466281</v>
      </c>
      <c r="H102" s="42">
        <f>DSUM($B$57:$Y$65,H$57,$C$74:$D102)</f>
        <v>0.32421485895930902</v>
      </c>
      <c r="I102" s="42">
        <f>DSUM($B$57:$Y$65,I$57,$C$74:$D102)</f>
        <v>0.32781137791918119</v>
      </c>
      <c r="J102" s="42">
        <f>DSUM($B$57:$Y$65,J$57,$C$74:$D102)</f>
        <v>0.29723918695717905</v>
      </c>
      <c r="K102" s="42">
        <f>DSUM($B$57:$Y$65,K$57,$C$74:$D102)</f>
        <v>0.23956382492233663</v>
      </c>
      <c r="L102" s="42">
        <f>DSUM($B$57:$Y$65,L$57,$C$74:$D102)</f>
        <v>0.19315669240177416</v>
      </c>
      <c r="M102" s="42">
        <f>DSUM($B$57:$Y$65,M$57,$C$74:$D102)</f>
        <v>0.15570694282486658</v>
      </c>
      <c r="N102" s="42">
        <f>DSUM($B$57:$Y$65,N$57,$C$74:$D102)</f>
        <v>0.12608807422548818</v>
      </c>
      <c r="O102" s="42">
        <f>DSUM($B$57:$Y$65,O$57,$C$74:$D102)</f>
        <v>0.10164879224511124</v>
      </c>
      <c r="P102" s="42">
        <f>DSUM($B$57:$Y$65,P$57,$C$74:$D102)</f>
        <v>8.194195543353E-2</v>
      </c>
      <c r="Q102" s="42">
        <f>DSUM($B$57:$Y$65,Q$57,$C$74:$D102)</f>
        <v>6.6051382019399002E-2</v>
      </c>
      <c r="R102" s="42">
        <f>DSUM($B$57:$Y$65,R$57,$C$74:$D102)</f>
        <v>5.3248545481810558E-2</v>
      </c>
      <c r="S102" s="42">
        <f>DSUM($B$57:$Y$65,S$57,$C$74:$D102)</f>
        <v>4.3099362916745196E-2</v>
      </c>
      <c r="T102" s="42">
        <f>DSUM($B$57:$Y$65,T$57,$C$74:$D102)</f>
        <v>3.475925586052523E-2</v>
      </c>
      <c r="U102" s="42">
        <f>DSUM($B$57:$Y$65,U$57,$C$74:$D102)</f>
        <v>2.3907392039107373E-4</v>
      </c>
      <c r="V102" s="42">
        <f>DSUM($B$57:$Y$65,V$57,$C$74:$D102)</f>
        <v>8.6098408727237847E-5</v>
      </c>
      <c r="W102" s="42">
        <f>DSUM($B$57:$Y$65,W$57,$C$74:$D102)</f>
        <v>2.9589309707678561E-5</v>
      </c>
      <c r="X102" s="42">
        <f>DSUM($B$57:$Y$65,X$57,$C$74:$D102)</f>
        <v>9.7710174589211311E-6</v>
      </c>
      <c r="Y102" s="42">
        <f>DSUM($B$57:$Y$65,Y$57,$C$74:$D102)</f>
        <v>3.4137661992359805</v>
      </c>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row>
    <row r="103" spans="1:79">
      <c r="B103" s="7" t="s">
        <v>180</v>
      </c>
      <c r="C103" s="45" t="s">
        <v>181</v>
      </c>
      <c r="D103" s="45" t="s">
        <v>182</v>
      </c>
      <c r="E103" s="42">
        <f>DSUM($B$57:$Y$65,E$57,$C$74:$D103)</f>
        <v>0.31788611084330931</v>
      </c>
      <c r="F103" s="42">
        <f>DSUM($B$57:$Y$65,F$57,$C$74:$D103)</f>
        <v>0.3199069371215616</v>
      </c>
      <c r="G103" s="42">
        <f>DSUM($B$57:$Y$65,G$57,$C$74:$D103)</f>
        <v>0.32196393306466281</v>
      </c>
      <c r="H103" s="42">
        <f>DSUM($B$57:$Y$65,H$57,$C$74:$D103)</f>
        <v>0.32421485895930902</v>
      </c>
      <c r="I103" s="42">
        <f>DSUM($B$57:$Y$65,I$57,$C$74:$D103)</f>
        <v>0.32781137791918119</v>
      </c>
      <c r="J103" s="42">
        <f>DSUM($B$57:$Y$65,J$57,$C$74:$D103)</f>
        <v>0.29723918695717905</v>
      </c>
      <c r="K103" s="42">
        <f>DSUM($B$57:$Y$65,K$57,$C$74:$D103)</f>
        <v>0.23956382492233663</v>
      </c>
      <c r="L103" s="42">
        <f>DSUM($B$57:$Y$65,L$57,$C$74:$D103)</f>
        <v>0.19315669240177416</v>
      </c>
      <c r="M103" s="42">
        <f>DSUM($B$57:$Y$65,M$57,$C$74:$D103)</f>
        <v>0.15570694282486658</v>
      </c>
      <c r="N103" s="42">
        <f>DSUM($B$57:$Y$65,N$57,$C$74:$D103)</f>
        <v>0.12608807422548818</v>
      </c>
      <c r="O103" s="42">
        <f>DSUM($B$57:$Y$65,O$57,$C$74:$D103)</f>
        <v>0.10164879224511124</v>
      </c>
      <c r="P103" s="42">
        <f>DSUM($B$57:$Y$65,P$57,$C$74:$D103)</f>
        <v>8.194195543353E-2</v>
      </c>
      <c r="Q103" s="42">
        <f>DSUM($B$57:$Y$65,Q$57,$C$74:$D103)</f>
        <v>6.6051382019399002E-2</v>
      </c>
      <c r="R103" s="42">
        <f>DSUM($B$57:$Y$65,R$57,$C$74:$D103)</f>
        <v>5.3248545481810558E-2</v>
      </c>
      <c r="S103" s="42">
        <f>DSUM($B$57:$Y$65,S$57,$C$74:$D103)</f>
        <v>4.3099362916745196E-2</v>
      </c>
      <c r="T103" s="42">
        <f>DSUM($B$57:$Y$65,T$57,$C$74:$D103)</f>
        <v>3.475925586052523E-2</v>
      </c>
      <c r="U103" s="42">
        <f>DSUM($B$57:$Y$65,U$57,$C$74:$D103)</f>
        <v>2.3907392039107373E-4</v>
      </c>
      <c r="V103" s="42">
        <f>DSUM($B$57:$Y$65,V$57,$C$74:$D103)</f>
        <v>8.6098408727237847E-5</v>
      </c>
      <c r="W103" s="42">
        <f>DSUM($B$57:$Y$65,W$57,$C$74:$D103)</f>
        <v>2.9589309707678561E-5</v>
      </c>
      <c r="X103" s="42">
        <f>DSUM($B$57:$Y$65,X$57,$C$74:$D103)</f>
        <v>9.7710174589211311E-6</v>
      </c>
      <c r="Y103" s="42">
        <f>DSUM($B$57:$Y$65,Y$57,$C$74:$D103)</f>
        <v>3.4137661992359805</v>
      </c>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row>
    <row r="104" spans="1:79">
      <c r="B104" s="7" t="s">
        <v>183</v>
      </c>
      <c r="C104" s="45" t="s">
        <v>184</v>
      </c>
      <c r="D104" s="45" t="s">
        <v>185</v>
      </c>
      <c r="E104" s="42">
        <f>DSUM($B$57:$Y$65,E$57,$C$74:$D104)</f>
        <v>0.31788611084330931</v>
      </c>
      <c r="F104" s="42">
        <f>DSUM($B$57:$Y$65,F$57,$C$74:$D104)</f>
        <v>0.3199069371215616</v>
      </c>
      <c r="G104" s="42">
        <f>DSUM($B$57:$Y$65,G$57,$C$74:$D104)</f>
        <v>0.32196393306466281</v>
      </c>
      <c r="H104" s="42">
        <f>DSUM($B$57:$Y$65,H$57,$C$74:$D104)</f>
        <v>0.32421485895930902</v>
      </c>
      <c r="I104" s="42">
        <f>DSUM($B$57:$Y$65,I$57,$C$74:$D104)</f>
        <v>0.32781137791918119</v>
      </c>
      <c r="J104" s="42">
        <f>DSUM($B$57:$Y$65,J$57,$C$74:$D104)</f>
        <v>0.29723918695717905</v>
      </c>
      <c r="K104" s="42">
        <f>DSUM($B$57:$Y$65,K$57,$C$74:$D104)</f>
        <v>0.23956382492233663</v>
      </c>
      <c r="L104" s="42">
        <f>DSUM($B$57:$Y$65,L$57,$C$74:$D104)</f>
        <v>0.19315669240177416</v>
      </c>
      <c r="M104" s="42">
        <f>DSUM($B$57:$Y$65,M$57,$C$74:$D104)</f>
        <v>0.15570694282486658</v>
      </c>
      <c r="N104" s="42">
        <f>DSUM($B$57:$Y$65,N$57,$C$74:$D104)</f>
        <v>0.12608807422548818</v>
      </c>
      <c r="O104" s="42">
        <f>DSUM($B$57:$Y$65,O$57,$C$74:$D104)</f>
        <v>0.10164879224511124</v>
      </c>
      <c r="P104" s="42">
        <f>DSUM($B$57:$Y$65,P$57,$C$74:$D104)</f>
        <v>8.194195543353E-2</v>
      </c>
      <c r="Q104" s="42">
        <f>DSUM($B$57:$Y$65,Q$57,$C$74:$D104)</f>
        <v>6.6051382019399002E-2</v>
      </c>
      <c r="R104" s="42">
        <f>DSUM($B$57:$Y$65,R$57,$C$74:$D104)</f>
        <v>5.3248545481810558E-2</v>
      </c>
      <c r="S104" s="42">
        <f>DSUM($B$57:$Y$65,S$57,$C$74:$D104)</f>
        <v>4.3099362916745196E-2</v>
      </c>
      <c r="T104" s="42">
        <f>DSUM($B$57:$Y$65,T$57,$C$74:$D104)</f>
        <v>3.475925586052523E-2</v>
      </c>
      <c r="U104" s="42">
        <f>DSUM($B$57:$Y$65,U$57,$C$74:$D104)</f>
        <v>2.3907392039107373E-4</v>
      </c>
      <c r="V104" s="42">
        <f>DSUM($B$57:$Y$65,V$57,$C$74:$D104)</f>
        <v>8.6098408727237847E-5</v>
      </c>
      <c r="W104" s="42">
        <f>DSUM($B$57:$Y$65,W$57,$C$74:$D104)</f>
        <v>2.9589309707678561E-5</v>
      </c>
      <c r="X104" s="42">
        <f>DSUM($B$57:$Y$65,X$57,$C$74:$D104)</f>
        <v>9.7710174589211311E-6</v>
      </c>
      <c r="Y104" s="42">
        <f>DSUM($B$57:$Y$65,Y$57,$C$74:$D104)</f>
        <v>3.4137661992359805</v>
      </c>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row>
    <row r="105" spans="1:79">
      <c r="B105" s="7" t="s">
        <v>186</v>
      </c>
      <c r="C105" s="45" t="s">
        <v>187</v>
      </c>
      <c r="D105" s="45" t="s">
        <v>188</v>
      </c>
      <c r="E105" s="42">
        <f>DSUM($B$57:$Y$65,E$57,$C$74:$D105)</f>
        <v>0.31788611084330931</v>
      </c>
      <c r="F105" s="42">
        <f>DSUM($B$57:$Y$65,F$57,$C$74:$D105)</f>
        <v>0.3199069371215616</v>
      </c>
      <c r="G105" s="42">
        <f>DSUM($B$57:$Y$65,G$57,$C$74:$D105)</f>
        <v>0.32196393306466281</v>
      </c>
      <c r="H105" s="42">
        <f>DSUM($B$57:$Y$65,H$57,$C$74:$D105)</f>
        <v>0.32421485895930902</v>
      </c>
      <c r="I105" s="42">
        <f>DSUM($B$57:$Y$65,I$57,$C$74:$D105)</f>
        <v>0.32781137791918119</v>
      </c>
      <c r="J105" s="42">
        <f>DSUM($B$57:$Y$65,J$57,$C$74:$D105)</f>
        <v>0.29723918695717905</v>
      </c>
      <c r="K105" s="42">
        <f>DSUM($B$57:$Y$65,K$57,$C$74:$D105)</f>
        <v>0.23956382492233663</v>
      </c>
      <c r="L105" s="42">
        <f>DSUM($B$57:$Y$65,L$57,$C$74:$D105)</f>
        <v>0.19315669240177416</v>
      </c>
      <c r="M105" s="42">
        <f>DSUM($B$57:$Y$65,M$57,$C$74:$D105)</f>
        <v>0.15570694282486658</v>
      </c>
      <c r="N105" s="42">
        <f>DSUM($B$57:$Y$65,N$57,$C$74:$D105)</f>
        <v>0.12608807422548818</v>
      </c>
      <c r="O105" s="42">
        <f>DSUM($B$57:$Y$65,O$57,$C$74:$D105)</f>
        <v>0.10164879224511124</v>
      </c>
      <c r="P105" s="42">
        <f>DSUM($B$57:$Y$65,P$57,$C$74:$D105)</f>
        <v>8.194195543353E-2</v>
      </c>
      <c r="Q105" s="42">
        <f>DSUM($B$57:$Y$65,Q$57,$C$74:$D105)</f>
        <v>6.6051382019399002E-2</v>
      </c>
      <c r="R105" s="42">
        <f>DSUM($B$57:$Y$65,R$57,$C$74:$D105)</f>
        <v>5.3248545481810558E-2</v>
      </c>
      <c r="S105" s="42">
        <f>DSUM($B$57:$Y$65,S$57,$C$74:$D105)</f>
        <v>4.3099362916745196E-2</v>
      </c>
      <c r="T105" s="42">
        <f>DSUM($B$57:$Y$65,T$57,$C$74:$D105)</f>
        <v>3.475925586052523E-2</v>
      </c>
      <c r="U105" s="42">
        <f>DSUM($B$57:$Y$65,U$57,$C$74:$D105)</f>
        <v>2.3907392039107373E-4</v>
      </c>
      <c r="V105" s="42">
        <f>DSUM($B$57:$Y$65,V$57,$C$74:$D105)</f>
        <v>8.6098408727237847E-5</v>
      </c>
      <c r="W105" s="42">
        <f>DSUM($B$57:$Y$65,W$57,$C$74:$D105)</f>
        <v>2.9589309707678561E-5</v>
      </c>
      <c r="X105" s="42">
        <f>DSUM($B$57:$Y$65,X$57,$C$74:$D105)</f>
        <v>9.7710174589211311E-6</v>
      </c>
      <c r="Y105" s="42">
        <f>DSUM($B$57:$Y$65,Y$57,$C$74:$D105)</f>
        <v>3.4137661992359805</v>
      </c>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row>
    <row r="106" spans="1:79">
      <c r="B106" s="7" t="s">
        <v>189</v>
      </c>
      <c r="C106" s="45" t="s">
        <v>190</v>
      </c>
      <c r="D106" s="45" t="s">
        <v>102</v>
      </c>
      <c r="E106" s="42">
        <f>DSUM($B$57:$Y$65,E$57,$C$74:$D106)</f>
        <v>0.31788611084330931</v>
      </c>
      <c r="F106" s="42">
        <f>DSUM($B$57:$Y$65,F$57,$C$74:$D106)</f>
        <v>0.3199069371215616</v>
      </c>
      <c r="G106" s="42">
        <f>DSUM($B$57:$Y$65,G$57,$C$74:$D106)</f>
        <v>0.32196393306466281</v>
      </c>
      <c r="H106" s="42">
        <f>DSUM($B$57:$Y$65,H$57,$C$74:$D106)</f>
        <v>0.32421485895930902</v>
      </c>
      <c r="I106" s="42">
        <f>DSUM($B$57:$Y$65,I$57,$C$74:$D106)</f>
        <v>0.32781137791918119</v>
      </c>
      <c r="J106" s="42">
        <f>DSUM($B$57:$Y$65,J$57,$C$74:$D106)</f>
        <v>0.29723918695717905</v>
      </c>
      <c r="K106" s="42">
        <f>DSUM($B$57:$Y$65,K$57,$C$74:$D106)</f>
        <v>0.23956382492233663</v>
      </c>
      <c r="L106" s="42">
        <f>DSUM($B$57:$Y$65,L$57,$C$74:$D106)</f>
        <v>0.19315669240177416</v>
      </c>
      <c r="M106" s="42">
        <f>DSUM($B$57:$Y$65,M$57,$C$74:$D106)</f>
        <v>0.15570694282486658</v>
      </c>
      <c r="N106" s="42">
        <f>DSUM($B$57:$Y$65,N$57,$C$74:$D106)</f>
        <v>0.12608807422548818</v>
      </c>
      <c r="O106" s="42">
        <f>DSUM($B$57:$Y$65,O$57,$C$74:$D106)</f>
        <v>0.10164879224511124</v>
      </c>
      <c r="P106" s="42">
        <f>DSUM($B$57:$Y$65,P$57,$C$74:$D106)</f>
        <v>8.194195543353E-2</v>
      </c>
      <c r="Q106" s="42">
        <f>DSUM($B$57:$Y$65,Q$57,$C$74:$D106)</f>
        <v>6.6051382019399002E-2</v>
      </c>
      <c r="R106" s="42">
        <f>DSUM($B$57:$Y$65,R$57,$C$74:$D106)</f>
        <v>5.3248545481810558E-2</v>
      </c>
      <c r="S106" s="42">
        <f>DSUM($B$57:$Y$65,S$57,$C$74:$D106)</f>
        <v>4.3099362916745196E-2</v>
      </c>
      <c r="T106" s="42">
        <f>DSUM($B$57:$Y$65,T$57,$C$74:$D106)</f>
        <v>3.475925586052523E-2</v>
      </c>
      <c r="U106" s="42">
        <f>DSUM($B$57:$Y$65,U$57,$C$74:$D106)</f>
        <v>2.3907392039107373E-4</v>
      </c>
      <c r="V106" s="42">
        <f>DSUM($B$57:$Y$65,V$57,$C$74:$D106)</f>
        <v>8.6098408727237847E-5</v>
      </c>
      <c r="W106" s="42">
        <f>DSUM($B$57:$Y$65,W$57,$C$74:$D106)</f>
        <v>2.9589309707678561E-5</v>
      </c>
      <c r="X106" s="42">
        <f>DSUM($B$57:$Y$65,X$57,$C$74:$D106)</f>
        <v>9.7710174589211311E-6</v>
      </c>
      <c r="Y106" s="42">
        <f>DSUM($B$57:$Y$65,Y$57,$C$74:$D106)</f>
        <v>3.4137661992359805</v>
      </c>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row>
    <row r="107" spans="1:79">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row>
    <row r="108" spans="1:79">
      <c r="E108" s="26">
        <f>E106</f>
        <v>0.31788611084330931</v>
      </c>
      <c r="F108" s="26">
        <f>F106+E108</f>
        <v>0.63779304796487091</v>
      </c>
      <c r="G108" s="26">
        <f t="shared" ref="G108:W108" si="43">G106+F108</f>
        <v>0.95975698102953366</v>
      </c>
      <c r="H108" s="26">
        <f t="shared" si="43"/>
        <v>1.2839718399888427</v>
      </c>
      <c r="I108" s="26">
        <f t="shared" si="43"/>
        <v>1.6117832179080238</v>
      </c>
      <c r="J108" s="26">
        <f t="shared" si="43"/>
        <v>1.9090224048652029</v>
      </c>
      <c r="K108" s="26">
        <f t="shared" si="43"/>
        <v>2.1485862297875395</v>
      </c>
      <c r="L108" s="26">
        <f t="shared" si="43"/>
        <v>2.3417429221893138</v>
      </c>
      <c r="M108" s="26">
        <f t="shared" si="43"/>
        <v>2.4974498650141803</v>
      </c>
      <c r="N108" s="26">
        <f t="shared" si="43"/>
        <v>2.6235379392396685</v>
      </c>
      <c r="O108" s="26">
        <f t="shared" si="43"/>
        <v>2.7251867314847797</v>
      </c>
      <c r="P108" s="26">
        <f t="shared" si="43"/>
        <v>2.8071286869183099</v>
      </c>
      <c r="Q108" s="26">
        <f t="shared" si="43"/>
        <v>2.8731800689377089</v>
      </c>
      <c r="R108" s="26">
        <f t="shared" si="43"/>
        <v>2.9264286144195193</v>
      </c>
      <c r="S108" s="26">
        <f t="shared" si="43"/>
        <v>2.9695279773362646</v>
      </c>
      <c r="T108" s="26">
        <f t="shared" si="43"/>
        <v>3.00428723319679</v>
      </c>
      <c r="U108" s="26">
        <f t="shared" si="43"/>
        <v>3.0045263071171813</v>
      </c>
      <c r="V108" s="26">
        <f t="shared" si="43"/>
        <v>3.0046124055259087</v>
      </c>
      <c r="W108" s="26">
        <f t="shared" si="43"/>
        <v>3.0046419948356164</v>
      </c>
      <c r="X108" s="26">
        <f>X106+W108</f>
        <v>3.0046517658530756</v>
      </c>
      <c r="Y108" s="26"/>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row>
    <row r="109" spans="1:79" ht="15">
      <c r="A109" s="49" t="s">
        <v>103</v>
      </c>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row>
    <row r="110" spans="1:79" ht="15">
      <c r="D110" s="57" t="str">
        <f>C26</f>
        <v>Irrigation Motor - Retro</v>
      </c>
      <c r="E110" s="51">
        <f t="shared" ref="E110:X110" si="44">E11</f>
        <v>2016</v>
      </c>
      <c r="F110" s="52">
        <f t="shared" si="44"/>
        <v>2017</v>
      </c>
      <c r="G110" s="52">
        <f t="shared" si="44"/>
        <v>2018</v>
      </c>
      <c r="H110" s="52">
        <f t="shared" si="44"/>
        <v>2019</v>
      </c>
      <c r="I110" s="52">
        <f t="shared" si="44"/>
        <v>2020</v>
      </c>
      <c r="J110" s="52">
        <f t="shared" si="44"/>
        <v>2021</v>
      </c>
      <c r="K110" s="52">
        <f t="shared" si="44"/>
        <v>2022</v>
      </c>
      <c r="L110" s="52">
        <f t="shared" si="44"/>
        <v>2023</v>
      </c>
      <c r="M110" s="52">
        <f t="shared" si="44"/>
        <v>2024</v>
      </c>
      <c r="N110" s="52">
        <f t="shared" si="44"/>
        <v>2025</v>
      </c>
      <c r="O110" s="52">
        <f t="shared" si="44"/>
        <v>2026</v>
      </c>
      <c r="P110" s="52">
        <f t="shared" si="44"/>
        <v>2027</v>
      </c>
      <c r="Q110" s="52">
        <f t="shared" si="44"/>
        <v>2028</v>
      </c>
      <c r="R110" s="52">
        <f t="shared" si="44"/>
        <v>2029</v>
      </c>
      <c r="S110" s="52">
        <f t="shared" si="44"/>
        <v>2030</v>
      </c>
      <c r="T110" s="52">
        <f t="shared" si="44"/>
        <v>2031</v>
      </c>
      <c r="U110" s="52">
        <f t="shared" si="44"/>
        <v>2032</v>
      </c>
      <c r="V110" s="52">
        <f t="shared" si="44"/>
        <v>2033</v>
      </c>
      <c r="W110" s="52">
        <f t="shared" si="44"/>
        <v>2034</v>
      </c>
      <c r="X110" s="52">
        <f t="shared" si="44"/>
        <v>2035</v>
      </c>
      <c r="Y110" s="53" t="s">
        <v>31</v>
      </c>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row>
    <row r="111" spans="1:79" ht="15">
      <c r="E111" s="54" t="str">
        <f t="shared" ref="E111:X111" si="45">CONCATENATE("Units_",E$11)</f>
        <v>Units_2016</v>
      </c>
      <c r="F111" s="55" t="str">
        <f t="shared" si="45"/>
        <v>Units_2017</v>
      </c>
      <c r="G111" s="55" t="str">
        <f t="shared" si="45"/>
        <v>Units_2018</v>
      </c>
      <c r="H111" s="55" t="str">
        <f t="shared" si="45"/>
        <v>Units_2019</v>
      </c>
      <c r="I111" s="55" t="str">
        <f t="shared" si="45"/>
        <v>Units_2020</v>
      </c>
      <c r="J111" s="55" t="str">
        <f t="shared" si="45"/>
        <v>Units_2021</v>
      </c>
      <c r="K111" s="55" t="str">
        <f t="shared" si="45"/>
        <v>Units_2022</v>
      </c>
      <c r="L111" s="55" t="str">
        <f t="shared" si="45"/>
        <v>Units_2023</v>
      </c>
      <c r="M111" s="55" t="str">
        <f t="shared" si="45"/>
        <v>Units_2024</v>
      </c>
      <c r="N111" s="55" t="str">
        <f t="shared" si="45"/>
        <v>Units_2025</v>
      </c>
      <c r="O111" s="55" t="str">
        <f t="shared" si="45"/>
        <v>Units_2026</v>
      </c>
      <c r="P111" s="55" t="str">
        <f t="shared" si="45"/>
        <v>Units_2027</v>
      </c>
      <c r="Q111" s="55" t="str">
        <f t="shared" si="45"/>
        <v>Units_2028</v>
      </c>
      <c r="R111" s="55" t="str">
        <f t="shared" si="45"/>
        <v>Units_2029</v>
      </c>
      <c r="S111" s="55" t="str">
        <f t="shared" si="45"/>
        <v>Units_2030</v>
      </c>
      <c r="T111" s="55" t="str">
        <f t="shared" si="45"/>
        <v>Units_2031</v>
      </c>
      <c r="U111" s="55" t="str">
        <f t="shared" si="45"/>
        <v>Units_2032</v>
      </c>
      <c r="V111" s="55" t="str">
        <f t="shared" si="45"/>
        <v>Units_2033</v>
      </c>
      <c r="W111" s="55" t="str">
        <f t="shared" si="45"/>
        <v>Units_2034</v>
      </c>
      <c r="X111" s="55" t="str">
        <f t="shared" si="45"/>
        <v>Units_2035</v>
      </c>
      <c r="Y111" s="56" t="s">
        <v>31</v>
      </c>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row>
    <row r="112" spans="1:79">
      <c r="D112" s="7" t="s">
        <v>38</v>
      </c>
      <c r="E112" s="46">
        <f>E75</f>
        <v>0</v>
      </c>
      <c r="F112" s="46">
        <f t="shared" ref="F112:Y112" si="46">F75</f>
        <v>0</v>
      </c>
      <c r="G112" s="46">
        <f t="shared" si="46"/>
        <v>0</v>
      </c>
      <c r="H112" s="46">
        <f t="shared" si="46"/>
        <v>0</v>
      </c>
      <c r="I112" s="46">
        <f t="shared" si="46"/>
        <v>0</v>
      </c>
      <c r="J112" s="46">
        <f t="shared" si="46"/>
        <v>0</v>
      </c>
      <c r="K112" s="46">
        <f t="shared" si="46"/>
        <v>0</v>
      </c>
      <c r="L112" s="46">
        <f t="shared" si="46"/>
        <v>0</v>
      </c>
      <c r="M112" s="46">
        <f t="shared" si="46"/>
        <v>0</v>
      </c>
      <c r="N112" s="46">
        <f t="shared" si="46"/>
        <v>0</v>
      </c>
      <c r="O112" s="46">
        <f t="shared" si="46"/>
        <v>0</v>
      </c>
      <c r="P112" s="46">
        <f t="shared" si="46"/>
        <v>0</v>
      </c>
      <c r="Q112" s="46">
        <f t="shared" si="46"/>
        <v>0</v>
      </c>
      <c r="R112" s="46">
        <f t="shared" si="46"/>
        <v>0</v>
      </c>
      <c r="S112" s="46">
        <f t="shared" si="46"/>
        <v>0</v>
      </c>
      <c r="T112" s="46">
        <f t="shared" si="46"/>
        <v>0</v>
      </c>
      <c r="U112" s="46">
        <f t="shared" si="46"/>
        <v>0</v>
      </c>
      <c r="V112" s="46">
        <f t="shared" si="46"/>
        <v>0</v>
      </c>
      <c r="W112" s="46">
        <f t="shared" si="46"/>
        <v>0</v>
      </c>
      <c r="X112" s="46">
        <f t="shared" si="46"/>
        <v>0</v>
      </c>
      <c r="Y112" s="46">
        <f t="shared" si="46"/>
        <v>0</v>
      </c>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row>
    <row r="113" spans="4:79">
      <c r="D113" s="7" t="s">
        <v>41</v>
      </c>
      <c r="E113" s="46">
        <f>E76-E75</f>
        <v>0</v>
      </c>
      <c r="F113" s="46">
        <f>F76-F75</f>
        <v>0</v>
      </c>
      <c r="G113" s="46">
        <f t="shared" ref="G113:X126" si="47">G76-G75</f>
        <v>0</v>
      </c>
      <c r="H113" s="46">
        <f t="shared" si="47"/>
        <v>0</v>
      </c>
      <c r="I113" s="46">
        <f t="shared" si="47"/>
        <v>0</v>
      </c>
      <c r="J113" s="46">
        <f t="shared" si="47"/>
        <v>0</v>
      </c>
      <c r="K113" s="46">
        <f t="shared" si="47"/>
        <v>0</v>
      </c>
      <c r="L113" s="46">
        <f t="shared" si="47"/>
        <v>0</v>
      </c>
      <c r="M113" s="46">
        <f t="shared" si="47"/>
        <v>0</v>
      </c>
      <c r="N113" s="46">
        <f>N76-N75</f>
        <v>0</v>
      </c>
      <c r="O113" s="46">
        <f t="shared" si="47"/>
        <v>0</v>
      </c>
      <c r="P113" s="46">
        <f t="shared" si="47"/>
        <v>0</v>
      </c>
      <c r="Q113" s="46">
        <f t="shared" si="47"/>
        <v>0</v>
      </c>
      <c r="R113" s="46">
        <f t="shared" si="47"/>
        <v>0</v>
      </c>
      <c r="S113" s="46">
        <f t="shared" si="47"/>
        <v>0</v>
      </c>
      <c r="T113" s="46">
        <f t="shared" si="47"/>
        <v>0</v>
      </c>
      <c r="U113" s="46">
        <f t="shared" si="47"/>
        <v>0</v>
      </c>
      <c r="V113" s="46">
        <f t="shared" si="47"/>
        <v>0</v>
      </c>
      <c r="W113" s="46">
        <f t="shared" si="47"/>
        <v>0</v>
      </c>
      <c r="X113" s="46">
        <f t="shared" si="47"/>
        <v>0</v>
      </c>
      <c r="Y113" s="46">
        <f t="shared" ref="Y113" si="48">Y76-Y75</f>
        <v>0</v>
      </c>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row>
    <row r="114" spans="4:79">
      <c r="D114" s="7" t="s">
        <v>44</v>
      </c>
      <c r="E114" s="46">
        <f t="shared" ref="E114:T129" si="49">E77-E76</f>
        <v>0</v>
      </c>
      <c r="F114" s="46">
        <f t="shared" si="49"/>
        <v>0</v>
      </c>
      <c r="G114" s="46">
        <f t="shared" si="47"/>
        <v>0</v>
      </c>
      <c r="H114" s="46">
        <f t="shared" si="47"/>
        <v>0</v>
      </c>
      <c r="I114" s="46">
        <f t="shared" si="47"/>
        <v>0</v>
      </c>
      <c r="J114" s="46">
        <f t="shared" si="47"/>
        <v>0</v>
      </c>
      <c r="K114" s="46">
        <f t="shared" si="47"/>
        <v>0</v>
      </c>
      <c r="L114" s="46">
        <f t="shared" si="47"/>
        <v>0</v>
      </c>
      <c r="M114" s="46">
        <f t="shared" si="47"/>
        <v>0</v>
      </c>
      <c r="N114" s="46">
        <f t="shared" si="47"/>
        <v>0</v>
      </c>
      <c r="O114" s="46">
        <f t="shared" si="47"/>
        <v>0</v>
      </c>
      <c r="P114" s="46">
        <f t="shared" si="47"/>
        <v>0</v>
      </c>
      <c r="Q114" s="46">
        <f t="shared" si="47"/>
        <v>0</v>
      </c>
      <c r="R114" s="46">
        <f t="shared" si="47"/>
        <v>0</v>
      </c>
      <c r="S114" s="46">
        <f t="shared" si="47"/>
        <v>0</v>
      </c>
      <c r="T114" s="46">
        <f t="shared" si="47"/>
        <v>0</v>
      </c>
      <c r="U114" s="46">
        <f t="shared" si="47"/>
        <v>0</v>
      </c>
      <c r="V114" s="46">
        <f t="shared" si="47"/>
        <v>0</v>
      </c>
      <c r="W114" s="46">
        <f t="shared" si="47"/>
        <v>0</v>
      </c>
      <c r="X114" s="46">
        <f t="shared" si="47"/>
        <v>0</v>
      </c>
      <c r="Y114" s="46">
        <f t="shared" ref="Y114" si="50">Y77-Y76</f>
        <v>0</v>
      </c>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row>
    <row r="115" spans="4:79">
      <c r="D115" s="7" t="s">
        <v>47</v>
      </c>
      <c r="E115" s="46">
        <f t="shared" si="49"/>
        <v>0.28038447965562441</v>
      </c>
      <c r="F115" s="46">
        <f t="shared" si="49"/>
        <v>0.28200545895922102</v>
      </c>
      <c r="G115" s="46">
        <f t="shared" si="47"/>
        <v>0.28364814403173161</v>
      </c>
      <c r="H115" s="46">
        <f t="shared" si="47"/>
        <v>0.2854709384374578</v>
      </c>
      <c r="I115" s="46">
        <f t="shared" si="47"/>
        <v>0.28836563455954423</v>
      </c>
      <c r="J115" s="46">
        <f t="shared" si="47"/>
        <v>0.26129780382059925</v>
      </c>
      <c r="K115" s="46">
        <f t="shared" si="47"/>
        <v>0.21046741026182295</v>
      </c>
      <c r="L115" s="46">
        <f t="shared" si="47"/>
        <v>0.16959352464796368</v>
      </c>
      <c r="M115" s="46">
        <f t="shared" si="47"/>
        <v>0.13663317633078678</v>
      </c>
      <c r="N115" s="46">
        <f t="shared" si="47"/>
        <v>0.11052873072412769</v>
      </c>
      <c r="O115" s="46">
        <f t="shared" si="47"/>
        <v>8.9057023391127602E-2</v>
      </c>
      <c r="P115" s="46">
        <f t="shared" si="47"/>
        <v>7.1756243490209579E-2</v>
      </c>
      <c r="Q115" s="46">
        <f t="shared" si="47"/>
        <v>5.7809707031095045E-2</v>
      </c>
      <c r="R115" s="46">
        <f t="shared" si="47"/>
        <v>4.6582772310529562E-2</v>
      </c>
      <c r="S115" s="46">
        <f t="shared" si="47"/>
        <v>3.767112931145121E-2</v>
      </c>
      <c r="T115" s="46">
        <f t="shared" si="47"/>
        <v>3.0365702833145051E-2</v>
      </c>
      <c r="U115" s="46">
        <f t="shared" si="47"/>
        <v>2.0874744755779905E-4</v>
      </c>
      <c r="V115" s="46">
        <f t="shared" si="47"/>
        <v>7.5139042876531996E-5</v>
      </c>
      <c r="W115" s="46">
        <f t="shared" si="47"/>
        <v>2.5810502802435069E-5</v>
      </c>
      <c r="X115" s="46">
        <f t="shared" si="47"/>
        <v>8.5155850679566191E-6</v>
      </c>
      <c r="Y115" s="46">
        <f t="shared" ref="Y115" si="51">Y78-Y77</f>
        <v>2.9751473266652755</v>
      </c>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row>
    <row r="116" spans="4:79">
      <c r="D116" s="7" t="s">
        <v>50</v>
      </c>
      <c r="E116" s="46">
        <f t="shared" si="49"/>
        <v>3.7501631187684903E-2</v>
      </c>
      <c r="F116" s="46">
        <f t="shared" si="49"/>
        <v>3.7901478162340574E-2</v>
      </c>
      <c r="G116" s="46">
        <f t="shared" si="47"/>
        <v>3.8315789032931202E-2</v>
      </c>
      <c r="H116" s="46">
        <f t="shared" si="47"/>
        <v>3.8743920521851216E-2</v>
      </c>
      <c r="I116" s="46">
        <f t="shared" si="47"/>
        <v>3.9445743359636964E-2</v>
      </c>
      <c r="J116" s="46">
        <f t="shared" si="47"/>
        <v>3.5941383136579796E-2</v>
      </c>
      <c r="K116" s="46">
        <f t="shared" si="47"/>
        <v>2.9096414660513686E-2</v>
      </c>
      <c r="L116" s="46">
        <f t="shared" si="47"/>
        <v>2.3563167753810482E-2</v>
      </c>
      <c r="M116" s="46">
        <f t="shared" si="47"/>
        <v>1.9073766494079797E-2</v>
      </c>
      <c r="N116" s="46">
        <f t="shared" si="47"/>
        <v>1.5559343501360484E-2</v>
      </c>
      <c r="O116" s="46">
        <f t="shared" si="47"/>
        <v>1.2591768853983637E-2</v>
      </c>
      <c r="P116" s="46">
        <f t="shared" si="47"/>
        <v>1.0185711943320422E-2</v>
      </c>
      <c r="Q116" s="46">
        <f t="shared" si="47"/>
        <v>8.241674988303957E-3</v>
      </c>
      <c r="R116" s="46">
        <f t="shared" si="47"/>
        <v>6.6657731712809962E-3</v>
      </c>
      <c r="S116" s="46">
        <f t="shared" si="47"/>
        <v>5.4282336052939861E-3</v>
      </c>
      <c r="T116" s="46">
        <f t="shared" si="47"/>
        <v>4.3935530273801794E-3</v>
      </c>
      <c r="U116" s="46">
        <f t="shared" si="47"/>
        <v>3.0326472833274684E-5</v>
      </c>
      <c r="V116" s="46">
        <f t="shared" si="47"/>
        <v>1.0959365850705851E-5</v>
      </c>
      <c r="W116" s="46">
        <f t="shared" si="47"/>
        <v>3.7788069052434924E-6</v>
      </c>
      <c r="X116" s="46">
        <f t="shared" si="47"/>
        <v>1.255432390964512E-6</v>
      </c>
      <c r="Y116" s="46">
        <f t="shared" ref="Y116" si="52">Y79-Y78</f>
        <v>0.43861887257070498</v>
      </c>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row>
    <row r="117" spans="4:79">
      <c r="D117" s="7" t="s">
        <v>53</v>
      </c>
      <c r="E117" s="46">
        <f t="shared" si="49"/>
        <v>0</v>
      </c>
      <c r="F117" s="46">
        <f t="shared" si="49"/>
        <v>0</v>
      </c>
      <c r="G117" s="46">
        <f t="shared" si="47"/>
        <v>0</v>
      </c>
      <c r="H117" s="46">
        <f t="shared" si="47"/>
        <v>0</v>
      </c>
      <c r="I117" s="46">
        <f t="shared" si="47"/>
        <v>0</v>
      </c>
      <c r="J117" s="46">
        <f t="shared" si="47"/>
        <v>0</v>
      </c>
      <c r="K117" s="46">
        <f t="shared" si="47"/>
        <v>0</v>
      </c>
      <c r="L117" s="46">
        <f t="shared" si="47"/>
        <v>0</v>
      </c>
      <c r="M117" s="46">
        <f t="shared" si="47"/>
        <v>0</v>
      </c>
      <c r="N117" s="46">
        <f t="shared" si="47"/>
        <v>0</v>
      </c>
      <c r="O117" s="46">
        <f t="shared" si="47"/>
        <v>0</v>
      </c>
      <c r="P117" s="46">
        <f t="shared" si="47"/>
        <v>0</v>
      </c>
      <c r="Q117" s="46">
        <f t="shared" si="47"/>
        <v>0</v>
      </c>
      <c r="R117" s="46">
        <f t="shared" si="47"/>
        <v>0</v>
      </c>
      <c r="S117" s="46">
        <f t="shared" si="47"/>
        <v>0</v>
      </c>
      <c r="T117" s="46">
        <f t="shared" si="47"/>
        <v>0</v>
      </c>
      <c r="U117" s="46">
        <f t="shared" si="47"/>
        <v>0</v>
      </c>
      <c r="V117" s="46">
        <f t="shared" si="47"/>
        <v>0</v>
      </c>
      <c r="W117" s="46">
        <f t="shared" si="47"/>
        <v>0</v>
      </c>
      <c r="X117" s="46">
        <f t="shared" si="47"/>
        <v>0</v>
      </c>
      <c r="Y117" s="46">
        <f t="shared" ref="Y117" si="53">Y80-Y79</f>
        <v>0</v>
      </c>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row>
    <row r="118" spans="4:79">
      <c r="D118" s="7" t="s">
        <v>56</v>
      </c>
      <c r="E118" s="46">
        <f t="shared" si="49"/>
        <v>0</v>
      </c>
      <c r="F118" s="46">
        <f t="shared" si="49"/>
        <v>0</v>
      </c>
      <c r="G118" s="46">
        <f t="shared" si="47"/>
        <v>0</v>
      </c>
      <c r="H118" s="46">
        <f t="shared" si="47"/>
        <v>0</v>
      </c>
      <c r="I118" s="46">
        <f t="shared" si="47"/>
        <v>0</v>
      </c>
      <c r="J118" s="46">
        <f t="shared" si="47"/>
        <v>0</v>
      </c>
      <c r="K118" s="46">
        <f t="shared" si="47"/>
        <v>0</v>
      </c>
      <c r="L118" s="46">
        <f t="shared" si="47"/>
        <v>0</v>
      </c>
      <c r="M118" s="46">
        <f t="shared" si="47"/>
        <v>0</v>
      </c>
      <c r="N118" s="46">
        <f t="shared" si="47"/>
        <v>0</v>
      </c>
      <c r="O118" s="46">
        <f t="shared" si="47"/>
        <v>0</v>
      </c>
      <c r="P118" s="46">
        <f t="shared" si="47"/>
        <v>0</v>
      </c>
      <c r="Q118" s="46">
        <f t="shared" si="47"/>
        <v>0</v>
      </c>
      <c r="R118" s="46">
        <f t="shared" si="47"/>
        <v>0</v>
      </c>
      <c r="S118" s="46">
        <f t="shared" si="47"/>
        <v>0</v>
      </c>
      <c r="T118" s="46">
        <f t="shared" si="47"/>
        <v>0</v>
      </c>
      <c r="U118" s="46">
        <f t="shared" si="47"/>
        <v>0</v>
      </c>
      <c r="V118" s="46">
        <f t="shared" si="47"/>
        <v>0</v>
      </c>
      <c r="W118" s="46">
        <f t="shared" si="47"/>
        <v>0</v>
      </c>
      <c r="X118" s="46">
        <f t="shared" si="47"/>
        <v>0</v>
      </c>
      <c r="Y118" s="46">
        <f t="shared" ref="Y118" si="54">Y81-Y80</f>
        <v>0</v>
      </c>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row>
    <row r="119" spans="4:79">
      <c r="D119" s="7" t="s">
        <v>59</v>
      </c>
      <c r="E119" s="46">
        <f t="shared" si="49"/>
        <v>0</v>
      </c>
      <c r="F119" s="46">
        <f t="shared" si="49"/>
        <v>0</v>
      </c>
      <c r="G119" s="46">
        <f t="shared" si="47"/>
        <v>0</v>
      </c>
      <c r="H119" s="46">
        <f t="shared" si="47"/>
        <v>0</v>
      </c>
      <c r="I119" s="46">
        <f t="shared" si="47"/>
        <v>0</v>
      </c>
      <c r="J119" s="46">
        <f t="shared" si="47"/>
        <v>0</v>
      </c>
      <c r="K119" s="46">
        <f t="shared" si="47"/>
        <v>0</v>
      </c>
      <c r="L119" s="46">
        <f t="shared" si="47"/>
        <v>0</v>
      </c>
      <c r="M119" s="46">
        <f t="shared" si="47"/>
        <v>0</v>
      </c>
      <c r="N119" s="46">
        <f t="shared" si="47"/>
        <v>0</v>
      </c>
      <c r="O119" s="46">
        <f t="shared" si="47"/>
        <v>0</v>
      </c>
      <c r="P119" s="46">
        <f t="shared" si="47"/>
        <v>0</v>
      </c>
      <c r="Q119" s="46">
        <f t="shared" si="47"/>
        <v>0</v>
      </c>
      <c r="R119" s="46">
        <f t="shared" si="47"/>
        <v>0</v>
      </c>
      <c r="S119" s="46">
        <f t="shared" si="47"/>
        <v>0</v>
      </c>
      <c r="T119" s="46">
        <f t="shared" si="47"/>
        <v>0</v>
      </c>
      <c r="U119" s="46">
        <f t="shared" si="47"/>
        <v>0</v>
      </c>
      <c r="V119" s="46">
        <f t="shared" si="47"/>
        <v>0</v>
      </c>
      <c r="W119" s="46">
        <f t="shared" si="47"/>
        <v>0</v>
      </c>
      <c r="X119" s="46">
        <f t="shared" si="47"/>
        <v>0</v>
      </c>
      <c r="Y119" s="46">
        <f t="shared" ref="Y119" si="55">Y82-Y81</f>
        <v>0</v>
      </c>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row>
    <row r="120" spans="4:79">
      <c r="D120" s="7" t="s">
        <v>62</v>
      </c>
      <c r="E120" s="46">
        <f t="shared" si="49"/>
        <v>0</v>
      </c>
      <c r="F120" s="46">
        <f t="shared" si="49"/>
        <v>0</v>
      </c>
      <c r="G120" s="46">
        <f t="shared" si="47"/>
        <v>0</v>
      </c>
      <c r="H120" s="46">
        <f t="shared" si="47"/>
        <v>0</v>
      </c>
      <c r="I120" s="46">
        <f t="shared" si="47"/>
        <v>0</v>
      </c>
      <c r="J120" s="46">
        <f t="shared" si="47"/>
        <v>0</v>
      </c>
      <c r="K120" s="46">
        <f t="shared" si="47"/>
        <v>0</v>
      </c>
      <c r="L120" s="46">
        <f t="shared" si="47"/>
        <v>0</v>
      </c>
      <c r="M120" s="46">
        <f t="shared" si="47"/>
        <v>0</v>
      </c>
      <c r="N120" s="46">
        <f t="shared" si="47"/>
        <v>0</v>
      </c>
      <c r="O120" s="46">
        <f t="shared" si="47"/>
        <v>0</v>
      </c>
      <c r="P120" s="46">
        <f t="shared" si="47"/>
        <v>0</v>
      </c>
      <c r="Q120" s="46">
        <f t="shared" si="47"/>
        <v>0</v>
      </c>
      <c r="R120" s="46">
        <f t="shared" si="47"/>
        <v>0</v>
      </c>
      <c r="S120" s="46">
        <f t="shared" si="47"/>
        <v>0</v>
      </c>
      <c r="T120" s="46">
        <f t="shared" si="47"/>
        <v>0</v>
      </c>
      <c r="U120" s="46">
        <f t="shared" si="47"/>
        <v>0</v>
      </c>
      <c r="V120" s="46">
        <f t="shared" si="47"/>
        <v>0</v>
      </c>
      <c r="W120" s="46">
        <f t="shared" si="47"/>
        <v>0</v>
      </c>
      <c r="X120" s="46">
        <f t="shared" si="47"/>
        <v>0</v>
      </c>
      <c r="Y120" s="46">
        <f t="shared" ref="Y120" si="56">Y83-Y82</f>
        <v>0</v>
      </c>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row>
    <row r="121" spans="4:79">
      <c r="D121" s="7" t="s">
        <v>65</v>
      </c>
      <c r="E121" s="46">
        <f t="shared" si="49"/>
        <v>0</v>
      </c>
      <c r="F121" s="46">
        <f t="shared" si="49"/>
        <v>0</v>
      </c>
      <c r="G121" s="46">
        <f t="shared" si="47"/>
        <v>0</v>
      </c>
      <c r="H121" s="46">
        <f t="shared" si="47"/>
        <v>0</v>
      </c>
      <c r="I121" s="46">
        <f t="shared" si="47"/>
        <v>0</v>
      </c>
      <c r="J121" s="46">
        <f t="shared" si="47"/>
        <v>0</v>
      </c>
      <c r="K121" s="46">
        <f t="shared" si="47"/>
        <v>0</v>
      </c>
      <c r="L121" s="46">
        <f t="shared" si="47"/>
        <v>0</v>
      </c>
      <c r="M121" s="46">
        <f t="shared" si="47"/>
        <v>0</v>
      </c>
      <c r="N121" s="46">
        <f t="shared" si="47"/>
        <v>0</v>
      </c>
      <c r="O121" s="46">
        <f t="shared" si="47"/>
        <v>0</v>
      </c>
      <c r="P121" s="46">
        <f t="shared" si="47"/>
        <v>0</v>
      </c>
      <c r="Q121" s="46">
        <f t="shared" si="47"/>
        <v>0</v>
      </c>
      <c r="R121" s="46">
        <f t="shared" si="47"/>
        <v>0</v>
      </c>
      <c r="S121" s="46">
        <f t="shared" si="47"/>
        <v>0</v>
      </c>
      <c r="T121" s="46">
        <f t="shared" si="47"/>
        <v>0</v>
      </c>
      <c r="U121" s="46">
        <f t="shared" si="47"/>
        <v>0</v>
      </c>
      <c r="V121" s="46">
        <f t="shared" si="47"/>
        <v>0</v>
      </c>
      <c r="W121" s="46">
        <f t="shared" si="47"/>
        <v>0</v>
      </c>
      <c r="X121" s="46">
        <f t="shared" si="47"/>
        <v>0</v>
      </c>
      <c r="Y121" s="46">
        <f t="shared" ref="Y121" si="57">Y84-Y83</f>
        <v>0</v>
      </c>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row>
    <row r="122" spans="4:79">
      <c r="D122" s="7" t="s">
        <v>68</v>
      </c>
      <c r="E122" s="46">
        <f t="shared" si="49"/>
        <v>0</v>
      </c>
      <c r="F122" s="46">
        <f t="shared" si="49"/>
        <v>0</v>
      </c>
      <c r="G122" s="46">
        <f t="shared" si="47"/>
        <v>0</v>
      </c>
      <c r="H122" s="46">
        <f t="shared" si="47"/>
        <v>0</v>
      </c>
      <c r="I122" s="46">
        <f t="shared" si="47"/>
        <v>0</v>
      </c>
      <c r="J122" s="46">
        <f t="shared" si="47"/>
        <v>0</v>
      </c>
      <c r="K122" s="46">
        <f t="shared" si="47"/>
        <v>0</v>
      </c>
      <c r="L122" s="46">
        <f t="shared" si="47"/>
        <v>0</v>
      </c>
      <c r="M122" s="46">
        <f t="shared" si="47"/>
        <v>0</v>
      </c>
      <c r="N122" s="46">
        <f t="shared" si="47"/>
        <v>0</v>
      </c>
      <c r="O122" s="46">
        <f t="shared" si="47"/>
        <v>0</v>
      </c>
      <c r="P122" s="46">
        <f t="shared" si="47"/>
        <v>0</v>
      </c>
      <c r="Q122" s="46">
        <f t="shared" si="47"/>
        <v>0</v>
      </c>
      <c r="R122" s="46">
        <f t="shared" si="47"/>
        <v>0</v>
      </c>
      <c r="S122" s="46">
        <f t="shared" si="47"/>
        <v>0</v>
      </c>
      <c r="T122" s="46">
        <f t="shared" si="47"/>
        <v>0</v>
      </c>
      <c r="U122" s="46">
        <f t="shared" si="47"/>
        <v>0</v>
      </c>
      <c r="V122" s="46">
        <f t="shared" si="47"/>
        <v>0</v>
      </c>
      <c r="W122" s="46">
        <f t="shared" si="47"/>
        <v>0</v>
      </c>
      <c r="X122" s="46">
        <f t="shared" si="47"/>
        <v>0</v>
      </c>
      <c r="Y122" s="46">
        <f t="shared" ref="Y122" si="58">Y85-Y84</f>
        <v>0</v>
      </c>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row>
    <row r="123" spans="4:79">
      <c r="D123" s="7" t="s">
        <v>71</v>
      </c>
      <c r="E123" s="46">
        <f t="shared" si="49"/>
        <v>0</v>
      </c>
      <c r="F123" s="46">
        <f t="shared" si="49"/>
        <v>0</v>
      </c>
      <c r="G123" s="46">
        <f t="shared" si="47"/>
        <v>0</v>
      </c>
      <c r="H123" s="46">
        <f t="shared" si="47"/>
        <v>0</v>
      </c>
      <c r="I123" s="46">
        <f t="shared" si="47"/>
        <v>0</v>
      </c>
      <c r="J123" s="46">
        <f t="shared" si="47"/>
        <v>0</v>
      </c>
      <c r="K123" s="46">
        <f t="shared" si="47"/>
        <v>0</v>
      </c>
      <c r="L123" s="46">
        <f t="shared" si="47"/>
        <v>0</v>
      </c>
      <c r="M123" s="46">
        <f t="shared" si="47"/>
        <v>0</v>
      </c>
      <c r="N123" s="46">
        <f t="shared" si="47"/>
        <v>0</v>
      </c>
      <c r="O123" s="46">
        <f t="shared" si="47"/>
        <v>0</v>
      </c>
      <c r="P123" s="46">
        <f t="shared" si="47"/>
        <v>0</v>
      </c>
      <c r="Q123" s="46">
        <f t="shared" si="47"/>
        <v>0</v>
      </c>
      <c r="R123" s="46">
        <f t="shared" si="47"/>
        <v>0</v>
      </c>
      <c r="S123" s="46">
        <f t="shared" si="47"/>
        <v>0</v>
      </c>
      <c r="T123" s="46">
        <f t="shared" si="47"/>
        <v>0</v>
      </c>
      <c r="U123" s="46">
        <f t="shared" si="47"/>
        <v>0</v>
      </c>
      <c r="V123" s="46">
        <f t="shared" si="47"/>
        <v>0</v>
      </c>
      <c r="W123" s="46">
        <f t="shared" si="47"/>
        <v>0</v>
      </c>
      <c r="X123" s="46">
        <f t="shared" si="47"/>
        <v>0</v>
      </c>
      <c r="Y123" s="46">
        <f t="shared" ref="Y123" si="59">Y86-Y85</f>
        <v>0</v>
      </c>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row>
    <row r="124" spans="4:79">
      <c r="D124" s="7" t="s">
        <v>74</v>
      </c>
      <c r="E124" s="46">
        <f t="shared" si="49"/>
        <v>0</v>
      </c>
      <c r="F124" s="46">
        <f t="shared" si="49"/>
        <v>0</v>
      </c>
      <c r="G124" s="46">
        <f t="shared" si="47"/>
        <v>0</v>
      </c>
      <c r="H124" s="46">
        <f t="shared" si="47"/>
        <v>0</v>
      </c>
      <c r="I124" s="46">
        <f t="shared" si="47"/>
        <v>0</v>
      </c>
      <c r="J124" s="46">
        <f t="shared" si="47"/>
        <v>0</v>
      </c>
      <c r="K124" s="46">
        <f t="shared" si="47"/>
        <v>0</v>
      </c>
      <c r="L124" s="46">
        <f t="shared" si="47"/>
        <v>0</v>
      </c>
      <c r="M124" s="46">
        <f t="shared" si="47"/>
        <v>0</v>
      </c>
      <c r="N124" s="46">
        <f t="shared" si="47"/>
        <v>0</v>
      </c>
      <c r="O124" s="46">
        <f t="shared" si="47"/>
        <v>0</v>
      </c>
      <c r="P124" s="46">
        <f t="shared" si="47"/>
        <v>0</v>
      </c>
      <c r="Q124" s="46">
        <f t="shared" si="47"/>
        <v>0</v>
      </c>
      <c r="R124" s="46">
        <f t="shared" si="47"/>
        <v>0</v>
      </c>
      <c r="S124" s="46">
        <f t="shared" si="47"/>
        <v>0</v>
      </c>
      <c r="T124" s="46">
        <f t="shared" si="47"/>
        <v>0</v>
      </c>
      <c r="U124" s="46">
        <f t="shared" si="47"/>
        <v>0</v>
      </c>
      <c r="V124" s="46">
        <f t="shared" si="47"/>
        <v>0</v>
      </c>
      <c r="W124" s="46">
        <f t="shared" si="47"/>
        <v>0</v>
      </c>
      <c r="X124" s="46">
        <f t="shared" si="47"/>
        <v>0</v>
      </c>
      <c r="Y124" s="46">
        <f t="shared" ref="Y124" si="60">Y87-Y86</f>
        <v>0</v>
      </c>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row>
    <row r="125" spans="4:79">
      <c r="D125" s="7" t="s">
        <v>77</v>
      </c>
      <c r="E125" s="46">
        <f t="shared" si="49"/>
        <v>0</v>
      </c>
      <c r="F125" s="46">
        <f t="shared" si="49"/>
        <v>0</v>
      </c>
      <c r="G125" s="46">
        <f t="shared" si="47"/>
        <v>0</v>
      </c>
      <c r="H125" s="46">
        <f t="shared" si="47"/>
        <v>0</v>
      </c>
      <c r="I125" s="46">
        <f t="shared" si="47"/>
        <v>0</v>
      </c>
      <c r="J125" s="46">
        <f t="shared" si="47"/>
        <v>0</v>
      </c>
      <c r="K125" s="46">
        <f t="shared" si="47"/>
        <v>0</v>
      </c>
      <c r="L125" s="46">
        <f t="shared" si="47"/>
        <v>0</v>
      </c>
      <c r="M125" s="46">
        <f t="shared" si="47"/>
        <v>0</v>
      </c>
      <c r="N125" s="46">
        <f t="shared" si="47"/>
        <v>0</v>
      </c>
      <c r="O125" s="46">
        <f t="shared" si="47"/>
        <v>0</v>
      </c>
      <c r="P125" s="46">
        <f t="shared" si="47"/>
        <v>0</v>
      </c>
      <c r="Q125" s="46">
        <f t="shared" si="47"/>
        <v>0</v>
      </c>
      <c r="R125" s="46">
        <f t="shared" si="47"/>
        <v>0</v>
      </c>
      <c r="S125" s="46">
        <f t="shared" si="47"/>
        <v>0</v>
      </c>
      <c r="T125" s="46">
        <f t="shared" si="47"/>
        <v>0</v>
      </c>
      <c r="U125" s="46">
        <f t="shared" si="47"/>
        <v>0</v>
      </c>
      <c r="V125" s="46">
        <f t="shared" si="47"/>
        <v>0</v>
      </c>
      <c r="W125" s="46">
        <f t="shared" si="47"/>
        <v>0</v>
      </c>
      <c r="X125" s="46">
        <f t="shared" si="47"/>
        <v>0</v>
      </c>
      <c r="Y125" s="46">
        <f t="shared" ref="Y125" si="61">Y88-Y87</f>
        <v>0</v>
      </c>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row>
    <row r="126" spans="4:79">
      <c r="D126" s="7" t="s">
        <v>80</v>
      </c>
      <c r="E126" s="46">
        <f t="shared" si="49"/>
        <v>0</v>
      </c>
      <c r="F126" s="46">
        <f t="shared" si="49"/>
        <v>0</v>
      </c>
      <c r="G126" s="46">
        <f t="shared" si="47"/>
        <v>0</v>
      </c>
      <c r="H126" s="46">
        <f t="shared" si="47"/>
        <v>0</v>
      </c>
      <c r="I126" s="46">
        <f t="shared" si="47"/>
        <v>0</v>
      </c>
      <c r="J126" s="46">
        <f t="shared" si="47"/>
        <v>0</v>
      </c>
      <c r="K126" s="46">
        <f t="shared" si="47"/>
        <v>0</v>
      </c>
      <c r="L126" s="46">
        <f t="shared" si="47"/>
        <v>0</v>
      </c>
      <c r="M126" s="46">
        <f t="shared" si="47"/>
        <v>0</v>
      </c>
      <c r="N126" s="46">
        <f t="shared" si="47"/>
        <v>0</v>
      </c>
      <c r="O126" s="46">
        <f t="shared" si="47"/>
        <v>0</v>
      </c>
      <c r="P126" s="46">
        <f t="shared" ref="P126:X129" si="62">P89-P88</f>
        <v>0</v>
      </c>
      <c r="Q126" s="46">
        <f t="shared" si="62"/>
        <v>0</v>
      </c>
      <c r="R126" s="46">
        <f t="shared" si="62"/>
        <v>0</v>
      </c>
      <c r="S126" s="46">
        <f t="shared" si="62"/>
        <v>0</v>
      </c>
      <c r="T126" s="46">
        <f t="shared" si="62"/>
        <v>0</v>
      </c>
      <c r="U126" s="46">
        <f t="shared" si="62"/>
        <v>0</v>
      </c>
      <c r="V126" s="46">
        <f t="shared" si="62"/>
        <v>0</v>
      </c>
      <c r="W126" s="46">
        <f t="shared" si="62"/>
        <v>0</v>
      </c>
      <c r="X126" s="46">
        <f t="shared" si="62"/>
        <v>0</v>
      </c>
      <c r="Y126" s="46">
        <f t="shared" ref="Y126" si="63">Y89-Y88</f>
        <v>0</v>
      </c>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row>
    <row r="127" spans="4:79">
      <c r="D127" s="7" t="s">
        <v>83</v>
      </c>
      <c r="E127" s="46">
        <f t="shared" si="49"/>
        <v>0</v>
      </c>
      <c r="F127" s="46">
        <f t="shared" si="49"/>
        <v>0</v>
      </c>
      <c r="G127" s="46">
        <f t="shared" si="49"/>
        <v>0</v>
      </c>
      <c r="H127" s="46">
        <f t="shared" si="49"/>
        <v>0</v>
      </c>
      <c r="I127" s="46">
        <f t="shared" si="49"/>
        <v>0</v>
      </c>
      <c r="J127" s="46">
        <f t="shared" si="49"/>
        <v>0</v>
      </c>
      <c r="K127" s="46">
        <f t="shared" si="49"/>
        <v>0</v>
      </c>
      <c r="L127" s="46">
        <f t="shared" si="49"/>
        <v>0</v>
      </c>
      <c r="M127" s="46">
        <f t="shared" si="49"/>
        <v>0</v>
      </c>
      <c r="N127" s="46">
        <f t="shared" si="49"/>
        <v>0</v>
      </c>
      <c r="O127" s="46">
        <f t="shared" si="49"/>
        <v>0</v>
      </c>
      <c r="P127" s="46">
        <f t="shared" si="49"/>
        <v>0</v>
      </c>
      <c r="Q127" s="46">
        <f t="shared" si="49"/>
        <v>0</v>
      </c>
      <c r="R127" s="46">
        <f t="shared" si="49"/>
        <v>0</v>
      </c>
      <c r="S127" s="46">
        <f t="shared" si="49"/>
        <v>0</v>
      </c>
      <c r="T127" s="46">
        <f t="shared" si="49"/>
        <v>0</v>
      </c>
      <c r="U127" s="46">
        <f t="shared" si="62"/>
        <v>0</v>
      </c>
      <c r="V127" s="46">
        <f t="shared" si="62"/>
        <v>0</v>
      </c>
      <c r="W127" s="46">
        <f t="shared" si="62"/>
        <v>0</v>
      </c>
      <c r="X127" s="46">
        <f t="shared" si="62"/>
        <v>0</v>
      </c>
      <c r="Y127" s="46">
        <f t="shared" ref="Y127" si="64">Y90-Y89</f>
        <v>0</v>
      </c>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row>
    <row r="128" spans="4:79">
      <c r="D128" s="7" t="s">
        <v>86</v>
      </c>
      <c r="E128" s="46">
        <f t="shared" si="49"/>
        <v>0</v>
      </c>
      <c r="F128" s="46">
        <f t="shared" si="49"/>
        <v>0</v>
      </c>
      <c r="G128" s="46">
        <f t="shared" si="49"/>
        <v>0</v>
      </c>
      <c r="H128" s="46">
        <f t="shared" si="49"/>
        <v>0</v>
      </c>
      <c r="I128" s="46">
        <f t="shared" si="49"/>
        <v>0</v>
      </c>
      <c r="J128" s="46">
        <f t="shared" si="49"/>
        <v>0</v>
      </c>
      <c r="K128" s="46">
        <f t="shared" si="49"/>
        <v>0</v>
      </c>
      <c r="L128" s="46">
        <f t="shared" si="49"/>
        <v>0</v>
      </c>
      <c r="M128" s="46">
        <f t="shared" si="49"/>
        <v>0</v>
      </c>
      <c r="N128" s="46">
        <f t="shared" si="49"/>
        <v>0</v>
      </c>
      <c r="O128" s="46">
        <f t="shared" si="49"/>
        <v>0</v>
      </c>
      <c r="P128" s="46">
        <f t="shared" si="49"/>
        <v>0</v>
      </c>
      <c r="Q128" s="46">
        <f t="shared" si="49"/>
        <v>0</v>
      </c>
      <c r="R128" s="46">
        <f t="shared" si="49"/>
        <v>0</v>
      </c>
      <c r="S128" s="46">
        <f t="shared" si="49"/>
        <v>0</v>
      </c>
      <c r="T128" s="46">
        <f t="shared" si="49"/>
        <v>0</v>
      </c>
      <c r="U128" s="46">
        <f t="shared" si="62"/>
        <v>0</v>
      </c>
      <c r="V128" s="46">
        <f t="shared" si="62"/>
        <v>0</v>
      </c>
      <c r="W128" s="46">
        <f t="shared" si="62"/>
        <v>0</v>
      </c>
      <c r="X128" s="46">
        <f t="shared" si="62"/>
        <v>0</v>
      </c>
      <c r="Y128" s="46">
        <f t="shared" ref="Y128" si="65">Y91-Y90</f>
        <v>0</v>
      </c>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row>
    <row r="129" spans="4:79">
      <c r="D129" s="7" t="s">
        <v>89</v>
      </c>
      <c r="E129" s="46">
        <f t="shared" si="49"/>
        <v>0</v>
      </c>
      <c r="F129" s="46">
        <f t="shared" si="49"/>
        <v>0</v>
      </c>
      <c r="G129" s="46">
        <f t="shared" si="49"/>
        <v>0</v>
      </c>
      <c r="H129" s="46">
        <f t="shared" si="49"/>
        <v>0</v>
      </c>
      <c r="I129" s="46">
        <f t="shared" si="49"/>
        <v>0</v>
      </c>
      <c r="J129" s="46">
        <f t="shared" si="49"/>
        <v>0</v>
      </c>
      <c r="K129" s="46">
        <f t="shared" si="49"/>
        <v>0</v>
      </c>
      <c r="L129" s="46">
        <f t="shared" si="49"/>
        <v>0</v>
      </c>
      <c r="M129" s="46">
        <f t="shared" si="49"/>
        <v>0</v>
      </c>
      <c r="N129" s="46">
        <f t="shared" si="49"/>
        <v>0</v>
      </c>
      <c r="O129" s="46">
        <f t="shared" si="49"/>
        <v>0</v>
      </c>
      <c r="P129" s="46">
        <f t="shared" si="49"/>
        <v>0</v>
      </c>
      <c r="Q129" s="46">
        <f t="shared" si="49"/>
        <v>0</v>
      </c>
      <c r="R129" s="46">
        <f t="shared" si="49"/>
        <v>0</v>
      </c>
      <c r="S129" s="46">
        <f t="shared" si="49"/>
        <v>0</v>
      </c>
      <c r="T129" s="46">
        <f t="shared" si="49"/>
        <v>0</v>
      </c>
      <c r="U129" s="46">
        <f t="shared" si="62"/>
        <v>0</v>
      </c>
      <c r="V129" s="46">
        <f t="shared" si="62"/>
        <v>0</v>
      </c>
      <c r="W129" s="46">
        <f t="shared" si="62"/>
        <v>0</v>
      </c>
      <c r="X129" s="46">
        <f t="shared" si="62"/>
        <v>0</v>
      </c>
      <c r="Y129" s="46">
        <f t="shared" ref="Y129" si="66">Y92-Y91</f>
        <v>0</v>
      </c>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row>
    <row r="130" spans="4:79">
      <c r="D130" s="7" t="s">
        <v>92</v>
      </c>
      <c r="E130" s="46">
        <f t="shared" ref="E130:Y130" si="67">E93-E92</f>
        <v>0</v>
      </c>
      <c r="F130" s="46">
        <f t="shared" si="67"/>
        <v>0</v>
      </c>
      <c r="G130" s="46">
        <f t="shared" si="67"/>
        <v>0</v>
      </c>
      <c r="H130" s="46">
        <f t="shared" si="67"/>
        <v>0</v>
      </c>
      <c r="I130" s="46">
        <f t="shared" si="67"/>
        <v>0</v>
      </c>
      <c r="J130" s="46">
        <f t="shared" si="67"/>
        <v>0</v>
      </c>
      <c r="K130" s="46">
        <f t="shared" si="67"/>
        <v>0</v>
      </c>
      <c r="L130" s="46">
        <f t="shared" si="67"/>
        <v>0</v>
      </c>
      <c r="M130" s="46">
        <f t="shared" si="67"/>
        <v>0</v>
      </c>
      <c r="N130" s="46">
        <f t="shared" si="67"/>
        <v>0</v>
      </c>
      <c r="O130" s="46">
        <f t="shared" si="67"/>
        <v>0</v>
      </c>
      <c r="P130" s="46">
        <f t="shared" si="67"/>
        <v>0</v>
      </c>
      <c r="Q130" s="46">
        <f t="shared" si="67"/>
        <v>0</v>
      </c>
      <c r="R130" s="46">
        <f t="shared" si="67"/>
        <v>0</v>
      </c>
      <c r="S130" s="46">
        <f t="shared" si="67"/>
        <v>0</v>
      </c>
      <c r="T130" s="46">
        <f t="shared" si="67"/>
        <v>0</v>
      </c>
      <c r="U130" s="46">
        <f t="shared" si="67"/>
        <v>0</v>
      </c>
      <c r="V130" s="46">
        <f t="shared" si="67"/>
        <v>0</v>
      </c>
      <c r="W130" s="46">
        <f t="shared" si="67"/>
        <v>0</v>
      </c>
      <c r="X130" s="46">
        <f t="shared" si="67"/>
        <v>0</v>
      </c>
      <c r="Y130" s="46">
        <f t="shared" si="67"/>
        <v>0</v>
      </c>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row>
    <row r="131" spans="4:79">
      <c r="D131" s="7" t="s">
        <v>95</v>
      </c>
      <c r="E131" s="46">
        <f t="shared" ref="E131:Y131" si="68">E94-E93</f>
        <v>0</v>
      </c>
      <c r="F131" s="46">
        <f t="shared" si="68"/>
        <v>0</v>
      </c>
      <c r="G131" s="46">
        <f t="shared" si="68"/>
        <v>0</v>
      </c>
      <c r="H131" s="46">
        <f t="shared" si="68"/>
        <v>0</v>
      </c>
      <c r="I131" s="46">
        <f t="shared" si="68"/>
        <v>0</v>
      </c>
      <c r="J131" s="46">
        <f t="shared" si="68"/>
        <v>0</v>
      </c>
      <c r="K131" s="46">
        <f t="shared" si="68"/>
        <v>0</v>
      </c>
      <c r="L131" s="46">
        <f t="shared" si="68"/>
        <v>0</v>
      </c>
      <c r="M131" s="46">
        <f t="shared" si="68"/>
        <v>0</v>
      </c>
      <c r="N131" s="46">
        <f t="shared" si="68"/>
        <v>0</v>
      </c>
      <c r="O131" s="46">
        <f t="shared" si="68"/>
        <v>0</v>
      </c>
      <c r="P131" s="46">
        <f t="shared" si="68"/>
        <v>0</v>
      </c>
      <c r="Q131" s="46">
        <f t="shared" si="68"/>
        <v>0</v>
      </c>
      <c r="R131" s="46">
        <f t="shared" si="68"/>
        <v>0</v>
      </c>
      <c r="S131" s="46">
        <f t="shared" si="68"/>
        <v>0</v>
      </c>
      <c r="T131" s="46">
        <f t="shared" si="68"/>
        <v>0</v>
      </c>
      <c r="U131" s="46">
        <f t="shared" si="68"/>
        <v>0</v>
      </c>
      <c r="V131" s="46">
        <f t="shared" si="68"/>
        <v>0</v>
      </c>
      <c r="W131" s="46">
        <f t="shared" si="68"/>
        <v>0</v>
      </c>
      <c r="X131" s="46">
        <f t="shared" si="68"/>
        <v>0</v>
      </c>
      <c r="Y131" s="46">
        <f t="shared" si="68"/>
        <v>0</v>
      </c>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row>
    <row r="132" spans="4:79">
      <c r="D132" s="7" t="s">
        <v>98</v>
      </c>
      <c r="E132" s="46">
        <f t="shared" ref="E132:Y132" si="69">E95-E94</f>
        <v>0</v>
      </c>
      <c r="F132" s="46">
        <f t="shared" si="69"/>
        <v>0</v>
      </c>
      <c r="G132" s="46">
        <f t="shared" si="69"/>
        <v>0</v>
      </c>
      <c r="H132" s="46">
        <f t="shared" si="69"/>
        <v>0</v>
      </c>
      <c r="I132" s="46">
        <f t="shared" si="69"/>
        <v>0</v>
      </c>
      <c r="J132" s="46">
        <f t="shared" si="69"/>
        <v>0</v>
      </c>
      <c r="K132" s="46">
        <f t="shared" si="69"/>
        <v>0</v>
      </c>
      <c r="L132" s="46">
        <f t="shared" si="69"/>
        <v>0</v>
      </c>
      <c r="M132" s="46">
        <f t="shared" si="69"/>
        <v>0</v>
      </c>
      <c r="N132" s="46">
        <f t="shared" si="69"/>
        <v>0</v>
      </c>
      <c r="O132" s="46">
        <f t="shared" si="69"/>
        <v>0</v>
      </c>
      <c r="P132" s="46">
        <f t="shared" si="69"/>
        <v>0</v>
      </c>
      <c r="Q132" s="46">
        <f t="shared" si="69"/>
        <v>0</v>
      </c>
      <c r="R132" s="46">
        <f t="shared" si="69"/>
        <v>0</v>
      </c>
      <c r="S132" s="46">
        <f t="shared" si="69"/>
        <v>0</v>
      </c>
      <c r="T132" s="46">
        <f t="shared" si="69"/>
        <v>0</v>
      </c>
      <c r="U132" s="46">
        <f t="shared" si="69"/>
        <v>0</v>
      </c>
      <c r="V132" s="46">
        <f t="shared" si="69"/>
        <v>0</v>
      </c>
      <c r="W132" s="46">
        <f t="shared" si="69"/>
        <v>0</v>
      </c>
      <c r="X132" s="46">
        <f t="shared" si="69"/>
        <v>0</v>
      </c>
      <c r="Y132" s="46">
        <f t="shared" si="69"/>
        <v>0</v>
      </c>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row>
    <row r="133" spans="4:79">
      <c r="D133" s="7" t="s">
        <v>160</v>
      </c>
      <c r="E133" s="46">
        <f t="shared" ref="E133:X133" si="70">E96-E95</f>
        <v>0</v>
      </c>
      <c r="F133" s="46">
        <f t="shared" si="70"/>
        <v>0</v>
      </c>
      <c r="G133" s="46">
        <f t="shared" si="70"/>
        <v>0</v>
      </c>
      <c r="H133" s="46">
        <f t="shared" si="70"/>
        <v>0</v>
      </c>
      <c r="I133" s="46">
        <f t="shared" si="70"/>
        <v>0</v>
      </c>
      <c r="J133" s="46">
        <f t="shared" si="70"/>
        <v>0</v>
      </c>
      <c r="K133" s="46">
        <f t="shared" si="70"/>
        <v>0</v>
      </c>
      <c r="L133" s="46">
        <f t="shared" si="70"/>
        <v>0</v>
      </c>
      <c r="M133" s="46">
        <f t="shared" si="70"/>
        <v>0</v>
      </c>
      <c r="N133" s="46">
        <f t="shared" si="70"/>
        <v>0</v>
      </c>
      <c r="O133" s="46">
        <f t="shared" si="70"/>
        <v>0</v>
      </c>
      <c r="P133" s="46">
        <f t="shared" si="70"/>
        <v>0</v>
      </c>
      <c r="Q133" s="46">
        <f t="shared" si="70"/>
        <v>0</v>
      </c>
      <c r="R133" s="46">
        <f t="shared" si="70"/>
        <v>0</v>
      </c>
      <c r="S133" s="46">
        <f t="shared" si="70"/>
        <v>0</v>
      </c>
      <c r="T133" s="46">
        <f t="shared" si="70"/>
        <v>0</v>
      </c>
      <c r="U133" s="46">
        <f t="shared" si="70"/>
        <v>0</v>
      </c>
      <c r="V133" s="46">
        <f t="shared" si="70"/>
        <v>0</v>
      </c>
      <c r="W133" s="46">
        <f t="shared" si="70"/>
        <v>0</v>
      </c>
      <c r="X133" s="46">
        <f t="shared" si="70"/>
        <v>0</v>
      </c>
      <c r="Y133" s="46">
        <f t="shared" ref="Y133" si="71">Y96-Y95</f>
        <v>0</v>
      </c>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row>
    <row r="134" spans="4:79">
      <c r="D134" s="7" t="s">
        <v>162</v>
      </c>
      <c r="E134" s="46">
        <f t="shared" ref="E134:X134" si="72">E97-E96</f>
        <v>0</v>
      </c>
      <c r="F134" s="46">
        <f t="shared" si="72"/>
        <v>0</v>
      </c>
      <c r="G134" s="46">
        <f t="shared" si="72"/>
        <v>0</v>
      </c>
      <c r="H134" s="46">
        <f t="shared" si="72"/>
        <v>0</v>
      </c>
      <c r="I134" s="46">
        <f t="shared" si="72"/>
        <v>0</v>
      </c>
      <c r="J134" s="46">
        <f t="shared" si="72"/>
        <v>0</v>
      </c>
      <c r="K134" s="46">
        <f t="shared" si="72"/>
        <v>0</v>
      </c>
      <c r="L134" s="46">
        <f t="shared" si="72"/>
        <v>0</v>
      </c>
      <c r="M134" s="46">
        <f t="shared" si="72"/>
        <v>0</v>
      </c>
      <c r="N134" s="46">
        <f t="shared" si="72"/>
        <v>0</v>
      </c>
      <c r="O134" s="46">
        <f t="shared" si="72"/>
        <v>0</v>
      </c>
      <c r="P134" s="46">
        <f t="shared" si="72"/>
        <v>0</v>
      </c>
      <c r="Q134" s="46">
        <f t="shared" si="72"/>
        <v>0</v>
      </c>
      <c r="R134" s="46">
        <f t="shared" si="72"/>
        <v>0</v>
      </c>
      <c r="S134" s="46">
        <f t="shared" si="72"/>
        <v>0</v>
      </c>
      <c r="T134" s="46">
        <f t="shared" si="72"/>
        <v>0</v>
      </c>
      <c r="U134" s="46">
        <f t="shared" si="72"/>
        <v>0</v>
      </c>
      <c r="V134" s="46">
        <f t="shared" si="72"/>
        <v>0</v>
      </c>
      <c r="W134" s="46">
        <f t="shared" si="72"/>
        <v>0</v>
      </c>
      <c r="X134" s="46">
        <f t="shared" si="72"/>
        <v>0</v>
      </c>
      <c r="Y134" s="46">
        <f t="shared" ref="Y134" si="73">Y97-Y96</f>
        <v>0</v>
      </c>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row>
    <row r="135" spans="4:79">
      <c r="D135" s="7" t="s">
        <v>165</v>
      </c>
      <c r="E135" s="46">
        <f t="shared" ref="E135:X135" si="74">E98-E97</f>
        <v>0</v>
      </c>
      <c r="F135" s="46">
        <f t="shared" si="74"/>
        <v>0</v>
      </c>
      <c r="G135" s="46">
        <f t="shared" si="74"/>
        <v>0</v>
      </c>
      <c r="H135" s="46">
        <f t="shared" si="74"/>
        <v>0</v>
      </c>
      <c r="I135" s="46">
        <f t="shared" si="74"/>
        <v>0</v>
      </c>
      <c r="J135" s="46">
        <f t="shared" si="74"/>
        <v>0</v>
      </c>
      <c r="K135" s="46">
        <f t="shared" si="74"/>
        <v>0</v>
      </c>
      <c r="L135" s="46">
        <f t="shared" si="74"/>
        <v>0</v>
      </c>
      <c r="M135" s="46">
        <f t="shared" si="74"/>
        <v>0</v>
      </c>
      <c r="N135" s="46">
        <f t="shared" si="74"/>
        <v>0</v>
      </c>
      <c r="O135" s="46">
        <f t="shared" si="74"/>
        <v>0</v>
      </c>
      <c r="P135" s="46">
        <f t="shared" si="74"/>
        <v>0</v>
      </c>
      <c r="Q135" s="46">
        <f t="shared" si="74"/>
        <v>0</v>
      </c>
      <c r="R135" s="46">
        <f t="shared" si="74"/>
        <v>0</v>
      </c>
      <c r="S135" s="46">
        <f t="shared" si="74"/>
        <v>0</v>
      </c>
      <c r="T135" s="46">
        <f t="shared" si="74"/>
        <v>0</v>
      </c>
      <c r="U135" s="46">
        <f t="shared" si="74"/>
        <v>0</v>
      </c>
      <c r="V135" s="46">
        <f t="shared" si="74"/>
        <v>0</v>
      </c>
      <c r="W135" s="46">
        <f t="shared" si="74"/>
        <v>0</v>
      </c>
      <c r="X135" s="46">
        <f t="shared" si="74"/>
        <v>0</v>
      </c>
      <c r="Y135" s="46">
        <f t="shared" ref="Y135" si="75">Y98-Y97</f>
        <v>0</v>
      </c>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row>
    <row r="136" spans="4:79">
      <c r="D136" s="7" t="s">
        <v>168</v>
      </c>
      <c r="E136" s="46">
        <f t="shared" ref="E136:X136" si="76">E99-E98</f>
        <v>0</v>
      </c>
      <c r="F136" s="46">
        <f t="shared" si="76"/>
        <v>0</v>
      </c>
      <c r="G136" s="46">
        <f t="shared" si="76"/>
        <v>0</v>
      </c>
      <c r="H136" s="46">
        <f t="shared" si="76"/>
        <v>0</v>
      </c>
      <c r="I136" s="46">
        <f t="shared" si="76"/>
        <v>0</v>
      </c>
      <c r="J136" s="46">
        <f t="shared" si="76"/>
        <v>0</v>
      </c>
      <c r="K136" s="46">
        <f t="shared" si="76"/>
        <v>0</v>
      </c>
      <c r="L136" s="46">
        <f t="shared" si="76"/>
        <v>0</v>
      </c>
      <c r="M136" s="46">
        <f t="shared" si="76"/>
        <v>0</v>
      </c>
      <c r="N136" s="46">
        <f t="shared" si="76"/>
        <v>0</v>
      </c>
      <c r="O136" s="46">
        <f t="shared" si="76"/>
        <v>0</v>
      </c>
      <c r="P136" s="46">
        <f t="shared" si="76"/>
        <v>0</v>
      </c>
      <c r="Q136" s="46">
        <f t="shared" si="76"/>
        <v>0</v>
      </c>
      <c r="R136" s="46">
        <f t="shared" si="76"/>
        <v>0</v>
      </c>
      <c r="S136" s="46">
        <f t="shared" si="76"/>
        <v>0</v>
      </c>
      <c r="T136" s="46">
        <f t="shared" si="76"/>
        <v>0</v>
      </c>
      <c r="U136" s="46">
        <f t="shared" si="76"/>
        <v>0</v>
      </c>
      <c r="V136" s="46">
        <f t="shared" si="76"/>
        <v>0</v>
      </c>
      <c r="W136" s="46">
        <f t="shared" si="76"/>
        <v>0</v>
      </c>
      <c r="X136" s="46">
        <f t="shared" si="76"/>
        <v>0</v>
      </c>
      <c r="Y136" s="46">
        <f t="shared" ref="Y136" si="77">Y99-Y98</f>
        <v>0</v>
      </c>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row>
    <row r="137" spans="4:79">
      <c r="D137" s="7" t="s">
        <v>171</v>
      </c>
      <c r="E137" s="46">
        <f t="shared" ref="E137:X137" si="78">E100-E99</f>
        <v>0</v>
      </c>
      <c r="F137" s="46">
        <f t="shared" si="78"/>
        <v>0</v>
      </c>
      <c r="G137" s="46">
        <f t="shared" si="78"/>
        <v>0</v>
      </c>
      <c r="H137" s="46">
        <f t="shared" si="78"/>
        <v>0</v>
      </c>
      <c r="I137" s="46">
        <f t="shared" si="78"/>
        <v>0</v>
      </c>
      <c r="J137" s="46">
        <f t="shared" si="78"/>
        <v>0</v>
      </c>
      <c r="K137" s="46">
        <f t="shared" si="78"/>
        <v>0</v>
      </c>
      <c r="L137" s="46">
        <f t="shared" si="78"/>
        <v>0</v>
      </c>
      <c r="M137" s="46">
        <f t="shared" si="78"/>
        <v>0</v>
      </c>
      <c r="N137" s="46">
        <f t="shared" si="78"/>
        <v>0</v>
      </c>
      <c r="O137" s="46">
        <f t="shared" si="78"/>
        <v>0</v>
      </c>
      <c r="P137" s="46">
        <f t="shared" si="78"/>
        <v>0</v>
      </c>
      <c r="Q137" s="46">
        <f t="shared" si="78"/>
        <v>0</v>
      </c>
      <c r="R137" s="46">
        <f t="shared" si="78"/>
        <v>0</v>
      </c>
      <c r="S137" s="46">
        <f t="shared" si="78"/>
        <v>0</v>
      </c>
      <c r="T137" s="46">
        <f t="shared" si="78"/>
        <v>0</v>
      </c>
      <c r="U137" s="46">
        <f t="shared" si="78"/>
        <v>0</v>
      </c>
      <c r="V137" s="46">
        <f t="shared" si="78"/>
        <v>0</v>
      </c>
      <c r="W137" s="46">
        <f t="shared" si="78"/>
        <v>0</v>
      </c>
      <c r="X137" s="46">
        <f t="shared" si="78"/>
        <v>0</v>
      </c>
      <c r="Y137" s="46">
        <f t="shared" ref="Y137" si="79">Y100-Y99</f>
        <v>0</v>
      </c>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row>
    <row r="138" spans="4:79">
      <c r="D138" s="7" t="s">
        <v>174</v>
      </c>
      <c r="E138" s="46">
        <f t="shared" ref="E138:X138" si="80">E101-E100</f>
        <v>0</v>
      </c>
      <c r="F138" s="46">
        <f t="shared" si="80"/>
        <v>0</v>
      </c>
      <c r="G138" s="46">
        <f t="shared" si="80"/>
        <v>0</v>
      </c>
      <c r="H138" s="46">
        <f t="shared" si="80"/>
        <v>0</v>
      </c>
      <c r="I138" s="46">
        <f t="shared" si="80"/>
        <v>0</v>
      </c>
      <c r="J138" s="46">
        <f t="shared" si="80"/>
        <v>0</v>
      </c>
      <c r="K138" s="46">
        <f t="shared" si="80"/>
        <v>0</v>
      </c>
      <c r="L138" s="46">
        <f t="shared" si="80"/>
        <v>0</v>
      </c>
      <c r="M138" s="46">
        <f t="shared" si="80"/>
        <v>0</v>
      </c>
      <c r="N138" s="46">
        <f t="shared" si="80"/>
        <v>0</v>
      </c>
      <c r="O138" s="46">
        <f t="shared" si="80"/>
        <v>0</v>
      </c>
      <c r="P138" s="46">
        <f t="shared" si="80"/>
        <v>0</v>
      </c>
      <c r="Q138" s="46">
        <f t="shared" si="80"/>
        <v>0</v>
      </c>
      <c r="R138" s="46">
        <f t="shared" si="80"/>
        <v>0</v>
      </c>
      <c r="S138" s="46">
        <f t="shared" si="80"/>
        <v>0</v>
      </c>
      <c r="T138" s="46">
        <f t="shared" si="80"/>
        <v>0</v>
      </c>
      <c r="U138" s="46">
        <f t="shared" si="80"/>
        <v>0</v>
      </c>
      <c r="V138" s="46">
        <f t="shared" si="80"/>
        <v>0</v>
      </c>
      <c r="W138" s="46">
        <f t="shared" si="80"/>
        <v>0</v>
      </c>
      <c r="X138" s="46">
        <f t="shared" si="80"/>
        <v>0</v>
      </c>
      <c r="Y138" s="46">
        <f t="shared" ref="Y138" si="81">Y101-Y100</f>
        <v>0</v>
      </c>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row>
    <row r="139" spans="4:79">
      <c r="D139" s="7" t="s">
        <v>177</v>
      </c>
      <c r="E139" s="46">
        <f t="shared" ref="E139:X139" si="82">E102-E101</f>
        <v>0</v>
      </c>
      <c r="F139" s="46">
        <f t="shared" si="82"/>
        <v>0</v>
      </c>
      <c r="G139" s="46">
        <f t="shared" si="82"/>
        <v>0</v>
      </c>
      <c r="H139" s="46">
        <f t="shared" si="82"/>
        <v>0</v>
      </c>
      <c r="I139" s="46">
        <f t="shared" si="82"/>
        <v>0</v>
      </c>
      <c r="J139" s="46">
        <f t="shared" si="82"/>
        <v>0</v>
      </c>
      <c r="K139" s="46">
        <f t="shared" si="82"/>
        <v>0</v>
      </c>
      <c r="L139" s="46">
        <f t="shared" si="82"/>
        <v>0</v>
      </c>
      <c r="M139" s="46">
        <f t="shared" si="82"/>
        <v>0</v>
      </c>
      <c r="N139" s="46">
        <f t="shared" si="82"/>
        <v>0</v>
      </c>
      <c r="O139" s="46">
        <f t="shared" si="82"/>
        <v>0</v>
      </c>
      <c r="P139" s="46">
        <f t="shared" si="82"/>
        <v>0</v>
      </c>
      <c r="Q139" s="46">
        <f t="shared" si="82"/>
        <v>0</v>
      </c>
      <c r="R139" s="46">
        <f t="shared" si="82"/>
        <v>0</v>
      </c>
      <c r="S139" s="46">
        <f t="shared" si="82"/>
        <v>0</v>
      </c>
      <c r="T139" s="46">
        <f t="shared" si="82"/>
        <v>0</v>
      </c>
      <c r="U139" s="46">
        <f t="shared" si="82"/>
        <v>0</v>
      </c>
      <c r="V139" s="46">
        <f t="shared" si="82"/>
        <v>0</v>
      </c>
      <c r="W139" s="46">
        <f t="shared" si="82"/>
        <v>0</v>
      </c>
      <c r="X139" s="46">
        <f t="shared" si="82"/>
        <v>0</v>
      </c>
      <c r="Y139" s="46">
        <f t="shared" ref="Y139" si="83">Y102-Y101</f>
        <v>0</v>
      </c>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row>
    <row r="140" spans="4:79">
      <c r="D140" s="7" t="s">
        <v>180</v>
      </c>
      <c r="E140" s="46">
        <f t="shared" ref="E140:X140" si="84">E103-E102</f>
        <v>0</v>
      </c>
      <c r="F140" s="46">
        <f t="shared" si="84"/>
        <v>0</v>
      </c>
      <c r="G140" s="46">
        <f t="shared" si="84"/>
        <v>0</v>
      </c>
      <c r="H140" s="46">
        <f t="shared" si="84"/>
        <v>0</v>
      </c>
      <c r="I140" s="46">
        <f t="shared" si="84"/>
        <v>0</v>
      </c>
      <c r="J140" s="46">
        <f t="shared" si="84"/>
        <v>0</v>
      </c>
      <c r="K140" s="46">
        <f t="shared" si="84"/>
        <v>0</v>
      </c>
      <c r="L140" s="46">
        <f t="shared" si="84"/>
        <v>0</v>
      </c>
      <c r="M140" s="46">
        <f t="shared" si="84"/>
        <v>0</v>
      </c>
      <c r="N140" s="46">
        <f t="shared" si="84"/>
        <v>0</v>
      </c>
      <c r="O140" s="46">
        <f t="shared" si="84"/>
        <v>0</v>
      </c>
      <c r="P140" s="46">
        <f t="shared" si="84"/>
        <v>0</v>
      </c>
      <c r="Q140" s="46">
        <f t="shared" si="84"/>
        <v>0</v>
      </c>
      <c r="R140" s="46">
        <f t="shared" si="84"/>
        <v>0</v>
      </c>
      <c r="S140" s="46">
        <f t="shared" si="84"/>
        <v>0</v>
      </c>
      <c r="T140" s="46">
        <f t="shared" si="84"/>
        <v>0</v>
      </c>
      <c r="U140" s="46">
        <f t="shared" si="84"/>
        <v>0</v>
      </c>
      <c r="V140" s="46">
        <f t="shared" si="84"/>
        <v>0</v>
      </c>
      <c r="W140" s="46">
        <f t="shared" si="84"/>
        <v>0</v>
      </c>
      <c r="X140" s="46">
        <f t="shared" si="84"/>
        <v>0</v>
      </c>
      <c r="Y140" s="46">
        <f t="shared" ref="Y140" si="85">Y103-Y102</f>
        <v>0</v>
      </c>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row>
    <row r="141" spans="4:79">
      <c r="D141" s="7" t="s">
        <v>183</v>
      </c>
      <c r="E141" s="46">
        <f t="shared" ref="E141:X141" si="86">E104-E103</f>
        <v>0</v>
      </c>
      <c r="F141" s="46">
        <f t="shared" si="86"/>
        <v>0</v>
      </c>
      <c r="G141" s="46">
        <f t="shared" si="86"/>
        <v>0</v>
      </c>
      <c r="H141" s="46">
        <f t="shared" si="86"/>
        <v>0</v>
      </c>
      <c r="I141" s="46">
        <f t="shared" si="86"/>
        <v>0</v>
      </c>
      <c r="J141" s="46">
        <f t="shared" si="86"/>
        <v>0</v>
      </c>
      <c r="K141" s="46">
        <f t="shared" si="86"/>
        <v>0</v>
      </c>
      <c r="L141" s="46">
        <f t="shared" si="86"/>
        <v>0</v>
      </c>
      <c r="M141" s="46">
        <f t="shared" si="86"/>
        <v>0</v>
      </c>
      <c r="N141" s="46">
        <f t="shared" si="86"/>
        <v>0</v>
      </c>
      <c r="O141" s="46">
        <f t="shared" si="86"/>
        <v>0</v>
      </c>
      <c r="P141" s="46">
        <f t="shared" si="86"/>
        <v>0</v>
      </c>
      <c r="Q141" s="46">
        <f t="shared" si="86"/>
        <v>0</v>
      </c>
      <c r="R141" s="46">
        <f t="shared" si="86"/>
        <v>0</v>
      </c>
      <c r="S141" s="46">
        <f t="shared" si="86"/>
        <v>0</v>
      </c>
      <c r="T141" s="46">
        <f t="shared" si="86"/>
        <v>0</v>
      </c>
      <c r="U141" s="46">
        <f t="shared" si="86"/>
        <v>0</v>
      </c>
      <c r="V141" s="46">
        <f t="shared" si="86"/>
        <v>0</v>
      </c>
      <c r="W141" s="46">
        <f t="shared" si="86"/>
        <v>0</v>
      </c>
      <c r="X141" s="46">
        <f t="shared" si="86"/>
        <v>0</v>
      </c>
      <c r="Y141" s="46">
        <f t="shared" ref="Y141" si="87">Y104-Y103</f>
        <v>0</v>
      </c>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row>
    <row r="142" spans="4:79">
      <c r="D142" s="7" t="s">
        <v>186</v>
      </c>
      <c r="E142" s="46">
        <f t="shared" ref="E142:X142" si="88">E105-E104</f>
        <v>0</v>
      </c>
      <c r="F142" s="46">
        <f t="shared" si="88"/>
        <v>0</v>
      </c>
      <c r="G142" s="46">
        <f t="shared" si="88"/>
        <v>0</v>
      </c>
      <c r="H142" s="46">
        <f t="shared" si="88"/>
        <v>0</v>
      </c>
      <c r="I142" s="46">
        <f t="shared" si="88"/>
        <v>0</v>
      </c>
      <c r="J142" s="46">
        <f t="shared" si="88"/>
        <v>0</v>
      </c>
      <c r="K142" s="46">
        <f t="shared" si="88"/>
        <v>0</v>
      </c>
      <c r="L142" s="46">
        <f t="shared" si="88"/>
        <v>0</v>
      </c>
      <c r="M142" s="46">
        <f t="shared" si="88"/>
        <v>0</v>
      </c>
      <c r="N142" s="46">
        <f t="shared" si="88"/>
        <v>0</v>
      </c>
      <c r="O142" s="46">
        <f t="shared" si="88"/>
        <v>0</v>
      </c>
      <c r="P142" s="46">
        <f t="shared" si="88"/>
        <v>0</v>
      </c>
      <c r="Q142" s="46">
        <f t="shared" si="88"/>
        <v>0</v>
      </c>
      <c r="R142" s="46">
        <f t="shared" si="88"/>
        <v>0</v>
      </c>
      <c r="S142" s="46">
        <f t="shared" si="88"/>
        <v>0</v>
      </c>
      <c r="T142" s="46">
        <f t="shared" si="88"/>
        <v>0</v>
      </c>
      <c r="U142" s="46">
        <f t="shared" si="88"/>
        <v>0</v>
      </c>
      <c r="V142" s="46">
        <f t="shared" si="88"/>
        <v>0</v>
      </c>
      <c r="W142" s="46">
        <f t="shared" si="88"/>
        <v>0</v>
      </c>
      <c r="X142" s="46">
        <f t="shared" si="88"/>
        <v>0</v>
      </c>
      <c r="Y142" s="46">
        <f t="shared" ref="Y142" si="89">Y105-Y104</f>
        <v>0</v>
      </c>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row>
    <row r="143" spans="4:79">
      <c r="D143" s="7" t="s">
        <v>189</v>
      </c>
      <c r="E143" s="46">
        <f t="shared" ref="E143:X143" si="90">E106-E105</f>
        <v>0</v>
      </c>
      <c r="F143" s="46">
        <f t="shared" si="90"/>
        <v>0</v>
      </c>
      <c r="G143" s="46">
        <f t="shared" si="90"/>
        <v>0</v>
      </c>
      <c r="H143" s="46">
        <f t="shared" si="90"/>
        <v>0</v>
      </c>
      <c r="I143" s="46">
        <f t="shared" si="90"/>
        <v>0</v>
      </c>
      <c r="J143" s="46">
        <f t="shared" si="90"/>
        <v>0</v>
      </c>
      <c r="K143" s="46">
        <f t="shared" si="90"/>
        <v>0</v>
      </c>
      <c r="L143" s="46">
        <f t="shared" si="90"/>
        <v>0</v>
      </c>
      <c r="M143" s="46">
        <f t="shared" si="90"/>
        <v>0</v>
      </c>
      <c r="N143" s="46">
        <f t="shared" si="90"/>
        <v>0</v>
      </c>
      <c r="O143" s="46">
        <f t="shared" si="90"/>
        <v>0</v>
      </c>
      <c r="P143" s="46">
        <f t="shared" si="90"/>
        <v>0</v>
      </c>
      <c r="Q143" s="46">
        <f t="shared" si="90"/>
        <v>0</v>
      </c>
      <c r="R143" s="46">
        <f t="shared" si="90"/>
        <v>0</v>
      </c>
      <c r="S143" s="46">
        <f t="shared" si="90"/>
        <v>0</v>
      </c>
      <c r="T143" s="46">
        <f t="shared" si="90"/>
        <v>0</v>
      </c>
      <c r="U143" s="46">
        <f t="shared" si="90"/>
        <v>0</v>
      </c>
      <c r="V143" s="46">
        <f t="shared" si="90"/>
        <v>0</v>
      </c>
      <c r="W143" s="46">
        <f t="shared" si="90"/>
        <v>0</v>
      </c>
      <c r="X143" s="46">
        <f t="shared" si="90"/>
        <v>0</v>
      </c>
      <c r="Y143" s="46">
        <f>Y106-Y105</f>
        <v>0</v>
      </c>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row>
    <row r="144" spans="4:79">
      <c r="E144" s="46"/>
      <c r="F144" s="46"/>
      <c r="G144" s="46"/>
      <c r="H144" s="46"/>
      <c r="I144" s="46"/>
      <c r="J144" s="46"/>
      <c r="K144" s="46"/>
      <c r="L144" s="46"/>
      <c r="M144" s="46"/>
      <c r="N144" s="46"/>
      <c r="O144" s="46"/>
      <c r="P144" s="46"/>
      <c r="Q144" s="46"/>
      <c r="R144" s="46"/>
      <c r="S144" s="46"/>
      <c r="T144" s="46"/>
      <c r="U144" s="46"/>
      <c r="V144" s="46"/>
      <c r="W144" s="46"/>
      <c r="X144" s="46"/>
      <c r="Y144" s="46"/>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row>
    <row r="145" spans="4:79" ht="15">
      <c r="D145" s="58" t="s">
        <v>104</v>
      </c>
      <c r="E145" s="59">
        <f>SUM(E112:E143)</f>
        <v>0.31788611084330931</v>
      </c>
      <c r="F145" s="59">
        <f t="shared" ref="F145:Y145" si="91">SUM(F112:F143)</f>
        <v>0.3199069371215616</v>
      </c>
      <c r="G145" s="59">
        <f t="shared" si="91"/>
        <v>0.32196393306466281</v>
      </c>
      <c r="H145" s="59">
        <f t="shared" si="91"/>
        <v>0.32421485895930902</v>
      </c>
      <c r="I145" s="59">
        <f t="shared" si="91"/>
        <v>0.32781137791918119</v>
      </c>
      <c r="J145" s="59">
        <f t="shared" si="91"/>
        <v>0.29723918695717905</v>
      </c>
      <c r="K145" s="59">
        <f t="shared" si="91"/>
        <v>0.23956382492233663</v>
      </c>
      <c r="L145" s="59">
        <f t="shared" si="91"/>
        <v>0.19315669240177416</v>
      </c>
      <c r="M145" s="59">
        <f t="shared" si="91"/>
        <v>0.15570694282486658</v>
      </c>
      <c r="N145" s="59">
        <f t="shared" si="91"/>
        <v>0.12608807422548818</v>
      </c>
      <c r="O145" s="59">
        <f t="shared" si="91"/>
        <v>0.10164879224511124</v>
      </c>
      <c r="P145" s="59">
        <f t="shared" si="91"/>
        <v>8.194195543353E-2</v>
      </c>
      <c r="Q145" s="59">
        <f t="shared" si="91"/>
        <v>6.6051382019399002E-2</v>
      </c>
      <c r="R145" s="59">
        <f t="shared" si="91"/>
        <v>5.3248545481810558E-2</v>
      </c>
      <c r="S145" s="59">
        <f t="shared" si="91"/>
        <v>4.3099362916745196E-2</v>
      </c>
      <c r="T145" s="59">
        <f t="shared" si="91"/>
        <v>3.475925586052523E-2</v>
      </c>
      <c r="U145" s="59">
        <f t="shared" si="91"/>
        <v>2.3907392039107373E-4</v>
      </c>
      <c r="V145" s="59">
        <f t="shared" si="91"/>
        <v>8.6098408727237847E-5</v>
      </c>
      <c r="W145" s="59">
        <f t="shared" si="91"/>
        <v>2.9589309707678561E-5</v>
      </c>
      <c r="X145" s="59">
        <f t="shared" si="91"/>
        <v>9.7710174589211311E-6</v>
      </c>
      <c r="Y145" s="59">
        <f t="shared" si="91"/>
        <v>3.4137661992359805</v>
      </c>
      <c r="Z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row>
    <row r="146" spans="4:79" ht="15">
      <c r="D146" s="58" t="s">
        <v>105</v>
      </c>
      <c r="E146" s="59">
        <f>E145</f>
        <v>0.31788611084330931</v>
      </c>
      <c r="F146" s="59">
        <f>E146+F145</f>
        <v>0.63779304796487091</v>
      </c>
      <c r="G146" s="59">
        <f t="shared" ref="G146:X146" si="92">F146+G145</f>
        <v>0.95975698102953366</v>
      </c>
      <c r="H146" s="59">
        <f t="shared" si="92"/>
        <v>1.2839718399888427</v>
      </c>
      <c r="I146" s="59">
        <f t="shared" si="92"/>
        <v>1.6117832179080238</v>
      </c>
      <c r="J146" s="59">
        <f t="shared" si="92"/>
        <v>1.9090224048652029</v>
      </c>
      <c r="K146" s="59">
        <f t="shared" si="92"/>
        <v>2.1485862297875395</v>
      </c>
      <c r="L146" s="59">
        <f t="shared" si="92"/>
        <v>2.3417429221893138</v>
      </c>
      <c r="M146" s="59">
        <f t="shared" si="92"/>
        <v>2.4974498650141803</v>
      </c>
      <c r="N146" s="59">
        <f t="shared" si="92"/>
        <v>2.6235379392396685</v>
      </c>
      <c r="O146" s="59">
        <f t="shared" si="92"/>
        <v>2.7251867314847797</v>
      </c>
      <c r="P146" s="59">
        <f t="shared" si="92"/>
        <v>2.8071286869183099</v>
      </c>
      <c r="Q146" s="59">
        <f t="shared" si="92"/>
        <v>2.8731800689377089</v>
      </c>
      <c r="R146" s="59">
        <f t="shared" si="92"/>
        <v>2.9264286144195193</v>
      </c>
      <c r="S146" s="59">
        <f t="shared" si="92"/>
        <v>2.9695279773362646</v>
      </c>
      <c r="T146" s="59">
        <f t="shared" si="92"/>
        <v>3.00428723319679</v>
      </c>
      <c r="U146" s="59">
        <f t="shared" si="92"/>
        <v>3.0045263071171813</v>
      </c>
      <c r="V146" s="59">
        <f t="shared" si="92"/>
        <v>3.0046124055259087</v>
      </c>
      <c r="W146" s="59">
        <f t="shared" si="92"/>
        <v>3.0046419948356164</v>
      </c>
      <c r="X146" s="59">
        <f t="shared" si="92"/>
        <v>3.0046517658530756</v>
      </c>
      <c r="Y146" s="59"/>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row>
    <row r="147" spans="4:79">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row>
    <row r="148" spans="4:79">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row>
    <row r="149" spans="4:79" customFormat="1"/>
    <row r="150" spans="4:79" customFormat="1"/>
    <row r="151" spans="4:79" customFormat="1"/>
    <row r="152" spans="4:79" customFormat="1"/>
    <row r="153" spans="4:79" customFormat="1"/>
    <row r="154" spans="4:79" customFormat="1"/>
    <row r="155" spans="4:79" customFormat="1"/>
    <row r="156" spans="4:79" customFormat="1"/>
  </sheetData>
  <mergeCells count="1">
    <mergeCell ref="B1:S6"/>
  </mergeCells>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sheetPr codeName="Sheet4"/>
  <dimension ref="A2"/>
  <sheetViews>
    <sheetView workbookViewId="0">
      <selection activeCell="A3" sqref="A3"/>
    </sheetView>
  </sheetViews>
  <sheetFormatPr defaultRowHeight="12.75"/>
  <cols>
    <col min="1" max="1" width="11.42578125" bestFit="1" customWidth="1"/>
    <col min="2" max="2" width="10.140625" bestFit="1" customWidth="1"/>
    <col min="3" max="3" width="10.42578125" bestFit="1" customWidth="1"/>
    <col min="4" max="4" width="16.85546875" bestFit="1" customWidth="1"/>
    <col min="5" max="5" width="25.140625" bestFit="1" customWidth="1"/>
    <col min="6" max="6" width="17" customWidth="1"/>
    <col min="7" max="7" width="19.85546875" bestFit="1" customWidth="1"/>
  </cols>
  <sheetData>
    <row r="2" spans="1:1">
      <c r="A2" t="s">
        <v>326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Sheet5"/>
  <dimension ref="A1:EA12"/>
  <sheetViews>
    <sheetView workbookViewId="0">
      <selection sqref="A1:EA12"/>
    </sheetView>
  </sheetViews>
  <sheetFormatPr defaultRowHeight="12.75"/>
  <cols>
    <col min="1" max="1" width="107.28515625" bestFit="1" customWidth="1"/>
  </cols>
  <sheetData>
    <row r="1" spans="1:131" ht="13.5" thickBot="1">
      <c r="A1" s="24" t="s">
        <v>159</v>
      </c>
      <c r="B1" s="25"/>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row>
    <row r="2" spans="1:131" ht="13.5" thickBot="1">
      <c r="A2" s="33"/>
      <c r="B2" s="34"/>
      <c r="C2" s="35"/>
      <c r="D2" s="35"/>
      <c r="E2" s="35"/>
      <c r="F2" s="35"/>
      <c r="G2" s="35"/>
      <c r="H2" s="35"/>
      <c r="I2" s="35"/>
      <c r="J2" s="35"/>
      <c r="K2" s="35"/>
      <c r="L2" s="35"/>
      <c r="M2" s="35"/>
      <c r="N2" s="35"/>
      <c r="O2" s="36" t="s">
        <v>191</v>
      </c>
      <c r="P2" s="37"/>
      <c r="Q2" s="37"/>
      <c r="R2" s="37"/>
      <c r="S2" s="37"/>
      <c r="T2" s="37"/>
      <c r="U2" s="37"/>
      <c r="V2" s="37"/>
      <c r="W2" s="37"/>
      <c r="X2" s="37"/>
      <c r="Y2" s="37"/>
      <c r="Z2" s="31"/>
      <c r="AA2" s="35"/>
      <c r="AB2" s="36" t="s">
        <v>192</v>
      </c>
      <c r="AC2" s="37"/>
      <c r="AD2" s="37"/>
      <c r="AE2" s="37"/>
      <c r="AF2" s="37"/>
      <c r="AG2" s="37"/>
      <c r="AH2" s="37"/>
      <c r="AI2" s="37"/>
      <c r="AJ2" s="37"/>
      <c r="AK2" s="37"/>
      <c r="AL2" s="37"/>
      <c r="AM2" s="31"/>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row>
    <row r="3" spans="1:131" ht="204">
      <c r="A3" s="27" t="s">
        <v>136</v>
      </c>
      <c r="B3" s="28" t="s">
        <v>137</v>
      </c>
      <c r="C3" s="29" t="s">
        <v>22</v>
      </c>
      <c r="D3" s="29" t="s">
        <v>139</v>
      </c>
      <c r="E3" s="29" t="s">
        <v>140</v>
      </c>
      <c r="F3" s="29" t="s">
        <v>141</v>
      </c>
      <c r="G3" s="29" t="s">
        <v>142</v>
      </c>
      <c r="H3" s="29" t="s">
        <v>143</v>
      </c>
      <c r="I3" s="29" t="s">
        <v>144</v>
      </c>
      <c r="J3" s="29" t="s">
        <v>145</v>
      </c>
      <c r="K3" s="29" t="s">
        <v>21</v>
      </c>
      <c r="L3" s="29" t="s">
        <v>138</v>
      </c>
      <c r="M3" s="29" t="s">
        <v>146</v>
      </c>
      <c r="N3" s="29" t="s">
        <v>193</v>
      </c>
      <c r="O3" s="29" t="s">
        <v>147</v>
      </c>
      <c r="P3" s="29" t="s">
        <v>148</v>
      </c>
      <c r="Q3" s="29" t="s">
        <v>149</v>
      </c>
      <c r="R3" s="29" t="s">
        <v>150</v>
      </c>
      <c r="S3" s="29" t="s">
        <v>151</v>
      </c>
      <c r="T3" s="29" t="s">
        <v>152</v>
      </c>
      <c r="U3" s="29" t="s">
        <v>153</v>
      </c>
      <c r="V3" s="29" t="s">
        <v>154</v>
      </c>
      <c r="W3" s="29" t="s">
        <v>155</v>
      </c>
      <c r="X3" s="29" t="s">
        <v>156</v>
      </c>
      <c r="Y3" s="29" t="s">
        <v>157</v>
      </c>
      <c r="Z3" s="29" t="s">
        <v>158</v>
      </c>
      <c r="AA3" s="29"/>
      <c r="AB3" s="29" t="s">
        <v>147</v>
      </c>
      <c r="AC3" s="29" t="s">
        <v>148</v>
      </c>
      <c r="AD3" s="29" t="s">
        <v>149</v>
      </c>
      <c r="AE3" s="29" t="s">
        <v>150</v>
      </c>
      <c r="AF3" s="29" t="s">
        <v>151</v>
      </c>
      <c r="AG3" s="29" t="s">
        <v>152</v>
      </c>
      <c r="AH3" s="29" t="s">
        <v>153</v>
      </c>
      <c r="AI3" s="29" t="s">
        <v>154</v>
      </c>
      <c r="AJ3" s="29" t="s">
        <v>155</v>
      </c>
      <c r="AK3" s="29" t="s">
        <v>156</v>
      </c>
      <c r="AL3" s="29" t="s">
        <v>157</v>
      </c>
      <c r="AM3" s="29" t="s">
        <v>158</v>
      </c>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row>
    <row r="4" spans="1:131">
      <c r="A4" s="7" t="s">
        <v>316</v>
      </c>
      <c r="B4" s="7"/>
      <c r="C4" s="32">
        <v>797.38994023341627</v>
      </c>
      <c r="D4" s="32">
        <v>190.08733333333336</v>
      </c>
      <c r="E4" s="32">
        <v>38.017466666666671</v>
      </c>
      <c r="F4" s="32">
        <v>228.10480000000004</v>
      </c>
      <c r="G4" s="32">
        <v>267.28661084820385</v>
      </c>
      <c r="H4" s="32">
        <v>385.16826031138442</v>
      </c>
      <c r="I4" s="32">
        <v>2505.9233220512879</v>
      </c>
      <c r="J4" s="32">
        <v>14.938169271143469</v>
      </c>
      <c r="K4" s="32">
        <v>24.513726435017748</v>
      </c>
      <c r="L4" s="30">
        <v>1.4410308810048378</v>
      </c>
      <c r="M4" s="32">
        <v>7.5753068337252643</v>
      </c>
      <c r="N4" s="32">
        <v>2.1209184506490418E-3</v>
      </c>
      <c r="O4" s="32">
        <v>0</v>
      </c>
      <c r="P4" s="32">
        <v>2.7934029203454488E-2</v>
      </c>
      <c r="Q4" s="32">
        <v>1.5380237767110789</v>
      </c>
      <c r="R4" s="32">
        <v>18.526324179533617</v>
      </c>
      <c r="S4" s="32">
        <v>73.381881459214426</v>
      </c>
      <c r="T4" s="32">
        <v>97.25520973288431</v>
      </c>
      <c r="U4" s="32">
        <v>94.155061241327232</v>
      </c>
      <c r="V4" s="32">
        <v>95.502411136506495</v>
      </c>
      <c r="W4" s="32">
        <v>44.896800908404124</v>
      </c>
      <c r="X4" s="32">
        <v>25.816902757479024</v>
      </c>
      <c r="Y4" s="32">
        <v>7.2967299632589322</v>
      </c>
      <c r="Z4" s="32">
        <v>5.0000369695510534E-2</v>
      </c>
      <c r="AA4" s="32"/>
      <c r="AB4" s="32">
        <v>0</v>
      </c>
      <c r="AC4" s="32">
        <v>1.91034744507655E-2</v>
      </c>
      <c r="AD4" s="32">
        <v>0.56711431090469422</v>
      </c>
      <c r="AE4" s="32">
        <v>12.209678326492483</v>
      </c>
      <c r="AF4" s="32">
        <v>47.582713062606473</v>
      </c>
      <c r="AG4" s="32">
        <v>71.489901493315926</v>
      </c>
      <c r="AH4" s="32">
        <v>81.090475032381391</v>
      </c>
      <c r="AI4" s="32">
        <v>69.451473136247188</v>
      </c>
      <c r="AJ4" s="32">
        <v>35.935489924771581</v>
      </c>
      <c r="AK4" s="32">
        <v>16.959446719743305</v>
      </c>
      <c r="AL4" s="32">
        <v>3.6003150965130035</v>
      </c>
      <c r="AM4" s="26">
        <v>3.6950101771177447E-2</v>
      </c>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row>
    <row r="5" spans="1:131">
      <c r="A5" s="7" t="s">
        <v>312</v>
      </c>
      <c r="B5" s="7"/>
      <c r="C5" s="32">
        <v>857.35378710031875</v>
      </c>
      <c r="D5" s="32">
        <v>208.77266666666668</v>
      </c>
      <c r="E5" s="32">
        <v>41.754533333333342</v>
      </c>
      <c r="F5" s="32">
        <v>250.52720000000002</v>
      </c>
      <c r="G5" s="32">
        <v>293.56053100719544</v>
      </c>
      <c r="H5" s="32">
        <v>414.13297307480667</v>
      </c>
      <c r="I5" s="32">
        <v>2559.7580660633489</v>
      </c>
      <c r="J5" s="32">
        <v>15.262330175510874</v>
      </c>
      <c r="K5" s="32">
        <v>25.043599008275351</v>
      </c>
      <c r="L5" s="30">
        <v>1.4107242947610552</v>
      </c>
      <c r="M5" s="32">
        <v>8.144971079570043</v>
      </c>
      <c r="N5" s="32">
        <v>2.2804118462575679E-3</v>
      </c>
      <c r="O5" s="32">
        <v>0</v>
      </c>
      <c r="P5" s="32">
        <v>3.0034672521128153E-2</v>
      </c>
      <c r="Q5" s="32">
        <v>1.6536834026619174</v>
      </c>
      <c r="R5" s="32">
        <v>19.919506623975991</v>
      </c>
      <c r="S5" s="32">
        <v>78.900210297596146</v>
      </c>
      <c r="T5" s="32">
        <v>104.56881655080335</v>
      </c>
      <c r="U5" s="32">
        <v>101.23553641306827</v>
      </c>
      <c r="V5" s="32">
        <v>102.6842072288087</v>
      </c>
      <c r="W5" s="32">
        <v>48.273047282539828</v>
      </c>
      <c r="X5" s="32">
        <v>27.758337838882262</v>
      </c>
      <c r="Y5" s="32">
        <v>7.8454451853470353</v>
      </c>
      <c r="Z5" s="32">
        <v>5.3760405231991534E-2</v>
      </c>
      <c r="AA5" s="32"/>
      <c r="AB5" s="32">
        <v>0</v>
      </c>
      <c r="AC5" s="32">
        <v>2.0540058684893368E-2</v>
      </c>
      <c r="AD5" s="32">
        <v>0.60976139482095681</v>
      </c>
      <c r="AE5" s="32">
        <v>13.127848025560443</v>
      </c>
      <c r="AF5" s="32">
        <v>51.160940446266068</v>
      </c>
      <c r="AG5" s="32">
        <v>76.86595314556061</v>
      </c>
      <c r="AH5" s="32">
        <v>87.188491300034229</v>
      </c>
      <c r="AI5" s="32">
        <v>74.67423466068233</v>
      </c>
      <c r="AJ5" s="32">
        <v>38.637844326565698</v>
      </c>
      <c r="AK5" s="32">
        <v>18.234799736803428</v>
      </c>
      <c r="AL5" s="32">
        <v>3.871059348762671</v>
      </c>
      <c r="AM5" s="26">
        <v>3.9728755140788267E-2</v>
      </c>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row>
    <row r="6" spans="1:131">
      <c r="A6" s="7" t="s">
        <v>317</v>
      </c>
      <c r="B6" s="7"/>
      <c r="C6" s="32">
        <v>857.35378710031875</v>
      </c>
      <c r="D6" s="32">
        <v>208.77266666666668</v>
      </c>
      <c r="E6" s="32">
        <v>41.754533333333342</v>
      </c>
      <c r="F6" s="32">
        <v>250.52720000000002</v>
      </c>
      <c r="G6" s="32">
        <v>293.56053100719544</v>
      </c>
      <c r="H6" s="32">
        <v>414.13297307480667</v>
      </c>
      <c r="I6" s="32">
        <v>2559.7580660633489</v>
      </c>
      <c r="J6" s="32">
        <v>15.262330175510874</v>
      </c>
      <c r="K6" s="32">
        <v>25.043599008275351</v>
      </c>
      <c r="L6" s="30">
        <v>1.4107242947610552</v>
      </c>
      <c r="M6" s="32">
        <v>8.144971079570043</v>
      </c>
      <c r="N6" s="32">
        <v>2.2804118462575679E-3</v>
      </c>
      <c r="O6" s="32">
        <v>0</v>
      </c>
      <c r="P6" s="32">
        <v>3.0034672521128153E-2</v>
      </c>
      <c r="Q6" s="32">
        <v>1.6536834026619174</v>
      </c>
      <c r="R6" s="32">
        <v>19.919506623975991</v>
      </c>
      <c r="S6" s="32">
        <v>78.900210297596146</v>
      </c>
      <c r="T6" s="32">
        <v>104.56881655080335</v>
      </c>
      <c r="U6" s="32">
        <v>101.23553641306827</v>
      </c>
      <c r="V6" s="32">
        <v>102.6842072288087</v>
      </c>
      <c r="W6" s="32">
        <v>48.273047282539828</v>
      </c>
      <c r="X6" s="32">
        <v>27.758337838882262</v>
      </c>
      <c r="Y6" s="32">
        <v>7.8454451853470353</v>
      </c>
      <c r="Z6" s="32">
        <v>5.3760405231991534E-2</v>
      </c>
      <c r="AA6" s="32"/>
      <c r="AB6" s="32">
        <v>0</v>
      </c>
      <c r="AC6" s="32">
        <v>2.0540058684893368E-2</v>
      </c>
      <c r="AD6" s="32">
        <v>0.60976139482095681</v>
      </c>
      <c r="AE6" s="32">
        <v>13.127848025560443</v>
      </c>
      <c r="AF6" s="32">
        <v>51.160940446266068</v>
      </c>
      <c r="AG6" s="32">
        <v>76.86595314556061</v>
      </c>
      <c r="AH6" s="32">
        <v>87.188491300034229</v>
      </c>
      <c r="AI6" s="32">
        <v>74.67423466068233</v>
      </c>
      <c r="AJ6" s="32">
        <v>38.637844326565698</v>
      </c>
      <c r="AK6" s="32">
        <v>18.234799736803428</v>
      </c>
      <c r="AL6" s="32">
        <v>3.871059348762671</v>
      </c>
      <c r="AM6" s="26">
        <v>3.9728755140788267E-2</v>
      </c>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row>
    <row r="7" spans="1:131">
      <c r="A7" s="7" t="s">
        <v>314</v>
      </c>
      <c r="B7" s="7"/>
      <c r="C7" s="32">
        <v>1111.4974068636257</v>
      </c>
      <c r="D7" s="32">
        <v>333.10200000000003</v>
      </c>
      <c r="E7" s="32">
        <v>66.620400000000004</v>
      </c>
      <c r="F7" s="32">
        <v>399.72240000000005</v>
      </c>
      <c r="G7" s="32">
        <v>422.79532005806038</v>
      </c>
      <c r="H7" s="32">
        <v>536.893558522896</v>
      </c>
      <c r="I7" s="32">
        <v>3150.3161432293136</v>
      </c>
      <c r="J7" s="32">
        <v>18.818320714496426</v>
      </c>
      <c r="K7" s="32">
        <v>27.838271825761808</v>
      </c>
      <c r="L7" s="30">
        <v>1.2698663704441362</v>
      </c>
      <c r="M7" s="32">
        <v>10.559368104665552</v>
      </c>
      <c r="N7" s="32">
        <v>2.9563896396480236E-3</v>
      </c>
      <c r="O7" s="32">
        <v>0</v>
      </c>
      <c r="P7" s="32">
        <v>3.8937788723298596E-2</v>
      </c>
      <c r="Q7" s="32">
        <v>2.1438813725296653</v>
      </c>
      <c r="R7" s="32">
        <v>25.824205003437484</v>
      </c>
      <c r="S7" s="32">
        <v>102.28843735953707</v>
      </c>
      <c r="T7" s="32">
        <v>135.56593577094247</v>
      </c>
      <c r="U7" s="32">
        <v>131.24457825764202</v>
      </c>
      <c r="V7" s="32">
        <v>133.12267558376499</v>
      </c>
      <c r="W7" s="32">
        <v>62.582527403789264</v>
      </c>
      <c r="X7" s="32">
        <v>35.986684833004595</v>
      </c>
      <c r="Y7" s="32">
        <v>10.171054365662467</v>
      </c>
      <c r="Z7" s="32">
        <v>6.9696491584173084E-2</v>
      </c>
      <c r="AA7" s="32"/>
      <c r="AB7" s="32">
        <v>0</v>
      </c>
      <c r="AC7" s="32">
        <v>2.6628706035463412E-2</v>
      </c>
      <c r="AD7" s="32">
        <v>0.79051171097205142</v>
      </c>
      <c r="AE7" s="32">
        <v>17.019309015314171</v>
      </c>
      <c r="AF7" s="32">
        <v>66.326472798417029</v>
      </c>
      <c r="AG7" s="32">
        <v>99.651169543845128</v>
      </c>
      <c r="AH7" s="32">
        <v>113.03359645275637</v>
      </c>
      <c r="AI7" s="32">
        <v>96.809764456271594</v>
      </c>
      <c r="AJ7" s="32">
        <v>50.091181052604533</v>
      </c>
      <c r="AK7" s="32">
        <v>23.640103918690674</v>
      </c>
      <c r="AL7" s="32">
        <v>5.0185495097853341</v>
      </c>
      <c r="AM7" s="26">
        <v>5.1505468315776078E-2</v>
      </c>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row>
    <row r="8" spans="1:131">
      <c r="A8" s="7" t="s">
        <v>311</v>
      </c>
      <c r="B8" s="7"/>
      <c r="C8" s="32">
        <v>1470.9620152427756</v>
      </c>
      <c r="D8" s="32">
        <v>446.65133333333335</v>
      </c>
      <c r="E8" s="32">
        <v>89.330266666666674</v>
      </c>
      <c r="F8" s="32">
        <v>535.98160000000007</v>
      </c>
      <c r="G8" s="32">
        <v>566.91972258054909</v>
      </c>
      <c r="H8" s="32">
        <v>710.52800118012453</v>
      </c>
      <c r="I8" s="32">
        <v>3191.9239024163917</v>
      </c>
      <c r="J8" s="32">
        <v>19.068857966865696</v>
      </c>
      <c r="K8" s="32">
        <v>28.207939964256056</v>
      </c>
      <c r="L8" s="30">
        <v>1.2533132520877703</v>
      </c>
      <c r="M8" s="32">
        <v>13.974328047024326</v>
      </c>
      <c r="N8" s="32">
        <v>3.9125029310240079E-3</v>
      </c>
      <c r="O8" s="32">
        <v>0</v>
      </c>
      <c r="P8" s="32">
        <v>5.1530491943422192E-2</v>
      </c>
      <c r="Q8" s="32">
        <v>2.8372248506420572</v>
      </c>
      <c r="R8" s="32">
        <v>34.175900365874341</v>
      </c>
      <c r="S8" s="32">
        <v>135.36910210073026</v>
      </c>
      <c r="T8" s="32">
        <v>179.40873352335669</v>
      </c>
      <c r="U8" s="32">
        <v>173.68982431394559</v>
      </c>
      <c r="V8" s="32">
        <v>176.17530903986261</v>
      </c>
      <c r="W8" s="32">
        <v>82.82207413207118</v>
      </c>
      <c r="X8" s="32">
        <v>47.62498420327659</v>
      </c>
      <c r="Y8" s="32">
        <v>13.460431427434134</v>
      </c>
      <c r="Z8" s="32">
        <v>9.2236734951361976E-2</v>
      </c>
      <c r="AA8" s="32"/>
      <c r="AB8" s="32">
        <v>0</v>
      </c>
      <c r="AC8" s="32">
        <v>3.5240581625611146E-2</v>
      </c>
      <c r="AD8" s="32">
        <v>1.046167712370681</v>
      </c>
      <c r="AE8" s="32">
        <v>22.52345073646914</v>
      </c>
      <c r="AF8" s="32">
        <v>87.776832846426203</v>
      </c>
      <c r="AG8" s="32">
        <v>131.87892681381561</v>
      </c>
      <c r="AH8" s="32">
        <v>149.58930700293149</v>
      </c>
      <c r="AI8" s="32">
        <v>128.11859509560492</v>
      </c>
      <c r="AJ8" s="32">
        <v>66.290955041400537</v>
      </c>
      <c r="AK8" s="32">
        <v>31.285448518416921</v>
      </c>
      <c r="AL8" s="32">
        <v>6.6415770787445645</v>
      </c>
      <c r="AM8" s="26">
        <v>6.8162630881506439E-2</v>
      </c>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row>
    <row r="9" spans="1:131">
      <c r="A9" s="7" t="s">
        <v>313</v>
      </c>
      <c r="B9" s="7"/>
      <c r="C9" s="32">
        <v>818.2600452312563</v>
      </c>
      <c r="D9" s="32">
        <v>255.12666666666667</v>
      </c>
      <c r="E9" s="32">
        <v>51.025333333333336</v>
      </c>
      <c r="F9" s="32">
        <v>306.15199999999999</v>
      </c>
      <c r="G9" s="32">
        <v>323.82381579419939</v>
      </c>
      <c r="H9" s="32">
        <v>395.24927792766016</v>
      </c>
      <c r="I9" s="32">
        <v>3277.5540436439678</v>
      </c>
      <c r="J9" s="32">
        <v>19.584471898553037</v>
      </c>
      <c r="K9" s="32">
        <v>28.968729190233617</v>
      </c>
      <c r="L9" s="30">
        <v>1.2205688978072384</v>
      </c>
      <c r="M9" s="32">
        <v>7.7735755113617184</v>
      </c>
      <c r="N9" s="32">
        <v>2.1764292973797451E-3</v>
      </c>
      <c r="O9" s="32">
        <v>0</v>
      </c>
      <c r="P9" s="32">
        <v>2.8665147183596265E-2</v>
      </c>
      <c r="Q9" s="32">
        <v>1.5782785079154114</v>
      </c>
      <c r="R9" s="32">
        <v>19.011214082631351</v>
      </c>
      <c r="S9" s="32">
        <v>75.302507107619974</v>
      </c>
      <c r="T9" s="32">
        <v>99.800672543862461</v>
      </c>
      <c r="U9" s="32">
        <v>96.619383795496091</v>
      </c>
      <c r="V9" s="32">
        <v>98.001997910052125</v>
      </c>
      <c r="W9" s="32">
        <v>46.071885897250652</v>
      </c>
      <c r="X9" s="32">
        <v>26.492609139114457</v>
      </c>
      <c r="Y9" s="32">
        <v>7.4877074421440089</v>
      </c>
      <c r="Z9" s="32">
        <v>5.1309030506017705E-2</v>
      </c>
      <c r="AA9" s="32"/>
      <c r="AB9" s="32">
        <v>0</v>
      </c>
      <c r="AC9" s="32">
        <v>1.9603470121007247E-2</v>
      </c>
      <c r="AD9" s="32">
        <v>0.58195740663135231</v>
      </c>
      <c r="AE9" s="32">
        <v>12.529242514359161</v>
      </c>
      <c r="AF9" s="32">
        <v>48.82809649120604</v>
      </c>
      <c r="AG9" s="32">
        <v>73.361008307146562</v>
      </c>
      <c r="AH9" s="32">
        <v>83.212857875278971</v>
      </c>
      <c r="AI9" s="32">
        <v>71.269228118438022</v>
      </c>
      <c r="AJ9" s="32">
        <v>36.87603031791884</v>
      </c>
      <c r="AK9" s="32">
        <v>17.403326703534809</v>
      </c>
      <c r="AL9" s="32">
        <v>3.6945462252221772</v>
      </c>
      <c r="AM9" s="26">
        <v>3.7917197623201386E-2</v>
      </c>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row>
    <row r="10" spans="1:131">
      <c r="A10" s="7" t="s">
        <v>315</v>
      </c>
      <c r="B10" s="7"/>
      <c r="C10" s="32">
        <v>818.2600452312563</v>
      </c>
      <c r="D10" s="32">
        <v>255.12666666666667</v>
      </c>
      <c r="E10" s="32">
        <v>51.025333333333336</v>
      </c>
      <c r="F10" s="32">
        <v>306.15199999999999</v>
      </c>
      <c r="G10" s="32">
        <v>323.82381579419939</v>
      </c>
      <c r="H10" s="32">
        <v>395.24927792766016</v>
      </c>
      <c r="I10" s="32">
        <v>3277.5540436439678</v>
      </c>
      <c r="J10" s="32">
        <v>19.584471898553037</v>
      </c>
      <c r="K10" s="32">
        <v>28.968729190233617</v>
      </c>
      <c r="L10" s="30">
        <v>1.2205688978072384</v>
      </c>
      <c r="M10" s="32">
        <v>7.7735755113617184</v>
      </c>
      <c r="N10" s="32">
        <v>2.1764292973797451E-3</v>
      </c>
      <c r="O10" s="32">
        <v>0</v>
      </c>
      <c r="P10" s="32">
        <v>2.8665147183596265E-2</v>
      </c>
      <c r="Q10" s="32">
        <v>1.5782785079154114</v>
      </c>
      <c r="R10" s="32">
        <v>19.011214082631351</v>
      </c>
      <c r="S10" s="32">
        <v>75.302507107619974</v>
      </c>
      <c r="T10" s="32">
        <v>99.800672543862461</v>
      </c>
      <c r="U10" s="32">
        <v>96.619383795496091</v>
      </c>
      <c r="V10" s="32">
        <v>98.001997910052125</v>
      </c>
      <c r="W10" s="32">
        <v>46.071885897250652</v>
      </c>
      <c r="X10" s="32">
        <v>26.492609139114457</v>
      </c>
      <c r="Y10" s="32">
        <v>7.4877074421440089</v>
      </c>
      <c r="Z10" s="32">
        <v>5.1309030506017705E-2</v>
      </c>
      <c r="AA10" s="32"/>
      <c r="AB10" s="32">
        <v>0</v>
      </c>
      <c r="AC10" s="32">
        <v>1.9603470121007247E-2</v>
      </c>
      <c r="AD10" s="32">
        <v>0.58195740663135231</v>
      </c>
      <c r="AE10" s="32">
        <v>12.529242514359161</v>
      </c>
      <c r="AF10" s="32">
        <v>48.82809649120604</v>
      </c>
      <c r="AG10" s="32">
        <v>73.361008307146562</v>
      </c>
      <c r="AH10" s="32">
        <v>83.212857875278971</v>
      </c>
      <c r="AI10" s="32">
        <v>71.269228118438022</v>
      </c>
      <c r="AJ10" s="32">
        <v>36.87603031791884</v>
      </c>
      <c r="AK10" s="32">
        <v>17.403326703534809</v>
      </c>
      <c r="AL10" s="32">
        <v>3.6945462252221772</v>
      </c>
      <c r="AM10" s="26">
        <v>3.7917197623201386E-2</v>
      </c>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row>
    <row r="11" spans="1:131">
      <c r="A11" s="7" t="s">
        <v>318</v>
      </c>
      <c r="B11" s="7"/>
      <c r="C11" s="32">
        <v>842.07444999887502</v>
      </c>
      <c r="D11" s="32">
        <v>282.43600000000004</v>
      </c>
      <c r="E11" s="32">
        <v>56.487200000000009</v>
      </c>
      <c r="F11" s="32">
        <v>338.92320000000007</v>
      </c>
      <c r="G11" s="32">
        <v>358.48664678062079</v>
      </c>
      <c r="H11" s="32">
        <v>406.75249911453648</v>
      </c>
      <c r="I11" s="32">
        <v>3525.7775984106474</v>
      </c>
      <c r="J11" s="32">
        <v>21.079126948467145</v>
      </c>
      <c r="K11" s="32">
        <v>31.174095237668393</v>
      </c>
      <c r="L11" s="30">
        <v>1.1346377968813226</v>
      </c>
      <c r="M11" s="32">
        <v>7.9998154149206036</v>
      </c>
      <c r="N11" s="32">
        <v>2.2397714690255044E-3</v>
      </c>
      <c r="O11" s="32">
        <v>0</v>
      </c>
      <c r="P11" s="32">
        <v>2.9499409374121034E-2</v>
      </c>
      <c r="Q11" s="32">
        <v>1.624212271200784</v>
      </c>
      <c r="R11" s="32">
        <v>19.56451098369131</v>
      </c>
      <c r="S11" s="32">
        <v>77.494089593809349</v>
      </c>
      <c r="T11" s="32">
        <v>102.70524258353538</v>
      </c>
      <c r="U11" s="32">
        <v>99.431366523375161</v>
      </c>
      <c r="V11" s="32">
        <v>100.85421984104681</v>
      </c>
      <c r="W11" s="32">
        <v>47.412748799648128</v>
      </c>
      <c r="X11" s="32">
        <v>27.263642407897461</v>
      </c>
      <c r="Y11" s="32">
        <v>7.7056275237219047</v>
      </c>
      <c r="Z11" s="32">
        <v>5.2802313757259758E-2</v>
      </c>
      <c r="AA11" s="32"/>
      <c r="AB11" s="32">
        <v>0</v>
      </c>
      <c r="AC11" s="32">
        <v>2.0174003871289096E-2</v>
      </c>
      <c r="AD11" s="32">
        <v>0.59889452744007499</v>
      </c>
      <c r="AE11" s="32">
        <v>12.89388998114862</v>
      </c>
      <c r="AF11" s="32">
        <v>50.249175353177471</v>
      </c>
      <c r="AG11" s="32">
        <v>75.49608597123229</v>
      </c>
      <c r="AH11" s="32">
        <v>85.63466093270695</v>
      </c>
      <c r="AI11" s="32">
        <v>73.343427214165061</v>
      </c>
      <c r="AJ11" s="32">
        <v>37.949259687154026</v>
      </c>
      <c r="AK11" s="32">
        <v>17.909828113247357</v>
      </c>
      <c r="AL11" s="32">
        <v>3.8020712348482464</v>
      </c>
      <c r="AM11" s="26">
        <v>3.9020728825922529E-2</v>
      </c>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row>
    <row r="12" spans="1:131">
      <c r="A12" s="7"/>
      <c r="B12" s="7"/>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7"/>
  <dimension ref="A1:EA109"/>
  <sheetViews>
    <sheetView workbookViewId="0">
      <selection activeCell="E8" sqref="E8"/>
    </sheetView>
  </sheetViews>
  <sheetFormatPr defaultRowHeight="12.75"/>
  <cols>
    <col min="1" max="1" width="107.28515625" bestFit="1" customWidth="1"/>
    <col min="2" max="2" width="18.7109375" customWidth="1"/>
    <col min="3" max="3" width="18" customWidth="1"/>
    <col min="15" max="15" width="11.140625" customWidth="1"/>
    <col min="16" max="16" width="14.42578125" customWidth="1"/>
  </cols>
  <sheetData>
    <row r="1" spans="1:20">
      <c r="A1" s="1" t="s">
        <v>0</v>
      </c>
      <c r="B1" s="2"/>
      <c r="C1" s="2"/>
      <c r="D1" s="2"/>
      <c r="E1" s="2"/>
      <c r="F1" s="2"/>
      <c r="G1" s="2"/>
      <c r="H1" s="3"/>
      <c r="I1" s="4"/>
      <c r="J1" s="4"/>
      <c r="K1" s="4"/>
      <c r="L1" s="4"/>
      <c r="M1" s="4"/>
      <c r="N1" s="5"/>
      <c r="O1" s="6"/>
      <c r="P1" s="5"/>
    </row>
    <row r="2" spans="1:20">
      <c r="A2" s="8" t="s">
        <v>1</v>
      </c>
      <c r="B2" s="3"/>
      <c r="C2" s="3"/>
      <c r="D2" s="3"/>
      <c r="E2" s="3"/>
      <c r="F2" s="3"/>
      <c r="G2" s="3"/>
      <c r="H2" s="3"/>
      <c r="I2" s="4"/>
      <c r="J2" s="4"/>
      <c r="K2" s="4"/>
      <c r="L2" s="4"/>
      <c r="M2" s="4"/>
      <c r="N2" s="5"/>
      <c r="O2" s="5"/>
      <c r="P2" s="5"/>
    </row>
    <row r="3" spans="1:20">
      <c r="A3" s="8" t="s">
        <v>2</v>
      </c>
      <c r="B3" s="7">
        <v>2012</v>
      </c>
      <c r="C3" s="8"/>
      <c r="D3" s="7"/>
      <c r="E3" s="7"/>
      <c r="F3" s="7"/>
      <c r="G3" s="7"/>
      <c r="H3" s="7"/>
      <c r="I3" s="7"/>
      <c r="J3" s="9"/>
      <c r="K3" s="10"/>
      <c r="L3" s="7"/>
      <c r="M3" s="7"/>
      <c r="N3" s="7"/>
      <c r="O3" s="7"/>
      <c r="P3" s="7"/>
    </row>
    <row r="4" spans="1:20">
      <c r="A4" s="7"/>
      <c r="B4" s="7"/>
      <c r="C4" s="7"/>
      <c r="D4" s="7"/>
      <c r="E4" s="7"/>
      <c r="F4" s="7"/>
      <c r="G4" s="7"/>
      <c r="H4" s="7"/>
      <c r="I4" s="7"/>
      <c r="J4" s="7"/>
      <c r="K4" s="7"/>
      <c r="L4" s="7"/>
      <c r="M4" s="7"/>
      <c r="N4" s="7"/>
      <c r="O4" s="7"/>
      <c r="P4" s="7"/>
    </row>
    <row r="5" spans="1:20">
      <c r="A5" s="11">
        <v>1</v>
      </c>
      <c r="B5" s="11">
        <v>2</v>
      </c>
      <c r="C5" s="11">
        <v>3</v>
      </c>
      <c r="D5" s="11">
        <v>4</v>
      </c>
      <c r="E5" s="11">
        <v>5</v>
      </c>
      <c r="F5" s="11">
        <v>6</v>
      </c>
      <c r="G5" s="11">
        <v>7</v>
      </c>
      <c r="H5" s="11">
        <v>8</v>
      </c>
      <c r="I5" s="11">
        <v>9</v>
      </c>
      <c r="J5" s="11">
        <v>10</v>
      </c>
      <c r="K5" s="11">
        <v>11</v>
      </c>
      <c r="L5" s="11">
        <v>12</v>
      </c>
      <c r="M5" s="11">
        <v>13</v>
      </c>
      <c r="N5" s="11">
        <v>14</v>
      </c>
      <c r="O5" s="11">
        <v>15</v>
      </c>
      <c r="P5" s="11">
        <v>16</v>
      </c>
    </row>
    <row r="6" spans="1:20">
      <c r="A6" s="12" t="s">
        <v>3</v>
      </c>
      <c r="B6" s="13"/>
      <c r="C6" s="13"/>
      <c r="D6" s="13"/>
      <c r="E6" s="13"/>
      <c r="F6" s="13"/>
      <c r="G6" s="14"/>
      <c r="H6" s="15"/>
      <c r="I6" s="291" t="s">
        <v>4</v>
      </c>
      <c r="J6" s="292"/>
      <c r="K6" s="292"/>
      <c r="L6" s="292"/>
      <c r="M6" s="292"/>
      <c r="N6" s="293"/>
      <c r="O6" s="294" t="s">
        <v>5</v>
      </c>
      <c r="P6" s="295"/>
      <c r="Q6" s="90" t="s">
        <v>119</v>
      </c>
      <c r="R6" s="296" t="s">
        <v>120</v>
      </c>
      <c r="S6" s="296"/>
      <c r="T6" s="296"/>
    </row>
    <row r="7" spans="1:20" ht="38.25">
      <c r="A7" s="21" t="s">
        <v>6</v>
      </c>
      <c r="B7" s="21" t="s">
        <v>7</v>
      </c>
      <c r="C7" s="21" t="s">
        <v>8</v>
      </c>
      <c r="D7" s="21" t="s">
        <v>9</v>
      </c>
      <c r="E7" s="21" t="s">
        <v>10</v>
      </c>
      <c r="F7" s="21" t="s">
        <v>11</v>
      </c>
      <c r="G7" s="21" t="s">
        <v>12</v>
      </c>
      <c r="H7" s="21" t="s">
        <v>13</v>
      </c>
      <c r="I7" s="21" t="s">
        <v>14</v>
      </c>
      <c r="J7" s="21" t="s">
        <v>15</v>
      </c>
      <c r="K7" s="21" t="s">
        <v>16</v>
      </c>
      <c r="L7" s="21" t="s">
        <v>17</v>
      </c>
      <c r="M7" s="21" t="s">
        <v>18</v>
      </c>
      <c r="N7" s="21" t="s">
        <v>19</v>
      </c>
      <c r="O7" s="22" t="s">
        <v>20</v>
      </c>
      <c r="P7" s="21" t="s">
        <v>12</v>
      </c>
      <c r="Q7" s="91" t="s">
        <v>121</v>
      </c>
      <c r="R7" s="92" t="s">
        <v>122</v>
      </c>
      <c r="S7" s="92" t="s">
        <v>123</v>
      </c>
      <c r="T7" s="92" t="s">
        <v>124</v>
      </c>
    </row>
    <row r="8" spans="1:20">
      <c r="A8" t="str">
        <f>CONCATENATE(Composite!A47," ",Composite!C47)</f>
        <v>Idaho Wells Green Motors Program Rewind vs. Standard Practice:  Motor size 150HP</v>
      </c>
      <c r="B8" t="str">
        <f>Composite!D47</f>
        <v>Green Motors Program Rewind vs. Standard Practice:  Motor size 150HP</v>
      </c>
      <c r="C8">
        <f>Composite!E47</f>
        <v>1375.738818122496</v>
      </c>
      <c r="D8">
        <f>Composite!F47</f>
        <v>20</v>
      </c>
      <c r="E8">
        <f>Composite!G47</f>
        <v>446.65133333333335</v>
      </c>
      <c r="F8">
        <f>Composite!H47</f>
        <v>0</v>
      </c>
      <c r="G8" t="str">
        <f>Composite!I47</f>
        <v>A-Irr-Irr-Irrigation-All-All-E</v>
      </c>
      <c r="H8">
        <f>Composite!J47</f>
        <v>0</v>
      </c>
      <c r="Q8" t="s">
        <v>125</v>
      </c>
    </row>
    <row r="9" spans="1:20">
      <c r="A9" t="str">
        <f>CONCATENATE(Composite!A48," ",Composite!C48)</f>
        <v>Montana Wells Green Motors Program Rewind vs. Standard Practice:  Motor size 50HP</v>
      </c>
      <c r="B9" t="str">
        <f>Composite!D48</f>
        <v>Green Motors Program Rewind vs. Standard Practice:  Motor size 50HP</v>
      </c>
      <c r="C9">
        <f>Composite!E48</f>
        <v>801.85271513185091</v>
      </c>
      <c r="D9">
        <f>Composite!F48</f>
        <v>17</v>
      </c>
      <c r="E9">
        <f>Composite!G48</f>
        <v>208.77266666666668</v>
      </c>
      <c r="F9">
        <f>Composite!H48</f>
        <v>0</v>
      </c>
      <c r="G9" t="str">
        <f>Composite!I48</f>
        <v>A-Irr-Irr-Irrigation-All-All-E</v>
      </c>
      <c r="H9">
        <f>Composite!J48</f>
        <v>0</v>
      </c>
      <c r="Q9" t="s">
        <v>125</v>
      </c>
    </row>
    <row r="10" spans="1:20">
      <c r="A10" t="str">
        <f>CONCATENATE(Composite!A49," ",Composite!C49)</f>
        <v>Oregon Wells Green Motors Program Rewind vs. Standard Practice:  Motor size 60HP</v>
      </c>
      <c r="B10" t="str">
        <f>Composite!D49</f>
        <v>Green Motors Program Rewind vs. Standard Practice:  Motor size 60HP</v>
      </c>
      <c r="C10">
        <f>Composite!E49</f>
        <v>765.28971916213288</v>
      </c>
      <c r="D10">
        <f>Composite!F49</f>
        <v>20</v>
      </c>
      <c r="E10">
        <f>Composite!G49</f>
        <v>255.12666666666667</v>
      </c>
      <c r="F10">
        <f>Composite!H49</f>
        <v>0</v>
      </c>
      <c r="G10" t="str">
        <f>Composite!I49</f>
        <v>A-Irr-Irr-Irrigation-All-All-E</v>
      </c>
      <c r="H10">
        <f>Composite!J49</f>
        <v>0</v>
      </c>
      <c r="Q10" t="s">
        <v>125</v>
      </c>
    </row>
    <row r="11" spans="1:20">
      <c r="A11" t="str">
        <f>CONCATENATE(Composite!A50," ",Composite!C50)</f>
        <v>Washington Wells Green Motors Program Rewind vs. Standard Practice:  Motor size 100HP</v>
      </c>
      <c r="B11" t="str">
        <f>Composite!D50</f>
        <v>Green Motors Program Rewind vs. Standard Practice:  Motor size 100HP</v>
      </c>
      <c r="C11">
        <f>Composite!E50</f>
        <v>1039.5442662823673</v>
      </c>
      <c r="D11">
        <f>Composite!F50</f>
        <v>20</v>
      </c>
      <c r="E11">
        <f>Composite!G50</f>
        <v>333.10200000000003</v>
      </c>
      <c r="F11">
        <f>Composite!H50</f>
        <v>0</v>
      </c>
      <c r="G11" t="str">
        <f>Composite!I50</f>
        <v>A-Irr-Irr-Irrigation-All-All-E</v>
      </c>
      <c r="H11">
        <f>Composite!J50</f>
        <v>0</v>
      </c>
      <c r="Q11" t="s">
        <v>125</v>
      </c>
    </row>
    <row r="12" spans="1:20">
      <c r="A12" t="str">
        <f>CONCATENATE(Composite!A51," ",Composite!C51)</f>
        <v>Idaho River Green Motors Program Rewind vs. Standard Practice:  Motor size 60HP</v>
      </c>
      <c r="B12" t="str">
        <f>Composite!D51</f>
        <v>Green Motors Program Rewind vs. Standard Practice:  Motor size 60HP</v>
      </c>
      <c r="C12">
        <f>Composite!E51</f>
        <v>765.28971916213288</v>
      </c>
      <c r="D12">
        <f>Composite!F51</f>
        <v>20</v>
      </c>
      <c r="E12">
        <f>Composite!G51</f>
        <v>255.12666666666667</v>
      </c>
      <c r="F12">
        <f>Composite!H51</f>
        <v>0</v>
      </c>
      <c r="G12" t="str">
        <f>Composite!I51</f>
        <v>A-Irr-Irr-Irrigation-All-All-E</v>
      </c>
      <c r="H12">
        <f>Composite!J51</f>
        <v>0</v>
      </c>
      <c r="Q12" t="s">
        <v>125</v>
      </c>
    </row>
    <row r="13" spans="1:20">
      <c r="A13" t="str">
        <f>CONCATENATE(Composite!A52," ",Composite!C52)</f>
        <v>Montana River Green Motors Program Rewind vs. Standard Practice:  Motor size 40HP</v>
      </c>
      <c r="B13" t="str">
        <f>Composite!D52</f>
        <v>Green Motors Program Rewind vs. Standard Practice:  Motor size 40HP</v>
      </c>
      <c r="C13">
        <f>Composite!E52</f>
        <v>745.77064709480817</v>
      </c>
      <c r="D13">
        <f>Composite!F52</f>
        <v>17</v>
      </c>
      <c r="E13">
        <f>Composite!G52</f>
        <v>190.08733333333336</v>
      </c>
      <c r="F13">
        <f>Composite!H52</f>
        <v>0</v>
      </c>
      <c r="G13" t="str">
        <f>Composite!I52</f>
        <v>A-Irr-Irr-Irrigation-All-All-E</v>
      </c>
      <c r="H13">
        <f>Composite!J52</f>
        <v>0</v>
      </c>
      <c r="Q13" t="s">
        <v>125</v>
      </c>
    </row>
    <row r="14" spans="1:20">
      <c r="A14" t="str">
        <f>CONCATENATE(Composite!A53," ",Composite!C53)</f>
        <v>Oregon River Green Motors Program Rewind vs. Standard Practice:  Motor size 50HP</v>
      </c>
      <c r="B14" t="str">
        <f>Composite!D53</f>
        <v>Green Motors Program Rewind vs. Standard Practice:  Motor size 50HP</v>
      </c>
      <c r="C14">
        <f>Composite!E53</f>
        <v>801.85271513185091</v>
      </c>
      <c r="D14">
        <f>Composite!F53</f>
        <v>17</v>
      </c>
      <c r="E14">
        <f>Composite!G53</f>
        <v>208.77266666666668</v>
      </c>
      <c r="F14">
        <f>Composite!H53</f>
        <v>0</v>
      </c>
      <c r="G14" t="str">
        <f>Composite!I53</f>
        <v>A-Irr-Irr-Irrigation-All-All-E</v>
      </c>
      <c r="H14">
        <f>Composite!J53</f>
        <v>0</v>
      </c>
      <c r="Q14" t="s">
        <v>125</v>
      </c>
    </row>
    <row r="15" spans="1:20">
      <c r="A15" t="str">
        <f>CONCATENATE(Composite!A54," ",Composite!C54)</f>
        <v>Washington River Green Motors Program Rewind vs. Standard Practice:  Motor size 75HP</v>
      </c>
      <c r="B15" t="str">
        <f>Composite!D54</f>
        <v>Green Motors Program Rewind vs. Standard Practice:  Motor size 75HP</v>
      </c>
      <c r="C15">
        <f>Composite!E54</f>
        <v>787.56249081075168</v>
      </c>
      <c r="D15">
        <f>Composite!F54</f>
        <v>20</v>
      </c>
      <c r="E15">
        <f>Composite!G54</f>
        <v>282.43600000000004</v>
      </c>
      <c r="F15">
        <f>Composite!H54</f>
        <v>0</v>
      </c>
      <c r="G15" t="str">
        <f>Composite!I54</f>
        <v>A-Irr-Irr-Irrigation-All-All-E</v>
      </c>
      <c r="H15">
        <f>Composite!J54</f>
        <v>0</v>
      </c>
      <c r="Q15" t="s">
        <v>125</v>
      </c>
    </row>
    <row r="16" spans="1:20">
      <c r="A16" t="str">
        <f>CONCATENATE(Composite!A55," ",Composite!C55)</f>
        <v xml:space="preserve"> </v>
      </c>
      <c r="B16" t="str">
        <f>CONCATENATE(Composite!B55," ",Composite!D55)</f>
        <v xml:space="preserve"> </v>
      </c>
      <c r="C16" t="str">
        <f>CONCATENATE(Composite!C55," ",Composite!E55)</f>
        <v xml:space="preserve"> </v>
      </c>
      <c r="D16" t="str">
        <f>CONCATENATE(Composite!D55," ",Composite!F55)</f>
        <v xml:space="preserve"> </v>
      </c>
      <c r="E16" t="str">
        <f>CONCATENATE(Composite!E55," ",Composite!G55)</f>
        <v xml:space="preserve"> </v>
      </c>
      <c r="F16" t="str">
        <f>CONCATENATE(Composite!F55," ",Composite!H55)</f>
        <v xml:space="preserve"> </v>
      </c>
      <c r="G16" t="str">
        <f>CONCATENATE(Composite!G55," ",Composite!I55)</f>
        <v xml:space="preserve"> </v>
      </c>
      <c r="H16" t="str">
        <f>CONCATENATE(Composite!H55," ",Composite!J55)</f>
        <v xml:space="preserve"> </v>
      </c>
      <c r="Q16" t="s">
        <v>125</v>
      </c>
    </row>
    <row r="19" spans="1:131">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row>
    <row r="20" spans="1:131">
      <c r="A20" s="259" t="s">
        <v>337</v>
      </c>
      <c r="B20" s="260"/>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row>
    <row r="21" spans="1:131">
      <c r="A21" s="7" t="s">
        <v>338</v>
      </c>
      <c r="B21" s="7" t="s">
        <v>339</v>
      </c>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row>
    <row r="22" spans="1:131">
      <c r="A22" s="7" t="s">
        <v>340</v>
      </c>
      <c r="B22" s="7" t="s">
        <v>537</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row>
    <row r="23" spans="1:13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row>
    <row r="24" spans="1:131" ht="13.5" thickBot="1">
      <c r="A24" s="24" t="s">
        <v>341</v>
      </c>
      <c r="B24" s="261"/>
      <c r="C24" s="261"/>
      <c r="D24" s="261"/>
      <c r="E24" s="26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5"/>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row>
    <row r="25" spans="1:131">
      <c r="A25" s="7"/>
      <c r="B25" s="262" t="s">
        <v>342</v>
      </c>
      <c r="C25" s="263"/>
      <c r="D25" s="263" t="s">
        <v>342</v>
      </c>
      <c r="E25" s="264"/>
      <c r="F25" s="7"/>
      <c r="G25" s="262" t="s">
        <v>343</v>
      </c>
      <c r="H25" s="263"/>
      <c r="I25" s="263"/>
      <c r="J25" s="263"/>
      <c r="K25" s="263"/>
      <c r="L25" s="263"/>
      <c r="M25" s="263"/>
      <c r="N25" s="263"/>
      <c r="O25" s="264"/>
      <c r="P25" s="7"/>
      <c r="Q25" s="262" t="s">
        <v>344</v>
      </c>
      <c r="R25" s="263"/>
      <c r="S25" s="263"/>
      <c r="T25" s="263"/>
      <c r="U25" s="264"/>
      <c r="V25" s="7"/>
      <c r="W25" s="262" t="s">
        <v>345</v>
      </c>
      <c r="X25" s="264"/>
      <c r="Y25" s="7"/>
      <c r="Z25" s="262" t="s">
        <v>346</v>
      </c>
      <c r="AA25" s="263"/>
      <c r="AB25" s="264"/>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row>
    <row r="26" spans="1:131">
      <c r="A26" s="7"/>
      <c r="B26" s="265" t="s">
        <v>347</v>
      </c>
      <c r="C26" s="266" t="s">
        <v>348</v>
      </c>
      <c r="D26" s="266" t="s">
        <v>347</v>
      </c>
      <c r="E26" s="267" t="s">
        <v>348</v>
      </c>
      <c r="F26" s="7"/>
      <c r="G26" s="265" t="s">
        <v>349</v>
      </c>
      <c r="H26" s="266" t="s">
        <v>350</v>
      </c>
      <c r="I26" s="266"/>
      <c r="J26" s="266"/>
      <c r="K26" s="266" t="s">
        <v>351</v>
      </c>
      <c r="L26" s="266"/>
      <c r="M26" s="266"/>
      <c r="N26" s="266"/>
      <c r="O26" s="267"/>
      <c r="P26" s="7"/>
      <c r="Q26" s="265"/>
      <c r="R26" s="266" t="s">
        <v>352</v>
      </c>
      <c r="S26" s="266" t="s">
        <v>353</v>
      </c>
      <c r="T26" s="266" t="s">
        <v>354</v>
      </c>
      <c r="U26" s="267" t="s">
        <v>355</v>
      </c>
      <c r="V26" s="7"/>
      <c r="W26" s="265" t="s">
        <v>356</v>
      </c>
      <c r="X26" s="267">
        <v>20</v>
      </c>
      <c r="Y26" s="7"/>
      <c r="Z26" s="265"/>
      <c r="AA26" s="266" t="s">
        <v>348</v>
      </c>
      <c r="AB26" s="267" t="s">
        <v>357</v>
      </c>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row>
    <row r="27" spans="1:131">
      <c r="A27" s="7"/>
      <c r="B27" s="265" t="s">
        <v>358</v>
      </c>
      <c r="C27" s="266" t="s">
        <v>359</v>
      </c>
      <c r="D27" s="266" t="s">
        <v>358</v>
      </c>
      <c r="E27" s="267" t="s">
        <v>359</v>
      </c>
      <c r="F27" s="7"/>
      <c r="G27" s="265" t="s">
        <v>360</v>
      </c>
      <c r="H27" s="266" t="s">
        <v>361</v>
      </c>
      <c r="I27" s="266"/>
      <c r="J27" s="266"/>
      <c r="K27" s="266" t="s">
        <v>362</v>
      </c>
      <c r="L27" s="266"/>
      <c r="M27" s="266"/>
      <c r="N27" s="266"/>
      <c r="O27" s="267"/>
      <c r="P27" s="7"/>
      <c r="Q27" s="265" t="s">
        <v>363</v>
      </c>
      <c r="R27" s="266">
        <v>6.7943795888335753E-2</v>
      </c>
      <c r="S27" s="266">
        <v>4.387844424080023E-2</v>
      </c>
      <c r="T27" s="266">
        <v>5.3289007766645871E-2</v>
      </c>
      <c r="U27" s="267">
        <v>5.447903102274565E-2</v>
      </c>
      <c r="V27" s="7"/>
      <c r="W27" s="265" t="s">
        <v>364</v>
      </c>
      <c r="X27" s="267">
        <v>2016</v>
      </c>
      <c r="Y27" s="7"/>
      <c r="Z27" s="265" t="s">
        <v>365</v>
      </c>
      <c r="AA27" s="266">
        <v>4.03890184699085E-3</v>
      </c>
      <c r="AB27" s="267">
        <v>0.01</v>
      </c>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row>
    <row r="28" spans="1:131">
      <c r="A28" s="7"/>
      <c r="B28" s="265" t="s">
        <v>366</v>
      </c>
      <c r="C28" s="266" t="s">
        <v>367</v>
      </c>
      <c r="D28" s="266" t="s">
        <v>366</v>
      </c>
      <c r="E28" s="267" t="s">
        <v>367</v>
      </c>
      <c r="F28" s="7"/>
      <c r="G28" s="265" t="s">
        <v>368</v>
      </c>
      <c r="H28" s="266" t="s">
        <v>369</v>
      </c>
      <c r="I28" s="266"/>
      <c r="J28" s="266"/>
      <c r="K28" s="266" t="s">
        <v>370</v>
      </c>
      <c r="L28" s="266"/>
      <c r="M28" s="266"/>
      <c r="N28" s="266"/>
      <c r="O28" s="267"/>
      <c r="P28" s="7"/>
      <c r="Q28" s="265" t="s">
        <v>371</v>
      </c>
      <c r="R28" s="266">
        <v>12</v>
      </c>
      <c r="S28" s="266">
        <v>12</v>
      </c>
      <c r="T28" s="266">
        <v>1</v>
      </c>
      <c r="U28" s="267">
        <v>1</v>
      </c>
      <c r="V28" s="7"/>
      <c r="W28" s="265" t="s">
        <v>372</v>
      </c>
      <c r="X28" s="267">
        <v>2016</v>
      </c>
      <c r="Y28" s="7"/>
      <c r="Z28" s="265" t="s">
        <v>373</v>
      </c>
      <c r="AA28" s="266">
        <v>26</v>
      </c>
      <c r="AB28" s="267">
        <v>0</v>
      </c>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row>
    <row r="29" spans="1:131" ht="13.5" thickBot="1">
      <c r="A29" s="7"/>
      <c r="B29" s="268" t="s">
        <v>374</v>
      </c>
      <c r="C29" s="269" t="s">
        <v>367</v>
      </c>
      <c r="D29" s="269" t="s">
        <v>374</v>
      </c>
      <c r="E29" s="270" t="s">
        <v>367</v>
      </c>
      <c r="F29" s="7"/>
      <c r="G29" s="265" t="s">
        <v>375</v>
      </c>
      <c r="H29" s="266" t="s">
        <v>376</v>
      </c>
      <c r="I29" s="266"/>
      <c r="J29" s="266"/>
      <c r="K29" s="266" t="s">
        <v>362</v>
      </c>
      <c r="L29" s="266"/>
      <c r="M29" s="266"/>
      <c r="N29" s="266"/>
      <c r="O29" s="267"/>
      <c r="P29" s="7"/>
      <c r="Q29" s="265"/>
      <c r="R29" s="266" t="s">
        <v>352</v>
      </c>
      <c r="S29" s="266" t="s">
        <v>353</v>
      </c>
      <c r="T29" s="266" t="s">
        <v>354</v>
      </c>
      <c r="U29" s="267" t="s">
        <v>355</v>
      </c>
      <c r="V29" s="7"/>
      <c r="W29" s="265" t="s">
        <v>377</v>
      </c>
      <c r="X29" s="267">
        <v>2012</v>
      </c>
      <c r="Y29" s="7"/>
      <c r="Z29" s="265" t="s">
        <v>378</v>
      </c>
      <c r="AA29" s="266">
        <v>0.9</v>
      </c>
      <c r="AB29" s="267" t="s">
        <v>379</v>
      </c>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row>
    <row r="30" spans="1:131">
      <c r="A30" s="7"/>
      <c r="B30" s="7"/>
      <c r="C30" s="7"/>
      <c r="D30" s="7"/>
      <c r="E30" s="7"/>
      <c r="F30" s="7"/>
      <c r="G30" s="265" t="s">
        <v>380</v>
      </c>
      <c r="H30" s="266" t="s">
        <v>369</v>
      </c>
      <c r="I30" s="266"/>
      <c r="J30" s="266"/>
      <c r="K30" s="266"/>
      <c r="L30" s="266"/>
      <c r="M30" s="266"/>
      <c r="N30" s="266"/>
      <c r="O30" s="267"/>
      <c r="P30" s="7"/>
      <c r="Q30" s="265" t="s">
        <v>381</v>
      </c>
      <c r="R30" s="266">
        <v>0.35</v>
      </c>
      <c r="S30" s="266">
        <v>0.19500000000000001</v>
      </c>
      <c r="T30" s="266">
        <v>0.45499999999999996</v>
      </c>
      <c r="U30" s="267">
        <v>0</v>
      </c>
      <c r="V30" s="7"/>
      <c r="W30" s="265" t="s">
        <v>382</v>
      </c>
      <c r="X30" s="267">
        <v>0.04</v>
      </c>
      <c r="Y30" s="7"/>
      <c r="Z30" s="265" t="s">
        <v>383</v>
      </c>
      <c r="AA30" s="266">
        <v>4.7399348199455904E-2</v>
      </c>
      <c r="AB30" s="267">
        <v>0</v>
      </c>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row>
    <row r="31" spans="1:131">
      <c r="A31" s="7"/>
      <c r="B31" s="7" t="s">
        <v>384</v>
      </c>
      <c r="C31" s="7" t="s">
        <v>348</v>
      </c>
      <c r="D31" s="7"/>
      <c r="E31" s="7"/>
      <c r="F31" s="7"/>
      <c r="G31" s="265" t="s">
        <v>385</v>
      </c>
      <c r="H31" s="266" t="s">
        <v>386</v>
      </c>
      <c r="I31" s="266"/>
      <c r="J31" s="266"/>
      <c r="K31" s="266" t="s">
        <v>387</v>
      </c>
      <c r="L31" s="266"/>
      <c r="M31" s="266"/>
      <c r="N31" s="266"/>
      <c r="O31" s="267"/>
      <c r="P31" s="7"/>
      <c r="Q31" s="265" t="s">
        <v>388</v>
      </c>
      <c r="R31" s="266">
        <v>1</v>
      </c>
      <c r="S31" s="266">
        <v>0</v>
      </c>
      <c r="T31" s="266">
        <v>0</v>
      </c>
      <c r="U31" s="267">
        <v>0</v>
      </c>
      <c r="V31" s="7"/>
      <c r="W31" s="265" t="s">
        <v>389</v>
      </c>
      <c r="X31" s="267">
        <v>0</v>
      </c>
      <c r="Y31" s="7"/>
      <c r="Z31" s="265" t="s">
        <v>390</v>
      </c>
      <c r="AA31" s="266">
        <v>31</v>
      </c>
      <c r="AB31" s="267">
        <v>0</v>
      </c>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row>
    <row r="32" spans="1:131">
      <c r="A32" s="7"/>
      <c r="B32" s="7" t="s">
        <v>391</v>
      </c>
      <c r="C32" s="7" t="s">
        <v>392</v>
      </c>
      <c r="D32" s="7"/>
      <c r="E32" s="7"/>
      <c r="F32" s="7"/>
      <c r="G32" s="265" t="s">
        <v>393</v>
      </c>
      <c r="H32" s="266" t="s">
        <v>387</v>
      </c>
      <c r="I32" s="266"/>
      <c r="J32" s="266"/>
      <c r="K32" s="266" t="s">
        <v>394</v>
      </c>
      <c r="L32" s="266"/>
      <c r="M32" s="266"/>
      <c r="N32" s="266"/>
      <c r="O32" s="267"/>
      <c r="P32" s="7"/>
      <c r="Q32" s="265" t="s">
        <v>395</v>
      </c>
      <c r="R32" s="266">
        <v>1</v>
      </c>
      <c r="S32" s="266">
        <v>0</v>
      </c>
      <c r="T32" s="266">
        <v>0</v>
      </c>
      <c r="U32" s="267">
        <v>0</v>
      </c>
      <c r="V32" s="7"/>
      <c r="W32" s="265" t="s">
        <v>396</v>
      </c>
      <c r="X32" s="267">
        <v>0.2</v>
      </c>
      <c r="Y32" s="7"/>
      <c r="Z32" s="265" t="s">
        <v>397</v>
      </c>
      <c r="AA32" s="266">
        <v>0.7</v>
      </c>
      <c r="AB32" s="267" t="s">
        <v>379</v>
      </c>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row>
    <row r="33" spans="1:131">
      <c r="A33" s="7"/>
      <c r="B33" s="7" t="s">
        <v>398</v>
      </c>
      <c r="C33" s="7" t="s">
        <v>399</v>
      </c>
      <c r="D33" s="7"/>
      <c r="E33" s="7"/>
      <c r="F33" s="7"/>
      <c r="G33" s="265" t="s">
        <v>400</v>
      </c>
      <c r="H33" s="266" t="s">
        <v>394</v>
      </c>
      <c r="I33" s="266"/>
      <c r="J33" s="266"/>
      <c r="K33" s="266" t="s">
        <v>401</v>
      </c>
      <c r="L33" s="266"/>
      <c r="M33" s="266"/>
      <c r="N33" s="266"/>
      <c r="O33" s="267"/>
      <c r="P33" s="7"/>
      <c r="Q33" s="265" t="s">
        <v>402</v>
      </c>
      <c r="R33" s="266"/>
      <c r="S33" s="266">
        <v>0.3</v>
      </c>
      <c r="T33" s="266">
        <v>0.7</v>
      </c>
      <c r="U33" s="267">
        <v>0</v>
      </c>
      <c r="V33" s="7"/>
      <c r="W33" s="265" t="s">
        <v>403</v>
      </c>
      <c r="X33" s="267">
        <v>0</v>
      </c>
      <c r="Y33" s="7"/>
      <c r="Z33" s="265" t="s">
        <v>404</v>
      </c>
      <c r="AA33" s="266">
        <v>0</v>
      </c>
      <c r="AB33" s="267">
        <v>0</v>
      </c>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row>
    <row r="34" spans="1:131" ht="13.5" thickBot="1">
      <c r="A34" s="7"/>
      <c r="B34" s="7" t="s">
        <v>405</v>
      </c>
      <c r="C34" s="7" t="s">
        <v>406</v>
      </c>
      <c r="D34" s="7"/>
      <c r="E34" s="7"/>
      <c r="F34" s="7"/>
      <c r="G34" s="268" t="s">
        <v>407</v>
      </c>
      <c r="H34" s="269" t="s">
        <v>401</v>
      </c>
      <c r="I34" s="269"/>
      <c r="J34" s="269"/>
      <c r="K34" s="269"/>
      <c r="L34" s="269"/>
      <c r="M34" s="269"/>
      <c r="N34" s="269"/>
      <c r="O34" s="270"/>
      <c r="P34" s="7"/>
      <c r="Q34" s="268" t="s">
        <v>408</v>
      </c>
      <c r="R34" s="269"/>
      <c r="S34" s="269">
        <v>20</v>
      </c>
      <c r="T34" s="269"/>
      <c r="U34" s="270"/>
      <c r="V34" s="7"/>
      <c r="W34" s="268" t="s">
        <v>409</v>
      </c>
      <c r="X34" s="270">
        <v>2018</v>
      </c>
      <c r="Y34" s="7"/>
      <c r="Z34" s="268" t="s">
        <v>410</v>
      </c>
      <c r="AA34" s="269">
        <v>0</v>
      </c>
      <c r="AB34" s="270">
        <v>0</v>
      </c>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row>
    <row r="35" spans="1:131">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row>
    <row r="36" spans="1:131">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row>
    <row r="37" spans="1:131">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row>
    <row r="38" spans="1:131">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row>
    <row r="39" spans="1:131">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row>
    <row r="40" spans="1:131">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row>
    <row r="41" spans="1:131">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row>
    <row r="42" spans="1:131" ht="13.5" thickBot="1">
      <c r="A42" s="24" t="s">
        <v>411</v>
      </c>
      <c r="B42" s="25"/>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row>
    <row r="43" spans="1:131" ht="26.25" thickBot="1">
      <c r="A43" s="271" t="s">
        <v>412</v>
      </c>
      <c r="B43" s="272"/>
      <c r="C43" s="273" t="s">
        <v>413</v>
      </c>
      <c r="D43" s="274"/>
      <c r="E43" s="274"/>
      <c r="F43" s="274"/>
      <c r="G43" s="274"/>
      <c r="H43" s="274"/>
      <c r="I43" s="274"/>
      <c r="J43" s="274"/>
      <c r="K43" s="275"/>
      <c r="L43" s="273" t="s">
        <v>414</v>
      </c>
      <c r="M43" s="274"/>
      <c r="N43" s="274"/>
      <c r="O43" s="274"/>
      <c r="P43" s="274"/>
      <c r="Q43" s="275"/>
      <c r="R43" s="273" t="s">
        <v>415</v>
      </c>
      <c r="S43" s="274"/>
      <c r="T43" s="274"/>
      <c r="U43" s="275"/>
      <c r="V43" s="273" t="s">
        <v>416</v>
      </c>
      <c r="W43" s="274"/>
      <c r="X43" s="274"/>
      <c r="Y43" s="275"/>
      <c r="Z43" s="273" t="s">
        <v>417</v>
      </c>
      <c r="AA43" s="274"/>
      <c r="AB43" s="274"/>
      <c r="AC43" s="275"/>
      <c r="AD43" s="273" t="s">
        <v>418</v>
      </c>
      <c r="AE43" s="274"/>
      <c r="AF43" s="274"/>
      <c r="AG43" s="275"/>
      <c r="AH43" s="273" t="s">
        <v>419</v>
      </c>
      <c r="AI43" s="274"/>
      <c r="AJ43" s="274"/>
      <c r="AK43" s="274"/>
      <c r="AL43" s="275"/>
      <c r="AM43" s="273" t="s">
        <v>420</v>
      </c>
      <c r="AN43" s="274"/>
      <c r="AO43" s="274"/>
      <c r="AP43" s="274"/>
      <c r="AQ43" s="274"/>
      <c r="AR43" s="274"/>
      <c r="AS43" s="275"/>
      <c r="AT43" s="273" t="s">
        <v>421</v>
      </c>
      <c r="AU43" s="274"/>
      <c r="AV43" s="274"/>
      <c r="AW43" s="274"/>
      <c r="AX43" s="274"/>
      <c r="AY43" s="274"/>
      <c r="AZ43" s="275"/>
      <c r="BA43" s="273" t="s">
        <v>422</v>
      </c>
      <c r="BB43" s="274"/>
      <c r="BC43" s="274"/>
      <c r="BD43" s="274"/>
      <c r="BE43" s="274"/>
      <c r="BF43" s="275"/>
      <c r="BG43" s="273" t="s">
        <v>423</v>
      </c>
      <c r="BH43" s="275"/>
      <c r="BI43" s="273" t="s">
        <v>424</v>
      </c>
      <c r="BJ43" s="274"/>
      <c r="BK43" s="274"/>
      <c r="BL43" s="274"/>
      <c r="BM43" s="275"/>
      <c r="BN43" s="273" t="s">
        <v>425</v>
      </c>
      <c r="BO43" s="274"/>
      <c r="BP43" s="274"/>
      <c r="BQ43" s="274"/>
      <c r="BR43" s="274"/>
      <c r="BS43" s="274"/>
      <c r="BT43" s="274"/>
      <c r="BU43" s="274"/>
      <c r="BV43" s="274"/>
      <c r="BW43" s="274"/>
      <c r="BX43" s="274"/>
      <c r="BY43" s="274"/>
      <c r="BZ43" s="274"/>
      <c r="CA43" s="274"/>
      <c r="CB43" s="274"/>
      <c r="CC43" s="275"/>
      <c r="CD43" s="273" t="s">
        <v>426</v>
      </c>
      <c r="CE43" s="275"/>
      <c r="CF43" s="273" t="s">
        <v>427</v>
      </c>
      <c r="CG43" s="274"/>
      <c r="CH43" s="274"/>
      <c r="CI43" s="274"/>
      <c r="CJ43" s="274"/>
      <c r="CK43" s="275"/>
      <c r="CL43" s="276"/>
      <c r="CM43" s="273" t="s">
        <v>5</v>
      </c>
      <c r="CN43" s="274"/>
      <c r="CO43" s="274"/>
      <c r="CP43" s="275"/>
      <c r="CQ43" s="273" t="s">
        <v>428</v>
      </c>
      <c r="CR43" s="274"/>
      <c r="CS43" s="274"/>
      <c r="CT43" s="274"/>
      <c r="CU43" s="275"/>
      <c r="CV43" s="273" t="s">
        <v>429</v>
      </c>
      <c r="CW43" s="275"/>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row>
    <row r="44" spans="1:131" ht="216.75">
      <c r="A44" s="27" t="s">
        <v>136</v>
      </c>
      <c r="B44" s="28" t="s">
        <v>137</v>
      </c>
      <c r="C44" s="29" t="s">
        <v>116</v>
      </c>
      <c r="D44" s="29" t="s">
        <v>430</v>
      </c>
      <c r="E44" s="29" t="s">
        <v>431</v>
      </c>
      <c r="F44" s="29" t="s">
        <v>432</v>
      </c>
      <c r="G44" s="29" t="s">
        <v>433</v>
      </c>
      <c r="H44" s="29" t="s">
        <v>434</v>
      </c>
      <c r="I44" s="29" t="s">
        <v>435</v>
      </c>
      <c r="J44" s="29" t="s">
        <v>436</v>
      </c>
      <c r="K44" s="29" t="s">
        <v>437</v>
      </c>
      <c r="L44" s="29" t="s">
        <v>438</v>
      </c>
      <c r="M44" s="29" t="s">
        <v>439</v>
      </c>
      <c r="N44" s="29" t="s">
        <v>440</v>
      </c>
      <c r="O44" s="29" t="s">
        <v>441</v>
      </c>
      <c r="P44" s="29" t="s">
        <v>442</v>
      </c>
      <c r="Q44" s="29" t="s">
        <v>443</v>
      </c>
      <c r="R44" s="29" t="s">
        <v>444</v>
      </c>
      <c r="S44" s="29" t="s">
        <v>445</v>
      </c>
      <c r="T44" s="29" t="s">
        <v>446</v>
      </c>
      <c r="U44" s="29" t="s">
        <v>352</v>
      </c>
      <c r="V44" s="29" t="s">
        <v>444</v>
      </c>
      <c r="W44" s="29" t="s">
        <v>445</v>
      </c>
      <c r="X44" s="29" t="s">
        <v>446</v>
      </c>
      <c r="Y44" s="29" t="s">
        <v>352</v>
      </c>
      <c r="Z44" s="29" t="s">
        <v>444</v>
      </c>
      <c r="AA44" s="29" t="s">
        <v>445</v>
      </c>
      <c r="AB44" s="29" t="s">
        <v>446</v>
      </c>
      <c r="AC44" s="29" t="s">
        <v>352</v>
      </c>
      <c r="AD44" s="29" t="s">
        <v>444</v>
      </c>
      <c r="AE44" s="29" t="s">
        <v>445</v>
      </c>
      <c r="AF44" s="29" t="s">
        <v>446</v>
      </c>
      <c r="AG44" s="29" t="s">
        <v>352</v>
      </c>
      <c r="AH44" s="29" t="s">
        <v>444</v>
      </c>
      <c r="AI44" s="29" t="s">
        <v>445</v>
      </c>
      <c r="AJ44" s="29" t="s">
        <v>446</v>
      </c>
      <c r="AK44" s="29" t="s">
        <v>352</v>
      </c>
      <c r="AL44" s="29" t="s">
        <v>447</v>
      </c>
      <c r="AM44" s="29" t="s">
        <v>448</v>
      </c>
      <c r="AN44" s="29" t="s">
        <v>449</v>
      </c>
      <c r="AO44" s="29" t="s">
        <v>450</v>
      </c>
      <c r="AP44" s="29" t="s">
        <v>451</v>
      </c>
      <c r="AQ44" s="29" t="s">
        <v>452</v>
      </c>
      <c r="AR44" s="29" t="s">
        <v>453</v>
      </c>
      <c r="AS44" s="29" t="s">
        <v>454</v>
      </c>
      <c r="AT44" s="29" t="s">
        <v>455</v>
      </c>
      <c r="AU44" s="29" t="s">
        <v>456</v>
      </c>
      <c r="AV44" s="29" t="s">
        <v>457</v>
      </c>
      <c r="AW44" s="29" t="s">
        <v>458</v>
      </c>
      <c r="AX44" s="29" t="s">
        <v>459</v>
      </c>
      <c r="AY44" s="29" t="s">
        <v>460</v>
      </c>
      <c r="AZ44" s="29" t="s">
        <v>461</v>
      </c>
      <c r="BA44" s="29" t="s">
        <v>462</v>
      </c>
      <c r="BB44" s="29" t="s">
        <v>463</v>
      </c>
      <c r="BC44" s="29" t="s">
        <v>464</v>
      </c>
      <c r="BD44" s="29" t="s">
        <v>465</v>
      </c>
      <c r="BE44" s="29" t="s">
        <v>466</v>
      </c>
      <c r="BF44" s="29" t="s">
        <v>467</v>
      </c>
      <c r="BG44" s="29" t="s">
        <v>468</v>
      </c>
      <c r="BH44" s="29" t="s">
        <v>469</v>
      </c>
      <c r="BI44" s="29" t="s">
        <v>470</v>
      </c>
      <c r="BJ44" s="29" t="s">
        <v>471</v>
      </c>
      <c r="BK44" s="29" t="s">
        <v>472</v>
      </c>
      <c r="BL44" s="29" t="s">
        <v>473</v>
      </c>
      <c r="BM44" s="29" t="s">
        <v>474</v>
      </c>
      <c r="BN44" s="29" t="s">
        <v>475</v>
      </c>
      <c r="BO44" s="29" t="s">
        <v>476</v>
      </c>
      <c r="BP44" s="29" t="s">
        <v>477</v>
      </c>
      <c r="BQ44" s="29" t="s">
        <v>478</v>
      </c>
      <c r="BR44" s="29" t="s">
        <v>479</v>
      </c>
      <c r="BS44" s="29" t="s">
        <v>480</v>
      </c>
      <c r="BT44" s="29" t="s">
        <v>481</v>
      </c>
      <c r="BU44" s="29" t="s">
        <v>482</v>
      </c>
      <c r="BV44" s="29" t="s">
        <v>483</v>
      </c>
      <c r="BW44" s="29" t="s">
        <v>484</v>
      </c>
      <c r="BX44" s="29" t="s">
        <v>485</v>
      </c>
      <c r="BY44" s="29" t="s">
        <v>486</v>
      </c>
      <c r="BZ44" s="29" t="s">
        <v>487</v>
      </c>
      <c r="CA44" s="29" t="s">
        <v>488</v>
      </c>
      <c r="CB44" s="29" t="s">
        <v>489</v>
      </c>
      <c r="CC44" s="29" t="s">
        <v>490</v>
      </c>
      <c r="CD44" s="29" t="s">
        <v>138</v>
      </c>
      <c r="CE44" s="29" t="s">
        <v>21</v>
      </c>
      <c r="CF44" s="29" t="s">
        <v>491</v>
      </c>
      <c r="CG44" s="29" t="s">
        <v>492</v>
      </c>
      <c r="CH44" s="29" t="s">
        <v>493</v>
      </c>
      <c r="CI44" s="29" t="s">
        <v>494</v>
      </c>
      <c r="CJ44" s="29" t="s">
        <v>495</v>
      </c>
      <c r="CK44" s="29" t="s">
        <v>496</v>
      </c>
      <c r="CL44" s="29"/>
      <c r="CM44" s="29" t="s">
        <v>497</v>
      </c>
      <c r="CN44" s="29" t="s">
        <v>498</v>
      </c>
      <c r="CO44" s="29" t="s">
        <v>499</v>
      </c>
      <c r="CP44" s="29" t="s">
        <v>500</v>
      </c>
      <c r="CQ44" s="29" t="s">
        <v>501</v>
      </c>
      <c r="CR44" s="29" t="s">
        <v>502</v>
      </c>
      <c r="CS44" s="29" t="s">
        <v>503</v>
      </c>
      <c r="CT44" s="29" t="s">
        <v>504</v>
      </c>
      <c r="CU44" s="29" t="s">
        <v>505</v>
      </c>
      <c r="CV44" s="29" t="s">
        <v>506</v>
      </c>
      <c r="CW44" s="277" t="s">
        <v>507</v>
      </c>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row>
    <row r="45" spans="1:131">
      <c r="A45" s="7" t="s">
        <v>311</v>
      </c>
      <c r="B45" s="7" t="s">
        <v>508</v>
      </c>
      <c r="C45" s="26">
        <v>20</v>
      </c>
      <c r="D45" s="26">
        <v>1375.738818122496</v>
      </c>
      <c r="E45" s="26">
        <v>0</v>
      </c>
      <c r="F45" s="26">
        <v>446.65133333333335</v>
      </c>
      <c r="G45" s="26">
        <v>0</v>
      </c>
      <c r="H45" s="26">
        <v>0</v>
      </c>
      <c r="I45" s="26" t="s">
        <v>135</v>
      </c>
      <c r="J45" s="26"/>
      <c r="K45" s="26"/>
      <c r="L45" s="26">
        <v>1470.9620152427756</v>
      </c>
      <c r="M45" s="26">
        <v>3.9125029310240079E-3</v>
      </c>
      <c r="N45" s="26">
        <v>3.8842642394046902E-3</v>
      </c>
      <c r="O45" s="26">
        <v>0</v>
      </c>
      <c r="P45" s="26">
        <v>0</v>
      </c>
      <c r="Q45" s="26">
        <v>0</v>
      </c>
      <c r="R45" s="26">
        <v>89.06824245947324</v>
      </c>
      <c r="S45" s="26">
        <v>205.8231611206383</v>
      </c>
      <c r="T45" s="26">
        <v>0</v>
      </c>
      <c r="U45" s="26">
        <v>182.69805233377087</v>
      </c>
      <c r="V45" s="26" t="s">
        <v>509</v>
      </c>
      <c r="W45" s="26" t="s">
        <v>509</v>
      </c>
      <c r="X45" s="26" t="s">
        <v>509</v>
      </c>
      <c r="Y45" s="26" t="s">
        <v>509</v>
      </c>
      <c r="Z45" s="26">
        <v>0</v>
      </c>
      <c r="AA45" s="26">
        <v>0</v>
      </c>
      <c r="AB45" s="26">
        <v>0</v>
      </c>
      <c r="AC45" s="26">
        <v>0</v>
      </c>
      <c r="AD45" s="26">
        <v>0</v>
      </c>
      <c r="AE45" s="26">
        <v>0</v>
      </c>
      <c r="AF45" s="26">
        <v>0</v>
      </c>
      <c r="AG45" s="26">
        <v>0</v>
      </c>
      <c r="AH45" s="26">
        <v>89.06824245947324</v>
      </c>
      <c r="AI45" s="26">
        <v>205.8231611206383</v>
      </c>
      <c r="AJ45" s="26">
        <v>0</v>
      </c>
      <c r="AK45" s="26">
        <v>182.69805233377087</v>
      </c>
      <c r="AL45" s="26">
        <v>477.58945591388243</v>
      </c>
      <c r="AM45" s="26">
        <v>707.50908321967825</v>
      </c>
      <c r="AN45" s="26">
        <v>1.3824769831147299</v>
      </c>
      <c r="AO45" s="26">
        <v>0</v>
      </c>
      <c r="AP45" s="26">
        <v>0</v>
      </c>
      <c r="AQ45" s="26">
        <v>708.89156020279302</v>
      </c>
      <c r="AR45" s="26">
        <v>89.06824245947324</v>
      </c>
      <c r="AS45" s="30">
        <v>7.958971016244587</v>
      </c>
      <c r="AT45" s="26">
        <v>707.50908321967825</v>
      </c>
      <c r="AU45" s="26">
        <v>1.6364409773315205</v>
      </c>
      <c r="AV45" s="26">
        <v>0</v>
      </c>
      <c r="AW45" s="26">
        <v>0</v>
      </c>
      <c r="AX45" s="26">
        <v>709.14552419700976</v>
      </c>
      <c r="AY45" s="26">
        <v>205.8231611206383</v>
      </c>
      <c r="AZ45" s="30">
        <v>3.4454116841659097</v>
      </c>
      <c r="BA45" s="26">
        <v>707.50908321967825</v>
      </c>
      <c r="BB45" s="26">
        <v>3.0189179604462506</v>
      </c>
      <c r="BC45" s="26">
        <v>0</v>
      </c>
      <c r="BD45" s="26">
        <v>0</v>
      </c>
      <c r="BE45" s="26">
        <v>710.52800118012453</v>
      </c>
      <c r="BF45" s="26">
        <v>294.89140358011156</v>
      </c>
      <c r="BG45" s="26">
        <v>14.600301124103417</v>
      </c>
      <c r="BH45" s="30">
        <v>2.4094564729727677</v>
      </c>
      <c r="BI45" s="26">
        <v>4.4554496383654509</v>
      </c>
      <c r="BJ45" s="26">
        <v>10.295866444197998</v>
      </c>
      <c r="BK45" s="26">
        <v>0</v>
      </c>
      <c r="BL45" s="26">
        <v>9.1390819973903596</v>
      </c>
      <c r="BM45" s="26">
        <v>23.890398079953808</v>
      </c>
      <c r="BN45" s="26">
        <v>707.50908321967825</v>
      </c>
      <c r="BO45" s="26">
        <v>0</v>
      </c>
      <c r="BP45" s="26">
        <v>3.0189179604462506</v>
      </c>
      <c r="BQ45" s="26">
        <v>0</v>
      </c>
      <c r="BR45" s="26">
        <v>0</v>
      </c>
      <c r="BS45" s="26">
        <v>0</v>
      </c>
      <c r="BT45" s="26">
        <v>0</v>
      </c>
      <c r="BU45" s="26">
        <v>0</v>
      </c>
      <c r="BV45" s="26">
        <v>0</v>
      </c>
      <c r="BW45" s="26">
        <v>0</v>
      </c>
      <c r="BX45" s="26">
        <v>477.58945591388243</v>
      </c>
      <c r="BY45" s="26"/>
      <c r="BZ45" s="26">
        <v>0</v>
      </c>
      <c r="CA45" s="26">
        <v>0</v>
      </c>
      <c r="CB45" s="26">
        <v>710.52800118012453</v>
      </c>
      <c r="CC45" s="26">
        <v>477.58945591388243</v>
      </c>
      <c r="CD45" s="30">
        <v>1.487738040238989</v>
      </c>
      <c r="CE45" s="26">
        <v>23.739383121493777</v>
      </c>
      <c r="CF45" s="26">
        <v>13.974328047024326</v>
      </c>
      <c r="CG45" s="26">
        <v>0</v>
      </c>
      <c r="CH45" s="26">
        <v>13.974328047024326</v>
      </c>
      <c r="CI45" s="26">
        <v>0.69870695724031839</v>
      </c>
      <c r="CJ45" s="26">
        <v>0</v>
      </c>
      <c r="CK45" s="26">
        <v>0.69870695724031839</v>
      </c>
      <c r="CL45" s="26"/>
      <c r="CM45" s="26">
        <v>0</v>
      </c>
      <c r="CN45" s="26"/>
      <c r="CO45" s="26">
        <v>0</v>
      </c>
      <c r="CP45" s="26">
        <v>0</v>
      </c>
      <c r="CQ45" s="26">
        <v>0</v>
      </c>
      <c r="CR45" s="26">
        <v>0</v>
      </c>
      <c r="CS45" s="26">
        <v>0</v>
      </c>
      <c r="CT45" s="26">
        <v>0</v>
      </c>
      <c r="CU45" s="26">
        <v>0</v>
      </c>
      <c r="CV45" s="26">
        <v>9999</v>
      </c>
      <c r="CW45" s="30">
        <v>9999</v>
      </c>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row>
    <row r="46" spans="1:131">
      <c r="A46" s="7" t="s">
        <v>312</v>
      </c>
      <c r="B46" s="7" t="s">
        <v>510</v>
      </c>
      <c r="C46" s="26">
        <v>17</v>
      </c>
      <c r="D46" s="26">
        <v>801.85271513185091</v>
      </c>
      <c r="E46" s="26">
        <v>0</v>
      </c>
      <c r="F46" s="26">
        <v>208.77266666666668</v>
      </c>
      <c r="G46" s="26">
        <v>0</v>
      </c>
      <c r="H46" s="26">
        <v>0</v>
      </c>
      <c r="I46" s="26" t="s">
        <v>135</v>
      </c>
      <c r="J46" s="26"/>
      <c r="K46" s="26"/>
      <c r="L46" s="26">
        <v>857.35378710031875</v>
      </c>
      <c r="M46" s="26">
        <v>2.2804118462575679E-3</v>
      </c>
      <c r="N46" s="26">
        <v>2.2639528561873286E-3</v>
      </c>
      <c r="O46" s="26">
        <v>0</v>
      </c>
      <c r="P46" s="26">
        <v>0</v>
      </c>
      <c r="Q46" s="26">
        <v>0</v>
      </c>
      <c r="R46" s="26">
        <v>41.632058623454505</v>
      </c>
      <c r="S46" s="26">
        <v>96.205355278431895</v>
      </c>
      <c r="T46" s="26">
        <v>0</v>
      </c>
      <c r="U46" s="26">
        <v>113.96858377197572</v>
      </c>
      <c r="V46" s="26" t="s">
        <v>509</v>
      </c>
      <c r="W46" s="26" t="s">
        <v>509</v>
      </c>
      <c r="X46" s="26" t="s">
        <v>509</v>
      </c>
      <c r="Y46" s="26" t="s">
        <v>509</v>
      </c>
      <c r="Z46" s="26">
        <v>0</v>
      </c>
      <c r="AA46" s="26">
        <v>0</v>
      </c>
      <c r="AB46" s="26">
        <v>0</v>
      </c>
      <c r="AC46" s="26">
        <v>0</v>
      </c>
      <c r="AD46" s="26">
        <v>0</v>
      </c>
      <c r="AE46" s="26">
        <v>0</v>
      </c>
      <c r="AF46" s="26">
        <v>0</v>
      </c>
      <c r="AG46" s="26">
        <v>0</v>
      </c>
      <c r="AH46" s="26">
        <v>41.632058623454505</v>
      </c>
      <c r="AI46" s="26">
        <v>96.205355278431895</v>
      </c>
      <c r="AJ46" s="26">
        <v>0</v>
      </c>
      <c r="AK46" s="26">
        <v>113.96858377197572</v>
      </c>
      <c r="AL46" s="26">
        <v>251.80599767386212</v>
      </c>
      <c r="AM46" s="26">
        <v>412.3733894013244</v>
      </c>
      <c r="AN46" s="26">
        <v>0.80578007098083615</v>
      </c>
      <c r="AO46" s="26">
        <v>0</v>
      </c>
      <c r="AP46" s="26">
        <v>0</v>
      </c>
      <c r="AQ46" s="26">
        <v>413.17916947230526</v>
      </c>
      <c r="AR46" s="26">
        <v>41.632058623454505</v>
      </c>
      <c r="AS46" s="30">
        <v>9.9245433239164882</v>
      </c>
      <c r="AT46" s="26">
        <v>412.3733894013244</v>
      </c>
      <c r="AU46" s="26">
        <v>0.95380360250143204</v>
      </c>
      <c r="AV46" s="26">
        <v>0</v>
      </c>
      <c r="AW46" s="26">
        <v>0</v>
      </c>
      <c r="AX46" s="26">
        <v>413.32719300382581</v>
      </c>
      <c r="AY46" s="26">
        <v>96.205355278431895</v>
      </c>
      <c r="AZ46" s="30">
        <v>4.2963013005627237</v>
      </c>
      <c r="BA46" s="26">
        <v>412.3733894013244</v>
      </c>
      <c r="BB46" s="26">
        <v>1.7595836734822683</v>
      </c>
      <c r="BC46" s="26">
        <v>0</v>
      </c>
      <c r="BD46" s="26">
        <v>0</v>
      </c>
      <c r="BE46" s="26">
        <v>414.13297307480667</v>
      </c>
      <c r="BF46" s="26">
        <v>137.83741390188641</v>
      </c>
      <c r="BG46" s="26">
        <v>11.678778445701758</v>
      </c>
      <c r="BH46" s="30">
        <v>3.0045033590777415</v>
      </c>
      <c r="BI46" s="26">
        <v>3.5730404290375239</v>
      </c>
      <c r="BJ46" s="26">
        <v>8.2567529751242628</v>
      </c>
      <c r="BK46" s="26">
        <v>0</v>
      </c>
      <c r="BL46" s="26">
        <v>9.7812688327644768</v>
      </c>
      <c r="BM46" s="26">
        <v>21.611062236926262</v>
      </c>
      <c r="BN46" s="26">
        <v>412.3733894013244</v>
      </c>
      <c r="BO46" s="26">
        <v>0</v>
      </c>
      <c r="BP46" s="26">
        <v>1.7595836734822683</v>
      </c>
      <c r="BQ46" s="26">
        <v>0</v>
      </c>
      <c r="BR46" s="26">
        <v>0</v>
      </c>
      <c r="BS46" s="26">
        <v>0</v>
      </c>
      <c r="BT46" s="26">
        <v>0</v>
      </c>
      <c r="BU46" s="26">
        <v>0</v>
      </c>
      <c r="BV46" s="26">
        <v>0</v>
      </c>
      <c r="BW46" s="26">
        <v>0</v>
      </c>
      <c r="BX46" s="26">
        <v>251.80599767386212</v>
      </c>
      <c r="BY46" s="26"/>
      <c r="BZ46" s="26">
        <v>0</v>
      </c>
      <c r="CA46" s="26">
        <v>0</v>
      </c>
      <c r="CB46" s="26">
        <v>414.13297307480667</v>
      </c>
      <c r="CC46" s="26">
        <v>251.80599767386212</v>
      </c>
      <c r="CD46" s="30">
        <v>1.6446509491453403</v>
      </c>
      <c r="CE46" s="26">
        <v>21.460047278466234</v>
      </c>
      <c r="CF46" s="26">
        <v>8.144971079570043</v>
      </c>
      <c r="CG46" s="26">
        <v>0</v>
      </c>
      <c r="CH46" s="26">
        <v>8.144971079570043</v>
      </c>
      <c r="CI46" s="26">
        <v>0.40724304887265145</v>
      </c>
      <c r="CJ46" s="26">
        <v>0</v>
      </c>
      <c r="CK46" s="26">
        <v>0.40724304887265145</v>
      </c>
      <c r="CL46" s="26"/>
      <c r="CM46" s="26">
        <v>0</v>
      </c>
      <c r="CN46" s="26"/>
      <c r="CO46" s="26">
        <v>0</v>
      </c>
      <c r="CP46" s="26">
        <v>0</v>
      </c>
      <c r="CQ46" s="26">
        <v>0</v>
      </c>
      <c r="CR46" s="26">
        <v>0</v>
      </c>
      <c r="CS46" s="26">
        <v>0</v>
      </c>
      <c r="CT46" s="26">
        <v>0</v>
      </c>
      <c r="CU46" s="26">
        <v>0</v>
      </c>
      <c r="CV46" s="26">
        <v>9999</v>
      </c>
      <c r="CW46" s="30">
        <v>9999</v>
      </c>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row>
    <row r="47" spans="1:131">
      <c r="A47" s="7" t="s">
        <v>313</v>
      </c>
      <c r="B47" s="7" t="s">
        <v>511</v>
      </c>
      <c r="C47" s="26">
        <v>20</v>
      </c>
      <c r="D47" s="26">
        <v>765.28971916213288</v>
      </c>
      <c r="E47" s="26">
        <v>0</v>
      </c>
      <c r="F47" s="26">
        <v>255.12666666666667</v>
      </c>
      <c r="G47" s="26">
        <v>0</v>
      </c>
      <c r="H47" s="26">
        <v>0</v>
      </c>
      <c r="I47" s="26" t="s">
        <v>135</v>
      </c>
      <c r="J47" s="26"/>
      <c r="K47" s="26"/>
      <c r="L47" s="26">
        <v>818.2600452312563</v>
      </c>
      <c r="M47" s="26">
        <v>2.1764292973797451E-3</v>
      </c>
      <c r="N47" s="26">
        <v>2.1607208067169993E-3</v>
      </c>
      <c r="O47" s="26">
        <v>0</v>
      </c>
      <c r="P47" s="26">
        <v>0</v>
      </c>
      <c r="Q47" s="26">
        <v>0</v>
      </c>
      <c r="R47" s="26">
        <v>50.875665443464193</v>
      </c>
      <c r="S47" s="26">
        <v>117.5659246948135</v>
      </c>
      <c r="T47" s="26">
        <v>0</v>
      </c>
      <c r="U47" s="26">
        <v>104.35689232258837</v>
      </c>
      <c r="V47" s="26" t="s">
        <v>509</v>
      </c>
      <c r="W47" s="26" t="s">
        <v>509</v>
      </c>
      <c r="X47" s="26" t="s">
        <v>509</v>
      </c>
      <c r="Y47" s="26" t="s">
        <v>509</v>
      </c>
      <c r="Z47" s="26">
        <v>0</v>
      </c>
      <c r="AA47" s="26">
        <v>0</v>
      </c>
      <c r="AB47" s="26">
        <v>0</v>
      </c>
      <c r="AC47" s="26">
        <v>0</v>
      </c>
      <c r="AD47" s="26">
        <v>0</v>
      </c>
      <c r="AE47" s="26">
        <v>0</v>
      </c>
      <c r="AF47" s="26">
        <v>0</v>
      </c>
      <c r="AG47" s="26">
        <v>0</v>
      </c>
      <c r="AH47" s="26">
        <v>50.875665443464193</v>
      </c>
      <c r="AI47" s="26">
        <v>117.5659246948135</v>
      </c>
      <c r="AJ47" s="26">
        <v>0</v>
      </c>
      <c r="AK47" s="26">
        <v>104.35689232258837</v>
      </c>
      <c r="AL47" s="26">
        <v>272.79848246086607</v>
      </c>
      <c r="AM47" s="26">
        <v>393.56992800477553</v>
      </c>
      <c r="AN47" s="26">
        <v>0.76903799487162583</v>
      </c>
      <c r="AO47" s="26">
        <v>0</v>
      </c>
      <c r="AP47" s="26">
        <v>0</v>
      </c>
      <c r="AQ47" s="26">
        <v>394.33896599964714</v>
      </c>
      <c r="AR47" s="26">
        <v>50.875665443464193</v>
      </c>
      <c r="AS47" s="30">
        <v>7.7510330835447849</v>
      </c>
      <c r="AT47" s="26">
        <v>393.56992800477553</v>
      </c>
      <c r="AU47" s="26">
        <v>0.91031192801302196</v>
      </c>
      <c r="AV47" s="26">
        <v>0</v>
      </c>
      <c r="AW47" s="26">
        <v>0</v>
      </c>
      <c r="AX47" s="26">
        <v>394.48023993278855</v>
      </c>
      <c r="AY47" s="26">
        <v>117.5659246948135</v>
      </c>
      <c r="AZ47" s="30">
        <v>3.355396055079821</v>
      </c>
      <c r="BA47" s="26">
        <v>393.56992800477553</v>
      </c>
      <c r="BB47" s="26">
        <v>1.6793499228846478</v>
      </c>
      <c r="BC47" s="26">
        <v>0</v>
      </c>
      <c r="BD47" s="26">
        <v>0</v>
      </c>
      <c r="BE47" s="26">
        <v>395.24927792766016</v>
      </c>
      <c r="BF47" s="26">
        <v>168.44159013827769</v>
      </c>
      <c r="BG47" s="26">
        <v>14.996036523210604</v>
      </c>
      <c r="BH47" s="30">
        <v>2.3465064513057059</v>
      </c>
      <c r="BI47" s="26">
        <v>4.5749765423360484</v>
      </c>
      <c r="BJ47" s="26">
        <v>10.572074939334582</v>
      </c>
      <c r="BK47" s="26">
        <v>0</v>
      </c>
      <c r="BL47" s="26">
        <v>9.3842572916805835</v>
      </c>
      <c r="BM47" s="26">
        <v>24.531308773351213</v>
      </c>
      <c r="BN47" s="26">
        <v>393.56992800477553</v>
      </c>
      <c r="BO47" s="26">
        <v>0</v>
      </c>
      <c r="BP47" s="26">
        <v>1.6793499228846478</v>
      </c>
      <c r="BQ47" s="26">
        <v>0</v>
      </c>
      <c r="BR47" s="26">
        <v>0</v>
      </c>
      <c r="BS47" s="26">
        <v>0</v>
      </c>
      <c r="BT47" s="26">
        <v>0</v>
      </c>
      <c r="BU47" s="26">
        <v>0</v>
      </c>
      <c r="BV47" s="26">
        <v>0</v>
      </c>
      <c r="BW47" s="26">
        <v>0</v>
      </c>
      <c r="BX47" s="26">
        <v>272.79848246086607</v>
      </c>
      <c r="BY47" s="26"/>
      <c r="BZ47" s="26">
        <v>0</v>
      </c>
      <c r="CA47" s="26">
        <v>0</v>
      </c>
      <c r="CB47" s="26">
        <v>395.24927792766016</v>
      </c>
      <c r="CC47" s="26">
        <v>272.79848246086607</v>
      </c>
      <c r="CD47" s="30">
        <v>1.4488690492783811</v>
      </c>
      <c r="CE47" s="26">
        <v>24.380293814891186</v>
      </c>
      <c r="CF47" s="26">
        <v>7.7735755113617184</v>
      </c>
      <c r="CG47" s="26">
        <v>0</v>
      </c>
      <c r="CH47" s="26">
        <v>7.7735755113617184</v>
      </c>
      <c r="CI47" s="26">
        <v>0.3886735214848468</v>
      </c>
      <c r="CJ47" s="26">
        <v>0</v>
      </c>
      <c r="CK47" s="26">
        <v>0.3886735214848468</v>
      </c>
      <c r="CL47" s="26"/>
      <c r="CM47" s="26">
        <v>0</v>
      </c>
      <c r="CN47" s="26"/>
      <c r="CO47" s="26">
        <v>0</v>
      </c>
      <c r="CP47" s="26">
        <v>0</v>
      </c>
      <c r="CQ47" s="26">
        <v>0</v>
      </c>
      <c r="CR47" s="26">
        <v>0</v>
      </c>
      <c r="CS47" s="26">
        <v>0</v>
      </c>
      <c r="CT47" s="26">
        <v>0</v>
      </c>
      <c r="CU47" s="26">
        <v>0</v>
      </c>
      <c r="CV47" s="26">
        <v>9999</v>
      </c>
      <c r="CW47" s="30">
        <v>9999</v>
      </c>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row>
    <row r="48" spans="1:131">
      <c r="A48" s="7" t="s">
        <v>314</v>
      </c>
      <c r="B48" s="7" t="s">
        <v>512</v>
      </c>
      <c r="C48" s="26">
        <v>20</v>
      </c>
      <c r="D48" s="26">
        <v>1039.5442662823673</v>
      </c>
      <c r="E48" s="26">
        <v>0</v>
      </c>
      <c r="F48" s="26">
        <v>333.10200000000003</v>
      </c>
      <c r="G48" s="26">
        <v>0</v>
      </c>
      <c r="H48" s="26">
        <v>0</v>
      </c>
      <c r="I48" s="26" t="s">
        <v>135</v>
      </c>
      <c r="J48" s="26"/>
      <c r="K48" s="26"/>
      <c r="L48" s="26">
        <v>1111.4974068636257</v>
      </c>
      <c r="M48" s="26">
        <v>2.9563896396480236E-3</v>
      </c>
      <c r="N48" s="26">
        <v>2.9350517450029922E-3</v>
      </c>
      <c r="O48" s="26">
        <v>0</v>
      </c>
      <c r="P48" s="26">
        <v>0</v>
      </c>
      <c r="Q48" s="26">
        <v>0</v>
      </c>
      <c r="R48" s="26">
        <v>66.424988543790576</v>
      </c>
      <c r="S48" s="26">
        <v>153.49804534097481</v>
      </c>
      <c r="T48" s="26">
        <v>0</v>
      </c>
      <c r="U48" s="26">
        <v>136.25188617329493</v>
      </c>
      <c r="V48" s="26" t="s">
        <v>509</v>
      </c>
      <c r="W48" s="26" t="s">
        <v>509</v>
      </c>
      <c r="X48" s="26" t="s">
        <v>509</v>
      </c>
      <c r="Y48" s="26" t="s">
        <v>509</v>
      </c>
      <c r="Z48" s="26">
        <v>0</v>
      </c>
      <c r="AA48" s="26">
        <v>0</v>
      </c>
      <c r="AB48" s="26">
        <v>0</v>
      </c>
      <c r="AC48" s="26">
        <v>0</v>
      </c>
      <c r="AD48" s="26">
        <v>0</v>
      </c>
      <c r="AE48" s="26">
        <v>0</v>
      </c>
      <c r="AF48" s="26">
        <v>0</v>
      </c>
      <c r="AG48" s="26">
        <v>0</v>
      </c>
      <c r="AH48" s="26">
        <v>66.424988543790576</v>
      </c>
      <c r="AI48" s="26">
        <v>153.49804534097481</v>
      </c>
      <c r="AJ48" s="26">
        <v>0</v>
      </c>
      <c r="AK48" s="26">
        <v>136.25188617329493</v>
      </c>
      <c r="AL48" s="26">
        <v>356.17492005806037</v>
      </c>
      <c r="AM48" s="26">
        <v>534.61238508007511</v>
      </c>
      <c r="AN48" s="26">
        <v>1.0446358001481495</v>
      </c>
      <c r="AO48" s="26">
        <v>0</v>
      </c>
      <c r="AP48" s="26">
        <v>0</v>
      </c>
      <c r="AQ48" s="26">
        <v>535.65702088022329</v>
      </c>
      <c r="AR48" s="26">
        <v>66.424988543790576</v>
      </c>
      <c r="AS48" s="30">
        <v>8.064089021665275</v>
      </c>
      <c r="AT48" s="26">
        <v>534.61238508007511</v>
      </c>
      <c r="AU48" s="26">
        <v>1.2365376426726835</v>
      </c>
      <c r="AV48" s="26">
        <v>0</v>
      </c>
      <c r="AW48" s="26">
        <v>0</v>
      </c>
      <c r="AX48" s="26">
        <v>535.84892272274783</v>
      </c>
      <c r="AY48" s="26">
        <v>153.49804534097481</v>
      </c>
      <c r="AZ48" s="30">
        <v>3.490916913843646</v>
      </c>
      <c r="BA48" s="26">
        <v>534.61238508007511</v>
      </c>
      <c r="BB48" s="26">
        <v>2.2811734428208332</v>
      </c>
      <c r="BC48" s="26">
        <v>0</v>
      </c>
      <c r="BD48" s="26">
        <v>0</v>
      </c>
      <c r="BE48" s="26">
        <v>536.893558522896</v>
      </c>
      <c r="BF48" s="26">
        <v>219.9230338847654</v>
      </c>
      <c r="BG48" s="26">
        <v>14.408012953702128</v>
      </c>
      <c r="BH48" s="30">
        <v>2.4412793377714852</v>
      </c>
      <c r="BI48" s="26">
        <v>4.3973714130409283</v>
      </c>
      <c r="BJ48" s="26">
        <v>10.161656499121232</v>
      </c>
      <c r="BK48" s="26">
        <v>0</v>
      </c>
      <c r="BL48" s="26">
        <v>9.0199511112653763</v>
      </c>
      <c r="BM48" s="26">
        <v>23.578979023427543</v>
      </c>
      <c r="BN48" s="26">
        <v>534.61238508007511</v>
      </c>
      <c r="BO48" s="26">
        <v>0</v>
      </c>
      <c r="BP48" s="26">
        <v>2.2811734428208332</v>
      </c>
      <c r="BQ48" s="26">
        <v>0</v>
      </c>
      <c r="BR48" s="26">
        <v>0</v>
      </c>
      <c r="BS48" s="26">
        <v>0</v>
      </c>
      <c r="BT48" s="26">
        <v>0</v>
      </c>
      <c r="BU48" s="26">
        <v>0</v>
      </c>
      <c r="BV48" s="26">
        <v>0</v>
      </c>
      <c r="BW48" s="26">
        <v>0</v>
      </c>
      <c r="BX48" s="26">
        <v>356.17492005806037</v>
      </c>
      <c r="BY48" s="26"/>
      <c r="BZ48" s="26">
        <v>0</v>
      </c>
      <c r="CA48" s="26">
        <v>0</v>
      </c>
      <c r="CB48" s="26">
        <v>536.893558522896</v>
      </c>
      <c r="CC48" s="26">
        <v>356.17492005806037</v>
      </c>
      <c r="CD48" s="30">
        <v>1.5073873209134898</v>
      </c>
      <c r="CE48" s="26">
        <v>23.427964064967508</v>
      </c>
      <c r="CF48" s="26">
        <v>10.559368104665552</v>
      </c>
      <c r="CG48" s="26">
        <v>0</v>
      </c>
      <c r="CH48" s="26">
        <v>10.559368104665552</v>
      </c>
      <c r="CI48" s="26">
        <v>0.52796126826022205</v>
      </c>
      <c r="CJ48" s="26">
        <v>0</v>
      </c>
      <c r="CK48" s="26">
        <v>0.52796126826022205</v>
      </c>
      <c r="CL48" s="26"/>
      <c r="CM48" s="26">
        <v>0</v>
      </c>
      <c r="CN48" s="26"/>
      <c r="CO48" s="26">
        <v>0</v>
      </c>
      <c r="CP48" s="26">
        <v>0</v>
      </c>
      <c r="CQ48" s="26">
        <v>0</v>
      </c>
      <c r="CR48" s="26">
        <v>0</v>
      </c>
      <c r="CS48" s="26">
        <v>0</v>
      </c>
      <c r="CT48" s="26">
        <v>0</v>
      </c>
      <c r="CU48" s="26">
        <v>0</v>
      </c>
      <c r="CV48" s="26">
        <v>9999</v>
      </c>
      <c r="CW48" s="30">
        <v>9999</v>
      </c>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row>
    <row r="49" spans="1:131">
      <c r="A49" s="7" t="s">
        <v>315</v>
      </c>
      <c r="B49" s="7" t="s">
        <v>511</v>
      </c>
      <c r="C49" s="26">
        <v>20</v>
      </c>
      <c r="D49" s="26">
        <v>765.28971916213288</v>
      </c>
      <c r="E49" s="26">
        <v>0</v>
      </c>
      <c r="F49" s="26">
        <v>255.12666666666667</v>
      </c>
      <c r="G49" s="26">
        <v>0</v>
      </c>
      <c r="H49" s="26">
        <v>0</v>
      </c>
      <c r="I49" s="26" t="s">
        <v>135</v>
      </c>
      <c r="J49" s="26"/>
      <c r="K49" s="26"/>
      <c r="L49" s="26">
        <v>818.2600452312563</v>
      </c>
      <c r="M49" s="26">
        <v>2.1764292973797451E-3</v>
      </c>
      <c r="N49" s="26">
        <v>2.1607208067169993E-3</v>
      </c>
      <c r="O49" s="26">
        <v>0</v>
      </c>
      <c r="P49" s="26">
        <v>0</v>
      </c>
      <c r="Q49" s="26">
        <v>0</v>
      </c>
      <c r="R49" s="26">
        <v>50.875665443464193</v>
      </c>
      <c r="S49" s="26">
        <v>117.5659246948135</v>
      </c>
      <c r="T49" s="26">
        <v>0</v>
      </c>
      <c r="U49" s="26">
        <v>104.35689232258837</v>
      </c>
      <c r="V49" s="26" t="s">
        <v>509</v>
      </c>
      <c r="W49" s="26" t="s">
        <v>509</v>
      </c>
      <c r="X49" s="26" t="s">
        <v>509</v>
      </c>
      <c r="Y49" s="26" t="s">
        <v>509</v>
      </c>
      <c r="Z49" s="26">
        <v>0</v>
      </c>
      <c r="AA49" s="26">
        <v>0</v>
      </c>
      <c r="AB49" s="26">
        <v>0</v>
      </c>
      <c r="AC49" s="26">
        <v>0</v>
      </c>
      <c r="AD49" s="26">
        <v>0</v>
      </c>
      <c r="AE49" s="26">
        <v>0</v>
      </c>
      <c r="AF49" s="26">
        <v>0</v>
      </c>
      <c r="AG49" s="26">
        <v>0</v>
      </c>
      <c r="AH49" s="26">
        <v>50.875665443464193</v>
      </c>
      <c r="AI49" s="26">
        <v>117.5659246948135</v>
      </c>
      <c r="AJ49" s="26">
        <v>0</v>
      </c>
      <c r="AK49" s="26">
        <v>104.35689232258837</v>
      </c>
      <c r="AL49" s="26">
        <v>272.79848246086607</v>
      </c>
      <c r="AM49" s="26">
        <v>393.56992800477553</v>
      </c>
      <c r="AN49" s="26">
        <v>0.76903799487162583</v>
      </c>
      <c r="AO49" s="26">
        <v>0</v>
      </c>
      <c r="AP49" s="26">
        <v>0</v>
      </c>
      <c r="AQ49" s="26">
        <v>394.33896599964714</v>
      </c>
      <c r="AR49" s="26">
        <v>50.875665443464193</v>
      </c>
      <c r="AS49" s="30">
        <v>7.7510330835447849</v>
      </c>
      <c r="AT49" s="26">
        <v>393.56992800477553</v>
      </c>
      <c r="AU49" s="26">
        <v>0.91031192801302196</v>
      </c>
      <c r="AV49" s="26">
        <v>0</v>
      </c>
      <c r="AW49" s="26">
        <v>0</v>
      </c>
      <c r="AX49" s="26">
        <v>394.48023993278855</v>
      </c>
      <c r="AY49" s="26">
        <v>117.5659246948135</v>
      </c>
      <c r="AZ49" s="30">
        <v>3.355396055079821</v>
      </c>
      <c r="BA49" s="26">
        <v>393.56992800477553</v>
      </c>
      <c r="BB49" s="26">
        <v>1.6793499228846478</v>
      </c>
      <c r="BC49" s="26">
        <v>0</v>
      </c>
      <c r="BD49" s="26">
        <v>0</v>
      </c>
      <c r="BE49" s="26">
        <v>395.24927792766016</v>
      </c>
      <c r="BF49" s="26">
        <v>168.44159013827769</v>
      </c>
      <c r="BG49" s="26">
        <v>14.996036523210604</v>
      </c>
      <c r="BH49" s="30">
        <v>2.3465064513057059</v>
      </c>
      <c r="BI49" s="26">
        <v>4.5749765423360484</v>
      </c>
      <c r="BJ49" s="26">
        <v>10.572074939334582</v>
      </c>
      <c r="BK49" s="26">
        <v>0</v>
      </c>
      <c r="BL49" s="26">
        <v>9.3842572916805835</v>
      </c>
      <c r="BM49" s="26">
        <v>24.531308773351213</v>
      </c>
      <c r="BN49" s="26">
        <v>393.56992800477553</v>
      </c>
      <c r="BO49" s="26">
        <v>0</v>
      </c>
      <c r="BP49" s="26">
        <v>1.6793499228846478</v>
      </c>
      <c r="BQ49" s="26">
        <v>0</v>
      </c>
      <c r="BR49" s="26">
        <v>0</v>
      </c>
      <c r="BS49" s="26">
        <v>0</v>
      </c>
      <c r="BT49" s="26">
        <v>0</v>
      </c>
      <c r="BU49" s="26">
        <v>0</v>
      </c>
      <c r="BV49" s="26">
        <v>0</v>
      </c>
      <c r="BW49" s="26">
        <v>0</v>
      </c>
      <c r="BX49" s="26">
        <v>272.79848246086607</v>
      </c>
      <c r="BY49" s="26"/>
      <c r="BZ49" s="26">
        <v>0</v>
      </c>
      <c r="CA49" s="26">
        <v>0</v>
      </c>
      <c r="CB49" s="26">
        <v>395.24927792766016</v>
      </c>
      <c r="CC49" s="26">
        <v>272.79848246086607</v>
      </c>
      <c r="CD49" s="30">
        <v>1.4488690492783811</v>
      </c>
      <c r="CE49" s="26">
        <v>24.380293814891186</v>
      </c>
      <c r="CF49" s="26">
        <v>7.7735755113617184</v>
      </c>
      <c r="CG49" s="26">
        <v>0</v>
      </c>
      <c r="CH49" s="26">
        <v>7.7735755113617184</v>
      </c>
      <c r="CI49" s="26">
        <v>0.3886735214848468</v>
      </c>
      <c r="CJ49" s="26">
        <v>0</v>
      </c>
      <c r="CK49" s="26">
        <v>0.3886735214848468</v>
      </c>
      <c r="CL49" s="26"/>
      <c r="CM49" s="26">
        <v>0</v>
      </c>
      <c r="CN49" s="26"/>
      <c r="CO49" s="26">
        <v>0</v>
      </c>
      <c r="CP49" s="26">
        <v>0</v>
      </c>
      <c r="CQ49" s="26">
        <v>0</v>
      </c>
      <c r="CR49" s="26">
        <v>0</v>
      </c>
      <c r="CS49" s="26">
        <v>0</v>
      </c>
      <c r="CT49" s="26">
        <v>0</v>
      </c>
      <c r="CU49" s="26">
        <v>0</v>
      </c>
      <c r="CV49" s="26">
        <v>9999</v>
      </c>
      <c r="CW49" s="30">
        <v>9999</v>
      </c>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row>
    <row r="50" spans="1:131">
      <c r="A50" s="7" t="s">
        <v>316</v>
      </c>
      <c r="B50" s="7" t="s">
        <v>513</v>
      </c>
      <c r="C50" s="26">
        <v>17</v>
      </c>
      <c r="D50" s="26">
        <v>745.77064709480817</v>
      </c>
      <c r="E50" s="26">
        <v>0</v>
      </c>
      <c r="F50" s="26">
        <v>190.08733333333336</v>
      </c>
      <c r="G50" s="26">
        <v>0</v>
      </c>
      <c r="H50" s="26">
        <v>0</v>
      </c>
      <c r="I50" s="26" t="s">
        <v>135</v>
      </c>
      <c r="J50" s="26"/>
      <c r="K50" s="26"/>
      <c r="L50" s="26">
        <v>797.38994023341627</v>
      </c>
      <c r="M50" s="26">
        <v>2.1209184506490418E-3</v>
      </c>
      <c r="N50" s="26">
        <v>2.1056106123845154E-3</v>
      </c>
      <c r="O50" s="26">
        <v>0</v>
      </c>
      <c r="P50" s="26">
        <v>0</v>
      </c>
      <c r="Q50" s="26">
        <v>0</v>
      </c>
      <c r="R50" s="26">
        <v>37.905953548721925</v>
      </c>
      <c r="S50" s="26">
        <v>87.594893188107548</v>
      </c>
      <c r="T50" s="26">
        <v>0</v>
      </c>
      <c r="U50" s="26">
        <v>103.76829744470768</v>
      </c>
      <c r="V50" s="26" t="s">
        <v>509</v>
      </c>
      <c r="W50" s="26" t="s">
        <v>509</v>
      </c>
      <c r="X50" s="26" t="s">
        <v>509</v>
      </c>
      <c r="Y50" s="26" t="s">
        <v>509</v>
      </c>
      <c r="Z50" s="26">
        <v>0</v>
      </c>
      <c r="AA50" s="26">
        <v>0</v>
      </c>
      <c r="AB50" s="26">
        <v>0</v>
      </c>
      <c r="AC50" s="26">
        <v>0</v>
      </c>
      <c r="AD50" s="26">
        <v>0</v>
      </c>
      <c r="AE50" s="26">
        <v>0</v>
      </c>
      <c r="AF50" s="26">
        <v>0</v>
      </c>
      <c r="AG50" s="26">
        <v>0</v>
      </c>
      <c r="AH50" s="26">
        <v>37.905953548721925</v>
      </c>
      <c r="AI50" s="26">
        <v>87.594893188107548</v>
      </c>
      <c r="AJ50" s="26">
        <v>0</v>
      </c>
      <c r="AK50" s="26">
        <v>103.76829744470768</v>
      </c>
      <c r="AL50" s="26">
        <v>229.26914418153717</v>
      </c>
      <c r="AM50" s="26">
        <v>383.53174299339474</v>
      </c>
      <c r="AN50" s="26">
        <v>0.74942332127997657</v>
      </c>
      <c r="AO50" s="26">
        <v>0</v>
      </c>
      <c r="AP50" s="26">
        <v>0</v>
      </c>
      <c r="AQ50" s="26">
        <v>384.28116631467469</v>
      </c>
      <c r="AR50" s="26">
        <v>37.905953548721925</v>
      </c>
      <c r="AS50" s="30">
        <v>10.13775226154762</v>
      </c>
      <c r="AT50" s="26">
        <v>383.53174299339474</v>
      </c>
      <c r="AU50" s="26">
        <v>0.88709399670971745</v>
      </c>
      <c r="AV50" s="26">
        <v>0</v>
      </c>
      <c r="AW50" s="26">
        <v>0</v>
      </c>
      <c r="AX50" s="26">
        <v>384.41883699010447</v>
      </c>
      <c r="AY50" s="26">
        <v>87.594893188107548</v>
      </c>
      <c r="AZ50" s="30">
        <v>4.3885987298891491</v>
      </c>
      <c r="BA50" s="26">
        <v>383.53174299339474</v>
      </c>
      <c r="BB50" s="26">
        <v>1.6365173179896941</v>
      </c>
      <c r="BC50" s="26">
        <v>0</v>
      </c>
      <c r="BD50" s="26">
        <v>0</v>
      </c>
      <c r="BE50" s="26">
        <v>385.16826031138442</v>
      </c>
      <c r="BF50" s="26">
        <v>125.50084673682947</v>
      </c>
      <c r="BG50" s="26">
        <v>11.429983878718314</v>
      </c>
      <c r="BH50" s="30">
        <v>3.0690490966891057</v>
      </c>
      <c r="BI50" s="26">
        <v>3.4978951567588044</v>
      </c>
      <c r="BJ50" s="26">
        <v>8.0831036804195371</v>
      </c>
      <c r="BK50" s="26">
        <v>0</v>
      </c>
      <c r="BL50" s="26">
        <v>9.5755571638742829</v>
      </c>
      <c r="BM50" s="26">
        <v>21.156556001052625</v>
      </c>
      <c r="BN50" s="26">
        <v>383.53174299339474</v>
      </c>
      <c r="BO50" s="26">
        <v>0</v>
      </c>
      <c r="BP50" s="26">
        <v>1.6365173179896941</v>
      </c>
      <c r="BQ50" s="26">
        <v>0</v>
      </c>
      <c r="BR50" s="26">
        <v>0</v>
      </c>
      <c r="BS50" s="26">
        <v>0</v>
      </c>
      <c r="BT50" s="26">
        <v>0</v>
      </c>
      <c r="BU50" s="26">
        <v>0</v>
      </c>
      <c r="BV50" s="26">
        <v>0</v>
      </c>
      <c r="BW50" s="26">
        <v>0</v>
      </c>
      <c r="BX50" s="26">
        <v>229.26914418153717</v>
      </c>
      <c r="BY50" s="26"/>
      <c r="BZ50" s="26">
        <v>0</v>
      </c>
      <c r="CA50" s="26">
        <v>0</v>
      </c>
      <c r="CB50" s="26">
        <v>385.16826031138442</v>
      </c>
      <c r="CC50" s="26">
        <v>229.26914418153717</v>
      </c>
      <c r="CD50" s="30">
        <v>1.6799829810783655</v>
      </c>
      <c r="CE50" s="26">
        <v>21.005541042592597</v>
      </c>
      <c r="CF50" s="26">
        <v>7.5753068337252643</v>
      </c>
      <c r="CG50" s="26">
        <v>0</v>
      </c>
      <c r="CH50" s="26">
        <v>7.5753068337252643</v>
      </c>
      <c r="CI50" s="26">
        <v>0.37876022161087264</v>
      </c>
      <c r="CJ50" s="26">
        <v>0</v>
      </c>
      <c r="CK50" s="26">
        <v>0.37876022161087264</v>
      </c>
      <c r="CL50" s="26"/>
      <c r="CM50" s="26">
        <v>0</v>
      </c>
      <c r="CN50" s="26"/>
      <c r="CO50" s="26">
        <v>0</v>
      </c>
      <c r="CP50" s="26">
        <v>0</v>
      </c>
      <c r="CQ50" s="26">
        <v>0</v>
      </c>
      <c r="CR50" s="26">
        <v>0</v>
      </c>
      <c r="CS50" s="26">
        <v>0</v>
      </c>
      <c r="CT50" s="26">
        <v>0</v>
      </c>
      <c r="CU50" s="26">
        <v>0</v>
      </c>
      <c r="CV50" s="26">
        <v>9999</v>
      </c>
      <c r="CW50" s="30">
        <v>9999</v>
      </c>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row>
    <row r="51" spans="1:131">
      <c r="A51" s="7" t="s">
        <v>317</v>
      </c>
      <c r="B51" s="7" t="s">
        <v>510</v>
      </c>
      <c r="C51" s="26">
        <v>17</v>
      </c>
      <c r="D51" s="26">
        <v>801.85271513185091</v>
      </c>
      <c r="E51" s="26">
        <v>0</v>
      </c>
      <c r="F51" s="26">
        <v>208.77266666666668</v>
      </c>
      <c r="G51" s="26">
        <v>0</v>
      </c>
      <c r="H51" s="26">
        <v>0</v>
      </c>
      <c r="I51" s="26" t="s">
        <v>135</v>
      </c>
      <c r="J51" s="26"/>
      <c r="K51" s="26"/>
      <c r="L51" s="26">
        <v>857.35378710031875</v>
      </c>
      <c r="M51" s="26">
        <v>2.2804118462575679E-3</v>
      </c>
      <c r="N51" s="26">
        <v>2.2639528561873286E-3</v>
      </c>
      <c r="O51" s="26">
        <v>0</v>
      </c>
      <c r="P51" s="26">
        <v>0</v>
      </c>
      <c r="Q51" s="26">
        <v>0</v>
      </c>
      <c r="R51" s="26">
        <v>41.632058623454505</v>
      </c>
      <c r="S51" s="26">
        <v>96.205355278431895</v>
      </c>
      <c r="T51" s="26">
        <v>0</v>
      </c>
      <c r="U51" s="26">
        <v>113.96858377197572</v>
      </c>
      <c r="V51" s="26" t="s">
        <v>509</v>
      </c>
      <c r="W51" s="26" t="s">
        <v>509</v>
      </c>
      <c r="X51" s="26" t="s">
        <v>509</v>
      </c>
      <c r="Y51" s="26" t="s">
        <v>509</v>
      </c>
      <c r="Z51" s="26">
        <v>0</v>
      </c>
      <c r="AA51" s="26">
        <v>0</v>
      </c>
      <c r="AB51" s="26">
        <v>0</v>
      </c>
      <c r="AC51" s="26">
        <v>0</v>
      </c>
      <c r="AD51" s="26">
        <v>0</v>
      </c>
      <c r="AE51" s="26">
        <v>0</v>
      </c>
      <c r="AF51" s="26">
        <v>0</v>
      </c>
      <c r="AG51" s="26">
        <v>0</v>
      </c>
      <c r="AH51" s="26">
        <v>41.632058623454505</v>
      </c>
      <c r="AI51" s="26">
        <v>96.205355278431895</v>
      </c>
      <c r="AJ51" s="26">
        <v>0</v>
      </c>
      <c r="AK51" s="26">
        <v>113.96858377197572</v>
      </c>
      <c r="AL51" s="26">
        <v>251.80599767386212</v>
      </c>
      <c r="AM51" s="26">
        <v>412.3733894013244</v>
      </c>
      <c r="AN51" s="26">
        <v>0.80578007098083615</v>
      </c>
      <c r="AO51" s="26">
        <v>0</v>
      </c>
      <c r="AP51" s="26">
        <v>0</v>
      </c>
      <c r="AQ51" s="26">
        <v>413.17916947230526</v>
      </c>
      <c r="AR51" s="26">
        <v>41.632058623454505</v>
      </c>
      <c r="AS51" s="30">
        <v>9.9245433239164882</v>
      </c>
      <c r="AT51" s="26">
        <v>412.3733894013244</v>
      </c>
      <c r="AU51" s="26">
        <v>0.95380360250143204</v>
      </c>
      <c r="AV51" s="26">
        <v>0</v>
      </c>
      <c r="AW51" s="26">
        <v>0</v>
      </c>
      <c r="AX51" s="26">
        <v>413.32719300382581</v>
      </c>
      <c r="AY51" s="26">
        <v>96.205355278431895</v>
      </c>
      <c r="AZ51" s="30">
        <v>4.2963013005627237</v>
      </c>
      <c r="BA51" s="26">
        <v>412.3733894013244</v>
      </c>
      <c r="BB51" s="26">
        <v>1.7595836734822683</v>
      </c>
      <c r="BC51" s="26">
        <v>0</v>
      </c>
      <c r="BD51" s="26">
        <v>0</v>
      </c>
      <c r="BE51" s="26">
        <v>414.13297307480667</v>
      </c>
      <c r="BF51" s="26">
        <v>137.83741390188641</v>
      </c>
      <c r="BG51" s="26">
        <v>11.678778445701758</v>
      </c>
      <c r="BH51" s="30">
        <v>3.0045033590777415</v>
      </c>
      <c r="BI51" s="26">
        <v>3.5730404290375239</v>
      </c>
      <c r="BJ51" s="26">
        <v>8.2567529751242628</v>
      </c>
      <c r="BK51" s="26">
        <v>0</v>
      </c>
      <c r="BL51" s="26">
        <v>9.7812688327644768</v>
      </c>
      <c r="BM51" s="26">
        <v>21.611062236926262</v>
      </c>
      <c r="BN51" s="26">
        <v>412.3733894013244</v>
      </c>
      <c r="BO51" s="26">
        <v>0</v>
      </c>
      <c r="BP51" s="26">
        <v>1.7595836734822683</v>
      </c>
      <c r="BQ51" s="26">
        <v>0</v>
      </c>
      <c r="BR51" s="26">
        <v>0</v>
      </c>
      <c r="BS51" s="26">
        <v>0</v>
      </c>
      <c r="BT51" s="26">
        <v>0</v>
      </c>
      <c r="BU51" s="26">
        <v>0</v>
      </c>
      <c r="BV51" s="26">
        <v>0</v>
      </c>
      <c r="BW51" s="26">
        <v>0</v>
      </c>
      <c r="BX51" s="26">
        <v>251.80599767386212</v>
      </c>
      <c r="BY51" s="26"/>
      <c r="BZ51" s="26">
        <v>0</v>
      </c>
      <c r="CA51" s="26">
        <v>0</v>
      </c>
      <c r="CB51" s="26">
        <v>414.13297307480667</v>
      </c>
      <c r="CC51" s="26">
        <v>251.80599767386212</v>
      </c>
      <c r="CD51" s="30">
        <v>1.6446509491453403</v>
      </c>
      <c r="CE51" s="26">
        <v>21.460047278466234</v>
      </c>
      <c r="CF51" s="26">
        <v>8.144971079570043</v>
      </c>
      <c r="CG51" s="26">
        <v>0</v>
      </c>
      <c r="CH51" s="26">
        <v>8.144971079570043</v>
      </c>
      <c r="CI51" s="26">
        <v>0.40724304887265145</v>
      </c>
      <c r="CJ51" s="26">
        <v>0</v>
      </c>
      <c r="CK51" s="26">
        <v>0.40724304887265145</v>
      </c>
      <c r="CL51" s="26"/>
      <c r="CM51" s="26">
        <v>0</v>
      </c>
      <c r="CN51" s="26"/>
      <c r="CO51" s="26">
        <v>0</v>
      </c>
      <c r="CP51" s="26">
        <v>0</v>
      </c>
      <c r="CQ51" s="26">
        <v>0</v>
      </c>
      <c r="CR51" s="26">
        <v>0</v>
      </c>
      <c r="CS51" s="26">
        <v>0</v>
      </c>
      <c r="CT51" s="26">
        <v>0</v>
      </c>
      <c r="CU51" s="26">
        <v>0</v>
      </c>
      <c r="CV51" s="26">
        <v>9999</v>
      </c>
      <c r="CW51" s="30">
        <v>9999</v>
      </c>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row>
    <row r="52" spans="1:131">
      <c r="A52" s="7" t="s">
        <v>318</v>
      </c>
      <c r="B52" s="7" t="s">
        <v>514</v>
      </c>
      <c r="C52" s="26">
        <v>20</v>
      </c>
      <c r="D52" s="26">
        <v>787.56249081075168</v>
      </c>
      <c r="E52" s="26">
        <v>0</v>
      </c>
      <c r="F52" s="26">
        <v>282.43600000000004</v>
      </c>
      <c r="G52" s="26">
        <v>0</v>
      </c>
      <c r="H52" s="26">
        <v>0</v>
      </c>
      <c r="I52" s="26" t="s">
        <v>135</v>
      </c>
      <c r="J52" s="26"/>
      <c r="K52" s="26"/>
      <c r="L52" s="26">
        <v>842.07444999887502</v>
      </c>
      <c r="M52" s="26">
        <v>2.2397714690255044E-3</v>
      </c>
      <c r="N52" s="26">
        <v>2.2236058029732101E-3</v>
      </c>
      <c r="O52" s="26">
        <v>0</v>
      </c>
      <c r="P52" s="26">
        <v>0</v>
      </c>
      <c r="Q52" s="26">
        <v>0</v>
      </c>
      <c r="R52" s="26">
        <v>56.321511321919523</v>
      </c>
      <c r="S52" s="26">
        <v>130.15044621144142</v>
      </c>
      <c r="T52" s="26">
        <v>0</v>
      </c>
      <c r="U52" s="26">
        <v>115.52748924725981</v>
      </c>
      <c r="V52" s="26" t="s">
        <v>509</v>
      </c>
      <c r="W52" s="26" t="s">
        <v>509</v>
      </c>
      <c r="X52" s="26" t="s">
        <v>509</v>
      </c>
      <c r="Y52" s="26" t="s">
        <v>509</v>
      </c>
      <c r="Z52" s="26">
        <v>0</v>
      </c>
      <c r="AA52" s="26">
        <v>0</v>
      </c>
      <c r="AB52" s="26">
        <v>0</v>
      </c>
      <c r="AC52" s="26">
        <v>0</v>
      </c>
      <c r="AD52" s="26">
        <v>0</v>
      </c>
      <c r="AE52" s="26">
        <v>0</v>
      </c>
      <c r="AF52" s="26">
        <v>0</v>
      </c>
      <c r="AG52" s="26">
        <v>0</v>
      </c>
      <c r="AH52" s="26">
        <v>56.321511321919523</v>
      </c>
      <c r="AI52" s="26">
        <v>130.15044621144142</v>
      </c>
      <c r="AJ52" s="26">
        <v>0</v>
      </c>
      <c r="AK52" s="26">
        <v>115.52748924725981</v>
      </c>
      <c r="AL52" s="26">
        <v>301.99944678062076</v>
      </c>
      <c r="AM52" s="26">
        <v>405.02427387500512</v>
      </c>
      <c r="AN52" s="26">
        <v>0.79141985525731162</v>
      </c>
      <c r="AO52" s="26">
        <v>0</v>
      </c>
      <c r="AP52" s="26">
        <v>0</v>
      </c>
      <c r="AQ52" s="26">
        <v>405.81569373026241</v>
      </c>
      <c r="AR52" s="26">
        <v>56.321511321919523</v>
      </c>
      <c r="AS52" s="30">
        <v>7.2053409826082699</v>
      </c>
      <c r="AT52" s="26">
        <v>405.02427387500512</v>
      </c>
      <c r="AU52" s="26">
        <v>0.93680538427406512</v>
      </c>
      <c r="AV52" s="26">
        <v>0</v>
      </c>
      <c r="AW52" s="26">
        <v>0</v>
      </c>
      <c r="AX52" s="26">
        <v>405.96107925927919</v>
      </c>
      <c r="AY52" s="26">
        <v>130.15044621144142</v>
      </c>
      <c r="AZ52" s="30">
        <v>3.1191677867915866</v>
      </c>
      <c r="BA52" s="26">
        <v>405.02427387500512</v>
      </c>
      <c r="BB52" s="26">
        <v>1.7282252395313766</v>
      </c>
      <c r="BC52" s="26">
        <v>0</v>
      </c>
      <c r="BD52" s="26">
        <v>0</v>
      </c>
      <c r="BE52" s="26">
        <v>406.75249911453648</v>
      </c>
      <c r="BF52" s="26">
        <v>186.47195753336095</v>
      </c>
      <c r="BG52" s="26">
        <v>16.143189220907693</v>
      </c>
      <c r="BH52" s="30">
        <v>2.1813065326016434</v>
      </c>
      <c r="BI52" s="26">
        <v>4.9214595980510527</v>
      </c>
      <c r="BJ52" s="26">
        <v>11.372744581316669</v>
      </c>
      <c r="BK52" s="26">
        <v>0</v>
      </c>
      <c r="BL52" s="26">
        <v>10.094968289201248</v>
      </c>
      <c r="BM52" s="26">
        <v>26.389172468568969</v>
      </c>
      <c r="BN52" s="26">
        <v>405.02427387500512</v>
      </c>
      <c r="BO52" s="26">
        <v>0</v>
      </c>
      <c r="BP52" s="26">
        <v>1.7282252395313766</v>
      </c>
      <c r="BQ52" s="26">
        <v>0</v>
      </c>
      <c r="BR52" s="26">
        <v>0</v>
      </c>
      <c r="BS52" s="26">
        <v>0</v>
      </c>
      <c r="BT52" s="26">
        <v>0</v>
      </c>
      <c r="BU52" s="26">
        <v>0</v>
      </c>
      <c r="BV52" s="26">
        <v>0</v>
      </c>
      <c r="BW52" s="26">
        <v>0</v>
      </c>
      <c r="BX52" s="26">
        <v>301.99944678062076</v>
      </c>
      <c r="BY52" s="26"/>
      <c r="BZ52" s="26">
        <v>0</v>
      </c>
      <c r="CA52" s="26">
        <v>0</v>
      </c>
      <c r="CB52" s="26">
        <v>406.75249911453648</v>
      </c>
      <c r="CC52" s="26">
        <v>301.99944678062076</v>
      </c>
      <c r="CD52" s="30">
        <v>1.3468650471072243</v>
      </c>
      <c r="CE52" s="26">
        <v>26.238157510108941</v>
      </c>
      <c r="CF52" s="26">
        <v>7.9998154149206036</v>
      </c>
      <c r="CG52" s="26">
        <v>0</v>
      </c>
      <c r="CH52" s="26">
        <v>7.9998154149206036</v>
      </c>
      <c r="CI52" s="26">
        <v>0.39998536374946564</v>
      </c>
      <c r="CJ52" s="26">
        <v>0</v>
      </c>
      <c r="CK52" s="26">
        <v>0.39998536374946564</v>
      </c>
      <c r="CL52" s="26"/>
      <c r="CM52" s="26">
        <v>0</v>
      </c>
      <c r="CN52" s="26"/>
      <c r="CO52" s="26">
        <v>0</v>
      </c>
      <c r="CP52" s="26">
        <v>0</v>
      </c>
      <c r="CQ52" s="26">
        <v>0</v>
      </c>
      <c r="CR52" s="26">
        <v>0</v>
      </c>
      <c r="CS52" s="26">
        <v>0</v>
      </c>
      <c r="CT52" s="26">
        <v>0</v>
      </c>
      <c r="CU52" s="26">
        <v>0</v>
      </c>
      <c r="CV52" s="26">
        <v>9999</v>
      </c>
      <c r="CW52" s="30">
        <v>9999</v>
      </c>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row>
    <row r="53" spans="1:131">
      <c r="A53" s="7"/>
      <c r="B53" s="7"/>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row>
    <row r="54" spans="1:131">
      <c r="A54" s="7"/>
      <c r="B54" s="7"/>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row>
    <row r="55" spans="1:131" ht="13.5" thickBot="1">
      <c r="A55" s="24" t="s">
        <v>515</v>
      </c>
      <c r="B55" s="25"/>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row>
    <row r="56" spans="1:131" ht="26.25" thickBot="1">
      <c r="A56" s="271" t="s">
        <v>412</v>
      </c>
      <c r="B56" s="272"/>
      <c r="C56" s="273" t="s">
        <v>413</v>
      </c>
      <c r="D56" s="274"/>
      <c r="E56" s="274"/>
      <c r="F56" s="274"/>
      <c r="G56" s="274"/>
      <c r="H56" s="274"/>
      <c r="I56" s="274"/>
      <c r="J56" s="274"/>
      <c r="K56" s="275"/>
      <c r="L56" s="273" t="s">
        <v>414</v>
      </c>
      <c r="M56" s="274"/>
      <c r="N56" s="274"/>
      <c r="O56" s="274"/>
      <c r="P56" s="274"/>
      <c r="Q56" s="275"/>
      <c r="R56" s="273" t="s">
        <v>415</v>
      </c>
      <c r="S56" s="274"/>
      <c r="T56" s="274"/>
      <c r="U56" s="275"/>
      <c r="V56" s="273" t="s">
        <v>416</v>
      </c>
      <c r="W56" s="274"/>
      <c r="X56" s="274"/>
      <c r="Y56" s="275"/>
      <c r="Z56" s="273" t="s">
        <v>417</v>
      </c>
      <c r="AA56" s="274"/>
      <c r="AB56" s="274"/>
      <c r="AC56" s="275"/>
      <c r="AD56" s="273" t="s">
        <v>418</v>
      </c>
      <c r="AE56" s="274"/>
      <c r="AF56" s="274"/>
      <c r="AG56" s="275"/>
      <c r="AH56" s="273" t="s">
        <v>419</v>
      </c>
      <c r="AI56" s="274"/>
      <c r="AJ56" s="274"/>
      <c r="AK56" s="274"/>
      <c r="AL56" s="275"/>
      <c r="AM56" s="273" t="s">
        <v>420</v>
      </c>
      <c r="AN56" s="274"/>
      <c r="AO56" s="274"/>
      <c r="AP56" s="274"/>
      <c r="AQ56" s="274"/>
      <c r="AR56" s="274"/>
      <c r="AS56" s="275"/>
      <c r="AT56" s="273" t="s">
        <v>421</v>
      </c>
      <c r="AU56" s="274"/>
      <c r="AV56" s="274"/>
      <c r="AW56" s="274"/>
      <c r="AX56" s="274"/>
      <c r="AY56" s="274"/>
      <c r="AZ56" s="275"/>
      <c r="BA56" s="273" t="s">
        <v>422</v>
      </c>
      <c r="BB56" s="274"/>
      <c r="BC56" s="274"/>
      <c r="BD56" s="274"/>
      <c r="BE56" s="274"/>
      <c r="BF56" s="275"/>
      <c r="BG56" s="273" t="s">
        <v>423</v>
      </c>
      <c r="BH56" s="275"/>
      <c r="BI56" s="273" t="s">
        <v>424</v>
      </c>
      <c r="BJ56" s="274"/>
      <c r="BK56" s="274"/>
      <c r="BL56" s="274"/>
      <c r="BM56" s="275"/>
      <c r="BN56" s="273" t="s">
        <v>425</v>
      </c>
      <c r="BO56" s="274"/>
      <c r="BP56" s="274"/>
      <c r="BQ56" s="274"/>
      <c r="BR56" s="274"/>
      <c r="BS56" s="274"/>
      <c r="BT56" s="274"/>
      <c r="BU56" s="274"/>
      <c r="BV56" s="274"/>
      <c r="BW56" s="274"/>
      <c r="BX56" s="274"/>
      <c r="BY56" s="274"/>
      <c r="BZ56" s="274"/>
      <c r="CA56" s="274"/>
      <c r="CB56" s="274"/>
      <c r="CC56" s="275"/>
      <c r="CD56" s="273" t="s">
        <v>426</v>
      </c>
      <c r="CE56" s="275"/>
      <c r="CF56" s="273" t="s">
        <v>427</v>
      </c>
      <c r="CG56" s="274"/>
      <c r="CH56" s="274"/>
      <c r="CI56" s="274"/>
      <c r="CJ56" s="274"/>
      <c r="CK56" s="275"/>
      <c r="CL56" s="276"/>
      <c r="CM56" s="273" t="s">
        <v>5</v>
      </c>
      <c r="CN56" s="274"/>
      <c r="CO56" s="274"/>
      <c r="CP56" s="275"/>
      <c r="CQ56" s="273" t="s">
        <v>428</v>
      </c>
      <c r="CR56" s="274"/>
      <c r="CS56" s="274"/>
      <c r="CT56" s="274"/>
      <c r="CU56" s="275"/>
      <c r="CV56" s="273" t="s">
        <v>429</v>
      </c>
      <c r="CW56" s="275"/>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row>
    <row r="57" spans="1:131" ht="216.75">
      <c r="A57" s="27" t="s">
        <v>136</v>
      </c>
      <c r="B57" s="28" t="s">
        <v>137</v>
      </c>
      <c r="C57" s="29" t="s">
        <v>116</v>
      </c>
      <c r="D57" s="29" t="s">
        <v>430</v>
      </c>
      <c r="E57" s="29" t="s">
        <v>431</v>
      </c>
      <c r="F57" s="29" t="s">
        <v>432</v>
      </c>
      <c r="G57" s="29" t="s">
        <v>433</v>
      </c>
      <c r="H57" s="29" t="s">
        <v>434</v>
      </c>
      <c r="I57" s="29" t="s">
        <v>435</v>
      </c>
      <c r="J57" s="29" t="s">
        <v>436</v>
      </c>
      <c r="K57" s="29" t="s">
        <v>437</v>
      </c>
      <c r="L57" s="29" t="s">
        <v>438</v>
      </c>
      <c r="M57" s="29" t="s">
        <v>439</v>
      </c>
      <c r="N57" s="29" t="s">
        <v>440</v>
      </c>
      <c r="O57" s="29" t="s">
        <v>441</v>
      </c>
      <c r="P57" s="29" t="s">
        <v>442</v>
      </c>
      <c r="Q57" s="29" t="s">
        <v>443</v>
      </c>
      <c r="R57" s="29" t="s">
        <v>444</v>
      </c>
      <c r="S57" s="29" t="s">
        <v>445</v>
      </c>
      <c r="T57" s="29" t="s">
        <v>446</v>
      </c>
      <c r="U57" s="29" t="s">
        <v>352</v>
      </c>
      <c r="V57" s="29" t="s">
        <v>444</v>
      </c>
      <c r="W57" s="29" t="s">
        <v>445</v>
      </c>
      <c r="X57" s="29" t="s">
        <v>446</v>
      </c>
      <c r="Y57" s="29" t="s">
        <v>352</v>
      </c>
      <c r="Z57" s="29" t="s">
        <v>444</v>
      </c>
      <c r="AA57" s="29" t="s">
        <v>445</v>
      </c>
      <c r="AB57" s="29" t="s">
        <v>446</v>
      </c>
      <c r="AC57" s="29" t="s">
        <v>352</v>
      </c>
      <c r="AD57" s="29" t="s">
        <v>444</v>
      </c>
      <c r="AE57" s="29" t="s">
        <v>445</v>
      </c>
      <c r="AF57" s="29" t="s">
        <v>446</v>
      </c>
      <c r="AG57" s="29" t="s">
        <v>352</v>
      </c>
      <c r="AH57" s="29" t="s">
        <v>444</v>
      </c>
      <c r="AI57" s="29" t="s">
        <v>445</v>
      </c>
      <c r="AJ57" s="29" t="s">
        <v>446</v>
      </c>
      <c r="AK57" s="29" t="s">
        <v>352</v>
      </c>
      <c r="AL57" s="29" t="s">
        <v>447</v>
      </c>
      <c r="AM57" s="29" t="s">
        <v>448</v>
      </c>
      <c r="AN57" s="29" t="s">
        <v>449</v>
      </c>
      <c r="AO57" s="29" t="s">
        <v>450</v>
      </c>
      <c r="AP57" s="29" t="s">
        <v>451</v>
      </c>
      <c r="AQ57" s="29" t="s">
        <v>452</v>
      </c>
      <c r="AR57" s="29" t="s">
        <v>453</v>
      </c>
      <c r="AS57" s="29" t="s">
        <v>454</v>
      </c>
      <c r="AT57" s="29" t="s">
        <v>455</v>
      </c>
      <c r="AU57" s="29" t="s">
        <v>456</v>
      </c>
      <c r="AV57" s="29" t="s">
        <v>457</v>
      </c>
      <c r="AW57" s="29" t="s">
        <v>458</v>
      </c>
      <c r="AX57" s="29" t="s">
        <v>459</v>
      </c>
      <c r="AY57" s="29" t="s">
        <v>460</v>
      </c>
      <c r="AZ57" s="29" t="s">
        <v>461</v>
      </c>
      <c r="BA57" s="29" t="s">
        <v>462</v>
      </c>
      <c r="BB57" s="29" t="s">
        <v>463</v>
      </c>
      <c r="BC57" s="29" t="s">
        <v>464</v>
      </c>
      <c r="BD57" s="29" t="s">
        <v>465</v>
      </c>
      <c r="BE57" s="29" t="s">
        <v>466</v>
      </c>
      <c r="BF57" s="29" t="s">
        <v>467</v>
      </c>
      <c r="BG57" s="29" t="s">
        <v>468</v>
      </c>
      <c r="BH57" s="29" t="s">
        <v>469</v>
      </c>
      <c r="BI57" s="29" t="s">
        <v>470</v>
      </c>
      <c r="BJ57" s="29" t="s">
        <v>471</v>
      </c>
      <c r="BK57" s="29" t="s">
        <v>472</v>
      </c>
      <c r="BL57" s="29" t="s">
        <v>473</v>
      </c>
      <c r="BM57" s="29" t="s">
        <v>474</v>
      </c>
      <c r="BN57" s="29" t="s">
        <v>475</v>
      </c>
      <c r="BO57" s="29" t="s">
        <v>476</v>
      </c>
      <c r="BP57" s="29" t="s">
        <v>477</v>
      </c>
      <c r="BQ57" s="29" t="s">
        <v>478</v>
      </c>
      <c r="BR57" s="29" t="s">
        <v>479</v>
      </c>
      <c r="BS57" s="29" t="s">
        <v>480</v>
      </c>
      <c r="BT57" s="29" t="s">
        <v>481</v>
      </c>
      <c r="BU57" s="29" t="s">
        <v>482</v>
      </c>
      <c r="BV57" s="29" t="s">
        <v>483</v>
      </c>
      <c r="BW57" s="29" t="s">
        <v>484</v>
      </c>
      <c r="BX57" s="29" t="s">
        <v>485</v>
      </c>
      <c r="BY57" s="29" t="s">
        <v>486</v>
      </c>
      <c r="BZ57" s="29" t="s">
        <v>487</v>
      </c>
      <c r="CA57" s="29" t="s">
        <v>488</v>
      </c>
      <c r="CB57" s="29" t="s">
        <v>489</v>
      </c>
      <c r="CC57" s="29" t="s">
        <v>490</v>
      </c>
      <c r="CD57" s="29" t="s">
        <v>138</v>
      </c>
      <c r="CE57" s="29" t="s">
        <v>21</v>
      </c>
      <c r="CF57" s="29" t="s">
        <v>491</v>
      </c>
      <c r="CG57" s="29" t="s">
        <v>492</v>
      </c>
      <c r="CH57" s="29" t="s">
        <v>493</v>
      </c>
      <c r="CI57" s="29" t="s">
        <v>494</v>
      </c>
      <c r="CJ57" s="29" t="s">
        <v>495</v>
      </c>
      <c r="CK57" s="29" t="s">
        <v>496</v>
      </c>
      <c r="CL57" s="29"/>
      <c r="CM57" s="29" t="s">
        <v>497</v>
      </c>
      <c r="CN57" s="29" t="s">
        <v>498</v>
      </c>
      <c r="CO57" s="29" t="s">
        <v>499</v>
      </c>
      <c r="CP57" s="29" t="s">
        <v>500</v>
      </c>
      <c r="CQ57" s="29" t="s">
        <v>501</v>
      </c>
      <c r="CR57" s="29" t="s">
        <v>502</v>
      </c>
      <c r="CS57" s="29" t="s">
        <v>503</v>
      </c>
      <c r="CT57" s="29" t="s">
        <v>504</v>
      </c>
      <c r="CU57" s="29" t="s">
        <v>505</v>
      </c>
      <c r="CV57" s="29" t="s">
        <v>506</v>
      </c>
      <c r="CW57" s="29" t="s">
        <v>507</v>
      </c>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row>
    <row r="58" spans="1:131">
      <c r="A58" s="7" t="s">
        <v>316</v>
      </c>
      <c r="B58" s="7"/>
      <c r="C58" s="26">
        <v>17</v>
      </c>
      <c r="D58" s="26">
        <v>745.77064709480817</v>
      </c>
      <c r="E58" s="26">
        <v>0</v>
      </c>
      <c r="F58" s="26">
        <v>190.08733333333336</v>
      </c>
      <c r="G58" s="26">
        <v>0</v>
      </c>
      <c r="H58" s="26">
        <v>0</v>
      </c>
      <c r="I58" s="26"/>
      <c r="J58" s="26"/>
      <c r="K58" s="26"/>
      <c r="L58" s="26">
        <v>797.38994023341627</v>
      </c>
      <c r="M58" s="26">
        <v>2.1209184506490418E-3</v>
      </c>
      <c r="N58" s="26">
        <v>2.1056106123845154E-3</v>
      </c>
      <c r="O58" s="26">
        <v>0</v>
      </c>
      <c r="P58" s="26">
        <v>0</v>
      </c>
      <c r="Q58" s="26">
        <v>0</v>
      </c>
      <c r="R58" s="26">
        <v>37.905953548721925</v>
      </c>
      <c r="S58" s="26">
        <v>87.594893188107548</v>
      </c>
      <c r="T58" s="26">
        <v>0</v>
      </c>
      <c r="U58" s="26">
        <v>103.76829744470768</v>
      </c>
      <c r="V58" s="26">
        <v>11.405240000000003</v>
      </c>
      <c r="W58" s="26">
        <v>26.612226666666672</v>
      </c>
      <c r="X58" s="26">
        <v>0</v>
      </c>
      <c r="Y58" s="26">
        <v>0</v>
      </c>
      <c r="Z58" s="26">
        <v>0</v>
      </c>
      <c r="AA58" s="26">
        <v>0</v>
      </c>
      <c r="AB58" s="26">
        <v>0</v>
      </c>
      <c r="AC58" s="26">
        <v>0</v>
      </c>
      <c r="AD58" s="26">
        <v>0</v>
      </c>
      <c r="AE58" s="26">
        <v>0</v>
      </c>
      <c r="AF58" s="26">
        <v>0</v>
      </c>
      <c r="AG58" s="26">
        <v>0</v>
      </c>
      <c r="AH58" s="26">
        <v>49.311193548721931</v>
      </c>
      <c r="AI58" s="26">
        <v>114.20711985477422</v>
      </c>
      <c r="AJ58" s="26">
        <v>0</v>
      </c>
      <c r="AK58" s="26">
        <v>103.76829744470768</v>
      </c>
      <c r="AL58" s="26">
        <v>267.28661084820385</v>
      </c>
      <c r="AM58" s="26">
        <v>383.53174299339474</v>
      </c>
      <c r="AN58" s="26">
        <v>0.74942332127997657</v>
      </c>
      <c r="AO58" s="26">
        <v>0</v>
      </c>
      <c r="AP58" s="26">
        <v>0</v>
      </c>
      <c r="AQ58" s="26">
        <v>384.28116631467469</v>
      </c>
      <c r="AR58" s="26">
        <v>49.311193548721931</v>
      </c>
      <c r="AS58" s="30">
        <v>7.7929804301935146</v>
      </c>
      <c r="AT58" s="26">
        <v>383.53174299339474</v>
      </c>
      <c r="AU58" s="26">
        <v>0.88709399670971745</v>
      </c>
      <c r="AV58" s="26">
        <v>0</v>
      </c>
      <c r="AW58" s="26">
        <v>0</v>
      </c>
      <c r="AX58" s="26">
        <v>384.41883699010447</v>
      </c>
      <c r="AY58" s="26">
        <v>114.20711985477422</v>
      </c>
      <c r="AZ58" s="30">
        <v>3.3659796121199053</v>
      </c>
      <c r="BA58" s="26">
        <v>383.53174299339474</v>
      </c>
      <c r="BB58" s="26">
        <v>1.6365173179896941</v>
      </c>
      <c r="BC58" s="26">
        <v>0</v>
      </c>
      <c r="BD58" s="26">
        <v>0</v>
      </c>
      <c r="BE58" s="26">
        <v>385.16826031138442</v>
      </c>
      <c r="BF58" s="26">
        <v>163.51831340349617</v>
      </c>
      <c r="BG58" s="26">
        <v>14.938169271143469</v>
      </c>
      <c r="BH58" s="30">
        <v>2.3555053393985728</v>
      </c>
      <c r="BI58" s="26">
        <v>4.5503507744863505</v>
      </c>
      <c r="BJ58" s="26">
        <v>10.538833455117144</v>
      </c>
      <c r="BK58" s="26">
        <v>0</v>
      </c>
      <c r="BL58" s="26">
        <v>9.5755571638742829</v>
      </c>
      <c r="BM58" s="26">
        <v>24.664741393477776</v>
      </c>
      <c r="BN58" s="26">
        <v>383.53174299339474</v>
      </c>
      <c r="BO58" s="26">
        <v>0</v>
      </c>
      <c r="BP58" s="26">
        <v>1.6365173179896941</v>
      </c>
      <c r="BQ58" s="26">
        <v>0</v>
      </c>
      <c r="BR58" s="26">
        <v>0</v>
      </c>
      <c r="BS58" s="26">
        <v>0</v>
      </c>
      <c r="BT58" s="26">
        <v>0</v>
      </c>
      <c r="BU58" s="26">
        <v>0</v>
      </c>
      <c r="BV58" s="26">
        <v>0</v>
      </c>
      <c r="BW58" s="26">
        <v>0</v>
      </c>
      <c r="BX58" s="26">
        <v>229.26914418153717</v>
      </c>
      <c r="BY58" s="26">
        <v>38.017466666666671</v>
      </c>
      <c r="BZ58" s="26">
        <v>0</v>
      </c>
      <c r="CA58" s="26">
        <v>0</v>
      </c>
      <c r="CB58" s="26">
        <v>385.16826031138442</v>
      </c>
      <c r="CC58" s="26">
        <v>267.28661084820385</v>
      </c>
      <c r="CD58" s="30">
        <v>1.4410308810048378</v>
      </c>
      <c r="CE58" s="26">
        <v>24.513726435017748</v>
      </c>
      <c r="CF58" s="26">
        <v>7.5753068337252643</v>
      </c>
      <c r="CG58" s="26">
        <v>0</v>
      </c>
      <c r="CH58" s="26">
        <v>7.5753068337252643</v>
      </c>
      <c r="CI58" s="26">
        <v>0.37876022161087264</v>
      </c>
      <c r="CJ58" s="26">
        <v>0</v>
      </c>
      <c r="CK58" s="26">
        <v>0.37876022161087264</v>
      </c>
      <c r="CL58" s="26"/>
      <c r="CM58" s="26">
        <v>0</v>
      </c>
      <c r="CN58" s="26"/>
      <c r="CO58" s="26">
        <v>0</v>
      </c>
      <c r="CP58" s="26">
        <v>0</v>
      </c>
      <c r="CQ58" s="26">
        <v>0</v>
      </c>
      <c r="CR58" s="26">
        <v>0</v>
      </c>
      <c r="CS58" s="26">
        <v>0</v>
      </c>
      <c r="CT58" s="26">
        <v>0</v>
      </c>
      <c r="CU58" s="26">
        <v>0</v>
      </c>
      <c r="CV58" s="26">
        <v>9999</v>
      </c>
      <c r="CW58" s="30">
        <v>9999</v>
      </c>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row>
    <row r="59" spans="1:131">
      <c r="A59" s="7" t="s">
        <v>312</v>
      </c>
      <c r="B59" s="7"/>
      <c r="C59" s="26">
        <v>17</v>
      </c>
      <c r="D59" s="26">
        <v>801.85271513185091</v>
      </c>
      <c r="E59" s="26">
        <v>0</v>
      </c>
      <c r="F59" s="26">
        <v>208.77266666666668</v>
      </c>
      <c r="G59" s="26">
        <v>0</v>
      </c>
      <c r="H59" s="26">
        <v>0</v>
      </c>
      <c r="I59" s="26"/>
      <c r="J59" s="26"/>
      <c r="K59" s="26"/>
      <c r="L59" s="26">
        <v>857.35378710031875</v>
      </c>
      <c r="M59" s="26">
        <v>2.2804118462575679E-3</v>
      </c>
      <c r="N59" s="26">
        <v>2.2639528561873286E-3</v>
      </c>
      <c r="O59" s="26">
        <v>0</v>
      </c>
      <c r="P59" s="26">
        <v>0</v>
      </c>
      <c r="Q59" s="26">
        <v>0</v>
      </c>
      <c r="R59" s="26">
        <v>41.632058623454505</v>
      </c>
      <c r="S59" s="26">
        <v>96.205355278431895</v>
      </c>
      <c r="T59" s="26">
        <v>0</v>
      </c>
      <c r="U59" s="26">
        <v>113.96858377197572</v>
      </c>
      <c r="V59" s="26">
        <v>12.52636</v>
      </c>
      <c r="W59" s="26">
        <v>29.228173333333334</v>
      </c>
      <c r="X59" s="26">
        <v>0</v>
      </c>
      <c r="Y59" s="26">
        <v>0</v>
      </c>
      <c r="Z59" s="26">
        <v>0</v>
      </c>
      <c r="AA59" s="26">
        <v>0</v>
      </c>
      <c r="AB59" s="26">
        <v>0</v>
      </c>
      <c r="AC59" s="26">
        <v>0</v>
      </c>
      <c r="AD59" s="26">
        <v>0</v>
      </c>
      <c r="AE59" s="26">
        <v>0</v>
      </c>
      <c r="AF59" s="26">
        <v>0</v>
      </c>
      <c r="AG59" s="26">
        <v>0</v>
      </c>
      <c r="AH59" s="26">
        <v>54.158418623454509</v>
      </c>
      <c r="AI59" s="26">
        <v>125.43352861176523</v>
      </c>
      <c r="AJ59" s="26">
        <v>0</v>
      </c>
      <c r="AK59" s="26">
        <v>113.96858377197572</v>
      </c>
      <c r="AL59" s="26">
        <v>293.56053100719544</v>
      </c>
      <c r="AM59" s="26">
        <v>412.3733894013244</v>
      </c>
      <c r="AN59" s="26">
        <v>0.80578007098083615</v>
      </c>
      <c r="AO59" s="26">
        <v>0</v>
      </c>
      <c r="AP59" s="26">
        <v>0</v>
      </c>
      <c r="AQ59" s="26">
        <v>413.17916947230526</v>
      </c>
      <c r="AR59" s="26">
        <v>54.158418623454509</v>
      </c>
      <c r="AS59" s="30">
        <v>7.6290848214199674</v>
      </c>
      <c r="AT59" s="26">
        <v>412.3733894013244</v>
      </c>
      <c r="AU59" s="26">
        <v>0.95380360250143204</v>
      </c>
      <c r="AV59" s="26">
        <v>0</v>
      </c>
      <c r="AW59" s="26">
        <v>0</v>
      </c>
      <c r="AX59" s="26">
        <v>413.32719300382581</v>
      </c>
      <c r="AY59" s="26">
        <v>125.43352861176523</v>
      </c>
      <c r="AZ59" s="30">
        <v>3.2951890740723142</v>
      </c>
      <c r="BA59" s="26">
        <v>412.3733894013244</v>
      </c>
      <c r="BB59" s="26">
        <v>1.7595836734822683</v>
      </c>
      <c r="BC59" s="26">
        <v>0</v>
      </c>
      <c r="BD59" s="26">
        <v>0</v>
      </c>
      <c r="BE59" s="26">
        <v>414.13297307480667</v>
      </c>
      <c r="BF59" s="26">
        <v>179.59194723521975</v>
      </c>
      <c r="BG59" s="26">
        <v>15.262330175510874</v>
      </c>
      <c r="BH59" s="30">
        <v>2.3059662721536052</v>
      </c>
      <c r="BI59" s="26">
        <v>4.6481059479802589</v>
      </c>
      <c r="BJ59" s="26">
        <v>10.765239185990644</v>
      </c>
      <c r="BK59" s="26">
        <v>0</v>
      </c>
      <c r="BL59" s="26">
        <v>9.7812688327644768</v>
      </c>
      <c r="BM59" s="26">
        <v>25.194613966735378</v>
      </c>
      <c r="BN59" s="26">
        <v>412.3733894013244</v>
      </c>
      <c r="BO59" s="26">
        <v>0</v>
      </c>
      <c r="BP59" s="26">
        <v>1.7595836734822683</v>
      </c>
      <c r="BQ59" s="26">
        <v>0</v>
      </c>
      <c r="BR59" s="26">
        <v>0</v>
      </c>
      <c r="BS59" s="26">
        <v>0</v>
      </c>
      <c r="BT59" s="26">
        <v>0</v>
      </c>
      <c r="BU59" s="26">
        <v>0</v>
      </c>
      <c r="BV59" s="26">
        <v>0</v>
      </c>
      <c r="BW59" s="26">
        <v>0</v>
      </c>
      <c r="BX59" s="26">
        <v>251.80599767386212</v>
      </c>
      <c r="BY59" s="26">
        <v>41.754533333333342</v>
      </c>
      <c r="BZ59" s="26">
        <v>0</v>
      </c>
      <c r="CA59" s="26">
        <v>0</v>
      </c>
      <c r="CB59" s="26">
        <v>414.13297307480667</v>
      </c>
      <c r="CC59" s="26">
        <v>293.56053100719544</v>
      </c>
      <c r="CD59" s="30">
        <v>1.4107242947610552</v>
      </c>
      <c r="CE59" s="26">
        <v>25.043599008275351</v>
      </c>
      <c r="CF59" s="26">
        <v>8.144971079570043</v>
      </c>
      <c r="CG59" s="26">
        <v>0</v>
      </c>
      <c r="CH59" s="26">
        <v>8.144971079570043</v>
      </c>
      <c r="CI59" s="26">
        <v>0.40724304887265145</v>
      </c>
      <c r="CJ59" s="26">
        <v>0</v>
      </c>
      <c r="CK59" s="26">
        <v>0.40724304887265145</v>
      </c>
      <c r="CL59" s="26"/>
      <c r="CM59" s="26">
        <v>0</v>
      </c>
      <c r="CN59" s="26"/>
      <c r="CO59" s="26">
        <v>0</v>
      </c>
      <c r="CP59" s="26">
        <v>0</v>
      </c>
      <c r="CQ59" s="26">
        <v>0</v>
      </c>
      <c r="CR59" s="26">
        <v>0</v>
      </c>
      <c r="CS59" s="26">
        <v>0</v>
      </c>
      <c r="CT59" s="26">
        <v>0</v>
      </c>
      <c r="CU59" s="26">
        <v>0</v>
      </c>
      <c r="CV59" s="26">
        <v>9999</v>
      </c>
      <c r="CW59" s="30">
        <v>9999</v>
      </c>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row>
    <row r="60" spans="1:131">
      <c r="A60" s="7" t="s">
        <v>317</v>
      </c>
      <c r="B60" s="7"/>
      <c r="C60" s="26">
        <v>17</v>
      </c>
      <c r="D60" s="26">
        <v>801.85271513185091</v>
      </c>
      <c r="E60" s="26">
        <v>0</v>
      </c>
      <c r="F60" s="26">
        <v>208.77266666666668</v>
      </c>
      <c r="G60" s="26">
        <v>0</v>
      </c>
      <c r="H60" s="26">
        <v>0</v>
      </c>
      <c r="I60" s="26"/>
      <c r="J60" s="26"/>
      <c r="K60" s="26"/>
      <c r="L60" s="26">
        <v>857.35378710031875</v>
      </c>
      <c r="M60" s="26">
        <v>2.2804118462575679E-3</v>
      </c>
      <c r="N60" s="26">
        <v>2.2639528561873286E-3</v>
      </c>
      <c r="O60" s="26">
        <v>0</v>
      </c>
      <c r="P60" s="26">
        <v>0</v>
      </c>
      <c r="Q60" s="26">
        <v>0</v>
      </c>
      <c r="R60" s="26">
        <v>41.632058623454505</v>
      </c>
      <c r="S60" s="26">
        <v>96.205355278431895</v>
      </c>
      <c r="T60" s="26">
        <v>0</v>
      </c>
      <c r="U60" s="26">
        <v>113.96858377197572</v>
      </c>
      <c r="V60" s="26">
        <v>12.52636</v>
      </c>
      <c r="W60" s="26">
        <v>29.228173333333334</v>
      </c>
      <c r="X60" s="26">
        <v>0</v>
      </c>
      <c r="Y60" s="26">
        <v>0</v>
      </c>
      <c r="Z60" s="26">
        <v>0</v>
      </c>
      <c r="AA60" s="26">
        <v>0</v>
      </c>
      <c r="AB60" s="26">
        <v>0</v>
      </c>
      <c r="AC60" s="26">
        <v>0</v>
      </c>
      <c r="AD60" s="26">
        <v>0</v>
      </c>
      <c r="AE60" s="26">
        <v>0</v>
      </c>
      <c r="AF60" s="26">
        <v>0</v>
      </c>
      <c r="AG60" s="26">
        <v>0</v>
      </c>
      <c r="AH60" s="26">
        <v>54.158418623454509</v>
      </c>
      <c r="AI60" s="26">
        <v>125.43352861176523</v>
      </c>
      <c r="AJ60" s="26">
        <v>0</v>
      </c>
      <c r="AK60" s="26">
        <v>113.96858377197572</v>
      </c>
      <c r="AL60" s="26">
        <v>293.56053100719544</v>
      </c>
      <c r="AM60" s="26">
        <v>412.3733894013244</v>
      </c>
      <c r="AN60" s="26">
        <v>0.80578007098083615</v>
      </c>
      <c r="AO60" s="26">
        <v>0</v>
      </c>
      <c r="AP60" s="26">
        <v>0</v>
      </c>
      <c r="AQ60" s="26">
        <v>413.17916947230526</v>
      </c>
      <c r="AR60" s="26">
        <v>54.158418623454509</v>
      </c>
      <c r="AS60" s="30">
        <v>7.6290848214199674</v>
      </c>
      <c r="AT60" s="26">
        <v>412.3733894013244</v>
      </c>
      <c r="AU60" s="26">
        <v>0.95380360250143204</v>
      </c>
      <c r="AV60" s="26">
        <v>0</v>
      </c>
      <c r="AW60" s="26">
        <v>0</v>
      </c>
      <c r="AX60" s="26">
        <v>413.32719300382581</v>
      </c>
      <c r="AY60" s="26">
        <v>125.43352861176523</v>
      </c>
      <c r="AZ60" s="30">
        <v>3.2951890740723142</v>
      </c>
      <c r="BA60" s="26">
        <v>412.3733894013244</v>
      </c>
      <c r="BB60" s="26">
        <v>1.7595836734822683</v>
      </c>
      <c r="BC60" s="26">
        <v>0</v>
      </c>
      <c r="BD60" s="26">
        <v>0</v>
      </c>
      <c r="BE60" s="26">
        <v>414.13297307480667</v>
      </c>
      <c r="BF60" s="26">
        <v>179.59194723521975</v>
      </c>
      <c r="BG60" s="26">
        <v>15.262330175510874</v>
      </c>
      <c r="BH60" s="30">
        <v>2.3059662721536052</v>
      </c>
      <c r="BI60" s="26">
        <v>4.6481059479802589</v>
      </c>
      <c r="BJ60" s="26">
        <v>10.765239185990644</v>
      </c>
      <c r="BK60" s="26">
        <v>0</v>
      </c>
      <c r="BL60" s="26">
        <v>9.7812688327644768</v>
      </c>
      <c r="BM60" s="26">
        <v>25.194613966735378</v>
      </c>
      <c r="BN60" s="26">
        <v>412.3733894013244</v>
      </c>
      <c r="BO60" s="26">
        <v>0</v>
      </c>
      <c r="BP60" s="26">
        <v>1.7595836734822683</v>
      </c>
      <c r="BQ60" s="26">
        <v>0</v>
      </c>
      <c r="BR60" s="26">
        <v>0</v>
      </c>
      <c r="BS60" s="26">
        <v>0</v>
      </c>
      <c r="BT60" s="26">
        <v>0</v>
      </c>
      <c r="BU60" s="26">
        <v>0</v>
      </c>
      <c r="BV60" s="26">
        <v>0</v>
      </c>
      <c r="BW60" s="26">
        <v>0</v>
      </c>
      <c r="BX60" s="26">
        <v>251.80599767386212</v>
      </c>
      <c r="BY60" s="26">
        <v>41.754533333333342</v>
      </c>
      <c r="BZ60" s="26">
        <v>0</v>
      </c>
      <c r="CA60" s="26">
        <v>0</v>
      </c>
      <c r="CB60" s="26">
        <v>414.13297307480667</v>
      </c>
      <c r="CC60" s="26">
        <v>293.56053100719544</v>
      </c>
      <c r="CD60" s="30">
        <v>1.4107242947610552</v>
      </c>
      <c r="CE60" s="26">
        <v>25.043599008275351</v>
      </c>
      <c r="CF60" s="26">
        <v>8.144971079570043</v>
      </c>
      <c r="CG60" s="26">
        <v>0</v>
      </c>
      <c r="CH60" s="26">
        <v>8.144971079570043</v>
      </c>
      <c r="CI60" s="26">
        <v>0.40724304887265145</v>
      </c>
      <c r="CJ60" s="26">
        <v>0</v>
      </c>
      <c r="CK60" s="26">
        <v>0.40724304887265145</v>
      </c>
      <c r="CL60" s="26"/>
      <c r="CM60" s="26">
        <v>0</v>
      </c>
      <c r="CN60" s="26"/>
      <c r="CO60" s="26">
        <v>0</v>
      </c>
      <c r="CP60" s="26">
        <v>0</v>
      </c>
      <c r="CQ60" s="26">
        <v>0</v>
      </c>
      <c r="CR60" s="26">
        <v>0</v>
      </c>
      <c r="CS60" s="26">
        <v>0</v>
      </c>
      <c r="CT60" s="26">
        <v>0</v>
      </c>
      <c r="CU60" s="26">
        <v>0</v>
      </c>
      <c r="CV60" s="26">
        <v>9999</v>
      </c>
      <c r="CW60" s="30">
        <v>9999</v>
      </c>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row>
    <row r="61" spans="1:131">
      <c r="A61" s="7" t="s">
        <v>314</v>
      </c>
      <c r="B61" s="7"/>
      <c r="C61" s="26">
        <v>20</v>
      </c>
      <c r="D61" s="26">
        <v>1039.5442662823673</v>
      </c>
      <c r="E61" s="26">
        <v>0</v>
      </c>
      <c r="F61" s="26">
        <v>333.10200000000003</v>
      </c>
      <c r="G61" s="26">
        <v>0</v>
      </c>
      <c r="H61" s="26">
        <v>0</v>
      </c>
      <c r="I61" s="26"/>
      <c r="J61" s="26"/>
      <c r="K61" s="26"/>
      <c r="L61" s="26">
        <v>1111.4974068636257</v>
      </c>
      <c r="M61" s="26">
        <v>2.9563896396480236E-3</v>
      </c>
      <c r="N61" s="26">
        <v>2.9350517450029922E-3</v>
      </c>
      <c r="O61" s="26">
        <v>0</v>
      </c>
      <c r="P61" s="26">
        <v>0</v>
      </c>
      <c r="Q61" s="26">
        <v>0</v>
      </c>
      <c r="R61" s="26">
        <v>66.424988543790576</v>
      </c>
      <c r="S61" s="26">
        <v>153.49804534097481</v>
      </c>
      <c r="T61" s="26">
        <v>0</v>
      </c>
      <c r="U61" s="26">
        <v>136.25188617329493</v>
      </c>
      <c r="V61" s="26">
        <v>19.986120000000003</v>
      </c>
      <c r="W61" s="26">
        <v>46.634280000000004</v>
      </c>
      <c r="X61" s="26">
        <v>0</v>
      </c>
      <c r="Y61" s="26">
        <v>0</v>
      </c>
      <c r="Z61" s="26">
        <v>0</v>
      </c>
      <c r="AA61" s="26">
        <v>0</v>
      </c>
      <c r="AB61" s="26">
        <v>0</v>
      </c>
      <c r="AC61" s="26">
        <v>0</v>
      </c>
      <c r="AD61" s="26">
        <v>0</v>
      </c>
      <c r="AE61" s="26">
        <v>0</v>
      </c>
      <c r="AF61" s="26">
        <v>0</v>
      </c>
      <c r="AG61" s="26">
        <v>0</v>
      </c>
      <c r="AH61" s="26">
        <v>86.411108543790576</v>
      </c>
      <c r="AI61" s="26">
        <v>200.13232534097483</v>
      </c>
      <c r="AJ61" s="26">
        <v>0</v>
      </c>
      <c r="AK61" s="26">
        <v>136.25188617329493</v>
      </c>
      <c r="AL61" s="26">
        <v>422.79532005806038</v>
      </c>
      <c r="AM61" s="26">
        <v>534.61238508007511</v>
      </c>
      <c r="AN61" s="26">
        <v>1.0446358001481495</v>
      </c>
      <c r="AO61" s="26">
        <v>0</v>
      </c>
      <c r="AP61" s="26">
        <v>0</v>
      </c>
      <c r="AQ61" s="26">
        <v>535.65702088022329</v>
      </c>
      <c r="AR61" s="26">
        <v>86.411108543790576</v>
      </c>
      <c r="AS61" s="30">
        <v>6.1989370337584351</v>
      </c>
      <c r="AT61" s="26">
        <v>534.61238508007511</v>
      </c>
      <c r="AU61" s="26">
        <v>1.2365376426726835</v>
      </c>
      <c r="AV61" s="26">
        <v>0</v>
      </c>
      <c r="AW61" s="26">
        <v>0</v>
      </c>
      <c r="AX61" s="26">
        <v>535.84892272274783</v>
      </c>
      <c r="AY61" s="26">
        <v>200.13232534097483</v>
      </c>
      <c r="AZ61" s="30">
        <v>2.6774731258920661</v>
      </c>
      <c r="BA61" s="26">
        <v>534.61238508007511</v>
      </c>
      <c r="BB61" s="26">
        <v>2.2811734428208332</v>
      </c>
      <c r="BC61" s="26">
        <v>0</v>
      </c>
      <c r="BD61" s="26">
        <v>0</v>
      </c>
      <c r="BE61" s="26">
        <v>536.893558522896</v>
      </c>
      <c r="BF61" s="26">
        <v>286.54343388476542</v>
      </c>
      <c r="BG61" s="26">
        <v>18.818320714496426</v>
      </c>
      <c r="BH61" s="30">
        <v>1.8736899716878868</v>
      </c>
      <c r="BI61" s="26">
        <v>5.7204637412792172</v>
      </c>
      <c r="BJ61" s="26">
        <v>13.248871931677243</v>
      </c>
      <c r="BK61" s="26">
        <v>0</v>
      </c>
      <c r="BL61" s="26">
        <v>9.0199511112653763</v>
      </c>
      <c r="BM61" s="26">
        <v>27.989286784221839</v>
      </c>
      <c r="BN61" s="26">
        <v>534.61238508007511</v>
      </c>
      <c r="BO61" s="26">
        <v>0</v>
      </c>
      <c r="BP61" s="26">
        <v>2.2811734428208332</v>
      </c>
      <c r="BQ61" s="26">
        <v>0</v>
      </c>
      <c r="BR61" s="26">
        <v>0</v>
      </c>
      <c r="BS61" s="26">
        <v>0</v>
      </c>
      <c r="BT61" s="26">
        <v>0</v>
      </c>
      <c r="BU61" s="26">
        <v>0</v>
      </c>
      <c r="BV61" s="26">
        <v>0</v>
      </c>
      <c r="BW61" s="26">
        <v>0</v>
      </c>
      <c r="BX61" s="26">
        <v>356.17492005806037</v>
      </c>
      <c r="BY61" s="26">
        <v>66.620400000000004</v>
      </c>
      <c r="BZ61" s="26">
        <v>0</v>
      </c>
      <c r="CA61" s="26">
        <v>0</v>
      </c>
      <c r="CB61" s="26">
        <v>536.893558522896</v>
      </c>
      <c r="CC61" s="26">
        <v>422.79532005806038</v>
      </c>
      <c r="CD61" s="30">
        <v>1.2698663704441362</v>
      </c>
      <c r="CE61" s="26">
        <v>27.838271825761808</v>
      </c>
      <c r="CF61" s="26">
        <v>10.559368104665552</v>
      </c>
      <c r="CG61" s="26">
        <v>0</v>
      </c>
      <c r="CH61" s="26">
        <v>10.559368104665552</v>
      </c>
      <c r="CI61" s="26">
        <v>0.52796126826022205</v>
      </c>
      <c r="CJ61" s="26">
        <v>0</v>
      </c>
      <c r="CK61" s="26">
        <v>0.52796126826022205</v>
      </c>
      <c r="CL61" s="26"/>
      <c r="CM61" s="26">
        <v>0</v>
      </c>
      <c r="CN61" s="26"/>
      <c r="CO61" s="26">
        <v>0</v>
      </c>
      <c r="CP61" s="26">
        <v>0</v>
      </c>
      <c r="CQ61" s="26">
        <v>0</v>
      </c>
      <c r="CR61" s="26">
        <v>0</v>
      </c>
      <c r="CS61" s="26">
        <v>0</v>
      </c>
      <c r="CT61" s="26">
        <v>0</v>
      </c>
      <c r="CU61" s="26">
        <v>0</v>
      </c>
      <c r="CV61" s="26">
        <v>9999</v>
      </c>
      <c r="CW61" s="30">
        <v>9999</v>
      </c>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row>
    <row r="62" spans="1:131">
      <c r="A62" s="7" t="s">
        <v>311</v>
      </c>
      <c r="B62" s="7"/>
      <c r="C62" s="26">
        <v>20</v>
      </c>
      <c r="D62" s="26">
        <v>1375.738818122496</v>
      </c>
      <c r="E62" s="26">
        <v>0</v>
      </c>
      <c r="F62" s="26">
        <v>446.65133333333335</v>
      </c>
      <c r="G62" s="26">
        <v>0</v>
      </c>
      <c r="H62" s="26">
        <v>0</v>
      </c>
      <c r="I62" s="26"/>
      <c r="J62" s="26"/>
      <c r="K62" s="26"/>
      <c r="L62" s="26">
        <v>1470.9620152427756</v>
      </c>
      <c r="M62" s="26">
        <v>3.9125029310240079E-3</v>
      </c>
      <c r="N62" s="26">
        <v>3.8842642394046902E-3</v>
      </c>
      <c r="O62" s="26">
        <v>0</v>
      </c>
      <c r="P62" s="26">
        <v>0</v>
      </c>
      <c r="Q62" s="26">
        <v>0</v>
      </c>
      <c r="R62" s="26">
        <v>89.06824245947324</v>
      </c>
      <c r="S62" s="26">
        <v>205.8231611206383</v>
      </c>
      <c r="T62" s="26">
        <v>0</v>
      </c>
      <c r="U62" s="26">
        <v>182.69805233377087</v>
      </c>
      <c r="V62" s="26">
        <v>26.79908</v>
      </c>
      <c r="W62" s="26">
        <v>62.53118666666667</v>
      </c>
      <c r="X62" s="26">
        <v>0</v>
      </c>
      <c r="Y62" s="26">
        <v>0</v>
      </c>
      <c r="Z62" s="26">
        <v>0</v>
      </c>
      <c r="AA62" s="26">
        <v>0</v>
      </c>
      <c r="AB62" s="26">
        <v>0</v>
      </c>
      <c r="AC62" s="26">
        <v>0</v>
      </c>
      <c r="AD62" s="26">
        <v>0</v>
      </c>
      <c r="AE62" s="26">
        <v>0</v>
      </c>
      <c r="AF62" s="26">
        <v>0</v>
      </c>
      <c r="AG62" s="26">
        <v>0</v>
      </c>
      <c r="AH62" s="26">
        <v>115.86732245947324</v>
      </c>
      <c r="AI62" s="26">
        <v>268.35434778730496</v>
      </c>
      <c r="AJ62" s="26">
        <v>0</v>
      </c>
      <c r="AK62" s="26">
        <v>182.69805233377087</v>
      </c>
      <c r="AL62" s="26">
        <v>566.91972258054909</v>
      </c>
      <c r="AM62" s="26">
        <v>707.50908321967825</v>
      </c>
      <c r="AN62" s="26">
        <v>1.3824769831147299</v>
      </c>
      <c r="AO62" s="26">
        <v>0</v>
      </c>
      <c r="AP62" s="26">
        <v>0</v>
      </c>
      <c r="AQ62" s="26">
        <v>708.89156020279302</v>
      </c>
      <c r="AR62" s="26">
        <v>115.86732245947324</v>
      </c>
      <c r="AS62" s="30">
        <v>6.1181318870188015</v>
      </c>
      <c r="AT62" s="26">
        <v>707.50908321967825</v>
      </c>
      <c r="AU62" s="26">
        <v>1.6364409773315205</v>
      </c>
      <c r="AV62" s="26">
        <v>0</v>
      </c>
      <c r="AW62" s="26">
        <v>0</v>
      </c>
      <c r="AX62" s="26">
        <v>709.14552419700976</v>
      </c>
      <c r="AY62" s="26">
        <v>268.35434778730496</v>
      </c>
      <c r="AZ62" s="30">
        <v>2.6425713987651567</v>
      </c>
      <c r="BA62" s="26">
        <v>707.50908321967825</v>
      </c>
      <c r="BB62" s="26">
        <v>3.0189179604462506</v>
      </c>
      <c r="BC62" s="26">
        <v>0</v>
      </c>
      <c r="BD62" s="26">
        <v>0</v>
      </c>
      <c r="BE62" s="26">
        <v>710.52800118012453</v>
      </c>
      <c r="BF62" s="26">
        <v>384.22167024677822</v>
      </c>
      <c r="BG62" s="26">
        <v>19.068857966865696</v>
      </c>
      <c r="BH62" s="30">
        <v>1.8492658176301353</v>
      </c>
      <c r="BI62" s="26">
        <v>5.7960166911941355</v>
      </c>
      <c r="BJ62" s="26">
        <v>13.423856234131593</v>
      </c>
      <c r="BK62" s="26">
        <v>0</v>
      </c>
      <c r="BL62" s="26">
        <v>9.1390819973903596</v>
      </c>
      <c r="BM62" s="26">
        <v>28.358954922716091</v>
      </c>
      <c r="BN62" s="26">
        <v>707.50908321967825</v>
      </c>
      <c r="BO62" s="26">
        <v>0</v>
      </c>
      <c r="BP62" s="26">
        <v>3.0189179604462506</v>
      </c>
      <c r="BQ62" s="26">
        <v>0</v>
      </c>
      <c r="BR62" s="26">
        <v>0</v>
      </c>
      <c r="BS62" s="26">
        <v>0</v>
      </c>
      <c r="BT62" s="26">
        <v>0</v>
      </c>
      <c r="BU62" s="26">
        <v>0</v>
      </c>
      <c r="BV62" s="26">
        <v>0</v>
      </c>
      <c r="BW62" s="26">
        <v>0</v>
      </c>
      <c r="BX62" s="26">
        <v>477.58945591388243</v>
      </c>
      <c r="BY62" s="26">
        <v>89.330266666666674</v>
      </c>
      <c r="BZ62" s="26">
        <v>0</v>
      </c>
      <c r="CA62" s="26">
        <v>0</v>
      </c>
      <c r="CB62" s="26">
        <v>710.52800118012453</v>
      </c>
      <c r="CC62" s="26">
        <v>566.91972258054909</v>
      </c>
      <c r="CD62" s="30">
        <v>1.2533132520877703</v>
      </c>
      <c r="CE62" s="26">
        <v>28.207939964256056</v>
      </c>
      <c r="CF62" s="26">
        <v>13.974328047024326</v>
      </c>
      <c r="CG62" s="26">
        <v>0</v>
      </c>
      <c r="CH62" s="26">
        <v>13.974328047024326</v>
      </c>
      <c r="CI62" s="26">
        <v>0.69870695724031839</v>
      </c>
      <c r="CJ62" s="26">
        <v>0</v>
      </c>
      <c r="CK62" s="26">
        <v>0.69870695724031839</v>
      </c>
      <c r="CL62" s="26"/>
      <c r="CM62" s="26">
        <v>0</v>
      </c>
      <c r="CN62" s="26"/>
      <c r="CO62" s="26">
        <v>0</v>
      </c>
      <c r="CP62" s="26">
        <v>0</v>
      </c>
      <c r="CQ62" s="26">
        <v>0</v>
      </c>
      <c r="CR62" s="26">
        <v>0</v>
      </c>
      <c r="CS62" s="26">
        <v>0</v>
      </c>
      <c r="CT62" s="26">
        <v>0</v>
      </c>
      <c r="CU62" s="26">
        <v>0</v>
      </c>
      <c r="CV62" s="26">
        <v>9999</v>
      </c>
      <c r="CW62" s="30">
        <v>9999</v>
      </c>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row>
    <row r="63" spans="1:131">
      <c r="A63" s="7" t="s">
        <v>313</v>
      </c>
      <c r="B63" s="7"/>
      <c r="C63" s="26">
        <v>20</v>
      </c>
      <c r="D63" s="26">
        <v>765.28971916213288</v>
      </c>
      <c r="E63" s="26">
        <v>0</v>
      </c>
      <c r="F63" s="26">
        <v>255.12666666666667</v>
      </c>
      <c r="G63" s="26">
        <v>0</v>
      </c>
      <c r="H63" s="26">
        <v>0</v>
      </c>
      <c r="I63" s="26"/>
      <c r="J63" s="26"/>
      <c r="K63" s="26"/>
      <c r="L63" s="26">
        <v>818.2600452312563</v>
      </c>
      <c r="M63" s="26">
        <v>2.1764292973797451E-3</v>
      </c>
      <c r="N63" s="26">
        <v>2.1607208067169993E-3</v>
      </c>
      <c r="O63" s="26">
        <v>0</v>
      </c>
      <c r="P63" s="26">
        <v>0</v>
      </c>
      <c r="Q63" s="26">
        <v>0</v>
      </c>
      <c r="R63" s="26">
        <v>50.875665443464193</v>
      </c>
      <c r="S63" s="26">
        <v>117.5659246948135</v>
      </c>
      <c r="T63" s="26">
        <v>0</v>
      </c>
      <c r="U63" s="26">
        <v>104.35689232258837</v>
      </c>
      <c r="V63" s="26">
        <v>15.307600000000001</v>
      </c>
      <c r="W63" s="26">
        <v>35.717733333333335</v>
      </c>
      <c r="X63" s="26">
        <v>0</v>
      </c>
      <c r="Y63" s="26">
        <v>0</v>
      </c>
      <c r="Z63" s="26">
        <v>0</v>
      </c>
      <c r="AA63" s="26">
        <v>0</v>
      </c>
      <c r="AB63" s="26">
        <v>0</v>
      </c>
      <c r="AC63" s="26">
        <v>0</v>
      </c>
      <c r="AD63" s="26">
        <v>0</v>
      </c>
      <c r="AE63" s="26">
        <v>0</v>
      </c>
      <c r="AF63" s="26">
        <v>0</v>
      </c>
      <c r="AG63" s="26">
        <v>0</v>
      </c>
      <c r="AH63" s="26">
        <v>66.183265443464194</v>
      </c>
      <c r="AI63" s="26">
        <v>153.28365802814685</v>
      </c>
      <c r="AJ63" s="26">
        <v>0</v>
      </c>
      <c r="AK63" s="26">
        <v>104.35689232258837</v>
      </c>
      <c r="AL63" s="26">
        <v>323.82381579419939</v>
      </c>
      <c r="AM63" s="26">
        <v>393.56992800477553</v>
      </c>
      <c r="AN63" s="26">
        <v>0.76903799487162583</v>
      </c>
      <c r="AO63" s="26">
        <v>0</v>
      </c>
      <c r="AP63" s="26">
        <v>0</v>
      </c>
      <c r="AQ63" s="26">
        <v>394.33896599964714</v>
      </c>
      <c r="AR63" s="26">
        <v>66.183265443464194</v>
      </c>
      <c r="AS63" s="30">
        <v>5.9582881466690969</v>
      </c>
      <c r="AT63" s="26">
        <v>393.56992800477553</v>
      </c>
      <c r="AU63" s="26">
        <v>0.91031192801302196</v>
      </c>
      <c r="AV63" s="26">
        <v>0</v>
      </c>
      <c r="AW63" s="26">
        <v>0</v>
      </c>
      <c r="AX63" s="26">
        <v>394.48023993278855</v>
      </c>
      <c r="AY63" s="26">
        <v>153.28365802814685</v>
      </c>
      <c r="AZ63" s="30">
        <v>2.5735309621874483</v>
      </c>
      <c r="BA63" s="26">
        <v>393.56992800477553</v>
      </c>
      <c r="BB63" s="26">
        <v>1.6793499228846478</v>
      </c>
      <c r="BC63" s="26">
        <v>0</v>
      </c>
      <c r="BD63" s="26">
        <v>0</v>
      </c>
      <c r="BE63" s="26">
        <v>395.24927792766016</v>
      </c>
      <c r="BF63" s="26">
        <v>219.46692347161104</v>
      </c>
      <c r="BG63" s="26">
        <v>19.584471898553037</v>
      </c>
      <c r="BH63" s="30">
        <v>1.8009514676537912</v>
      </c>
      <c r="BI63" s="26">
        <v>5.9515071549387786</v>
      </c>
      <c r="BJ63" s="26">
        <v>13.783979702074285</v>
      </c>
      <c r="BK63" s="26">
        <v>0</v>
      </c>
      <c r="BL63" s="26">
        <v>9.3842572916805835</v>
      </c>
      <c r="BM63" s="26">
        <v>29.119744148693648</v>
      </c>
      <c r="BN63" s="26">
        <v>393.56992800477553</v>
      </c>
      <c r="BO63" s="26">
        <v>0</v>
      </c>
      <c r="BP63" s="26">
        <v>1.6793499228846478</v>
      </c>
      <c r="BQ63" s="26">
        <v>0</v>
      </c>
      <c r="BR63" s="26">
        <v>0</v>
      </c>
      <c r="BS63" s="26">
        <v>0</v>
      </c>
      <c r="BT63" s="26">
        <v>0</v>
      </c>
      <c r="BU63" s="26">
        <v>0</v>
      </c>
      <c r="BV63" s="26">
        <v>0</v>
      </c>
      <c r="BW63" s="26">
        <v>0</v>
      </c>
      <c r="BX63" s="26">
        <v>272.79848246086607</v>
      </c>
      <c r="BY63" s="26">
        <v>51.025333333333336</v>
      </c>
      <c r="BZ63" s="26">
        <v>0</v>
      </c>
      <c r="CA63" s="26">
        <v>0</v>
      </c>
      <c r="CB63" s="26">
        <v>395.24927792766016</v>
      </c>
      <c r="CC63" s="26">
        <v>323.82381579419939</v>
      </c>
      <c r="CD63" s="30">
        <v>1.2205688978072384</v>
      </c>
      <c r="CE63" s="26">
        <v>28.968729190233617</v>
      </c>
      <c r="CF63" s="26">
        <v>7.7735755113617184</v>
      </c>
      <c r="CG63" s="26">
        <v>0</v>
      </c>
      <c r="CH63" s="26">
        <v>7.7735755113617184</v>
      </c>
      <c r="CI63" s="26">
        <v>0.3886735214848468</v>
      </c>
      <c r="CJ63" s="26">
        <v>0</v>
      </c>
      <c r="CK63" s="26">
        <v>0.3886735214848468</v>
      </c>
      <c r="CL63" s="26"/>
      <c r="CM63" s="26">
        <v>0</v>
      </c>
      <c r="CN63" s="26"/>
      <c r="CO63" s="26">
        <v>0</v>
      </c>
      <c r="CP63" s="26">
        <v>0</v>
      </c>
      <c r="CQ63" s="26">
        <v>0</v>
      </c>
      <c r="CR63" s="26">
        <v>0</v>
      </c>
      <c r="CS63" s="26">
        <v>0</v>
      </c>
      <c r="CT63" s="26">
        <v>0</v>
      </c>
      <c r="CU63" s="26">
        <v>0</v>
      </c>
      <c r="CV63" s="26">
        <v>9999</v>
      </c>
      <c r="CW63" s="30">
        <v>9999</v>
      </c>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row>
    <row r="64" spans="1:131">
      <c r="A64" s="7" t="s">
        <v>315</v>
      </c>
      <c r="B64" s="7"/>
      <c r="C64" s="26">
        <v>20</v>
      </c>
      <c r="D64" s="26">
        <v>765.28971916213288</v>
      </c>
      <c r="E64" s="26">
        <v>0</v>
      </c>
      <c r="F64" s="26">
        <v>255.12666666666667</v>
      </c>
      <c r="G64" s="26">
        <v>0</v>
      </c>
      <c r="H64" s="26">
        <v>0</v>
      </c>
      <c r="I64" s="26"/>
      <c r="J64" s="26"/>
      <c r="K64" s="26"/>
      <c r="L64" s="26">
        <v>818.2600452312563</v>
      </c>
      <c r="M64" s="26">
        <v>2.1764292973797451E-3</v>
      </c>
      <c r="N64" s="26">
        <v>2.1607208067169993E-3</v>
      </c>
      <c r="O64" s="26">
        <v>0</v>
      </c>
      <c r="P64" s="26">
        <v>0</v>
      </c>
      <c r="Q64" s="26">
        <v>0</v>
      </c>
      <c r="R64" s="26">
        <v>50.875665443464193</v>
      </c>
      <c r="S64" s="26">
        <v>117.5659246948135</v>
      </c>
      <c r="T64" s="26">
        <v>0</v>
      </c>
      <c r="U64" s="26">
        <v>104.35689232258837</v>
      </c>
      <c r="V64" s="26">
        <v>15.307600000000001</v>
      </c>
      <c r="W64" s="26">
        <v>35.717733333333335</v>
      </c>
      <c r="X64" s="26">
        <v>0</v>
      </c>
      <c r="Y64" s="26">
        <v>0</v>
      </c>
      <c r="Z64" s="26">
        <v>0</v>
      </c>
      <c r="AA64" s="26">
        <v>0</v>
      </c>
      <c r="AB64" s="26">
        <v>0</v>
      </c>
      <c r="AC64" s="26">
        <v>0</v>
      </c>
      <c r="AD64" s="26">
        <v>0</v>
      </c>
      <c r="AE64" s="26">
        <v>0</v>
      </c>
      <c r="AF64" s="26">
        <v>0</v>
      </c>
      <c r="AG64" s="26">
        <v>0</v>
      </c>
      <c r="AH64" s="26">
        <v>66.183265443464194</v>
      </c>
      <c r="AI64" s="26">
        <v>153.28365802814685</v>
      </c>
      <c r="AJ64" s="26">
        <v>0</v>
      </c>
      <c r="AK64" s="26">
        <v>104.35689232258837</v>
      </c>
      <c r="AL64" s="26">
        <v>323.82381579419939</v>
      </c>
      <c r="AM64" s="26">
        <v>393.56992800477553</v>
      </c>
      <c r="AN64" s="26">
        <v>0.76903799487162583</v>
      </c>
      <c r="AO64" s="26">
        <v>0</v>
      </c>
      <c r="AP64" s="26">
        <v>0</v>
      </c>
      <c r="AQ64" s="26">
        <v>394.33896599964714</v>
      </c>
      <c r="AR64" s="26">
        <v>66.183265443464194</v>
      </c>
      <c r="AS64" s="30">
        <v>5.9582881466690969</v>
      </c>
      <c r="AT64" s="26">
        <v>393.56992800477553</v>
      </c>
      <c r="AU64" s="26">
        <v>0.91031192801302196</v>
      </c>
      <c r="AV64" s="26">
        <v>0</v>
      </c>
      <c r="AW64" s="26">
        <v>0</v>
      </c>
      <c r="AX64" s="26">
        <v>394.48023993278855</v>
      </c>
      <c r="AY64" s="26">
        <v>153.28365802814685</v>
      </c>
      <c r="AZ64" s="30">
        <v>2.5735309621874483</v>
      </c>
      <c r="BA64" s="26">
        <v>393.56992800477553</v>
      </c>
      <c r="BB64" s="26">
        <v>1.6793499228846478</v>
      </c>
      <c r="BC64" s="26">
        <v>0</v>
      </c>
      <c r="BD64" s="26">
        <v>0</v>
      </c>
      <c r="BE64" s="26">
        <v>395.24927792766016</v>
      </c>
      <c r="BF64" s="26">
        <v>219.46692347161104</v>
      </c>
      <c r="BG64" s="26">
        <v>19.584471898553037</v>
      </c>
      <c r="BH64" s="30">
        <v>1.8009514676537912</v>
      </c>
      <c r="BI64" s="26">
        <v>5.9515071549387786</v>
      </c>
      <c r="BJ64" s="26">
        <v>13.783979702074285</v>
      </c>
      <c r="BK64" s="26">
        <v>0</v>
      </c>
      <c r="BL64" s="26">
        <v>9.3842572916805835</v>
      </c>
      <c r="BM64" s="26">
        <v>29.119744148693648</v>
      </c>
      <c r="BN64" s="26">
        <v>393.56992800477553</v>
      </c>
      <c r="BO64" s="26">
        <v>0</v>
      </c>
      <c r="BP64" s="26">
        <v>1.6793499228846478</v>
      </c>
      <c r="BQ64" s="26">
        <v>0</v>
      </c>
      <c r="BR64" s="26">
        <v>0</v>
      </c>
      <c r="BS64" s="26">
        <v>0</v>
      </c>
      <c r="BT64" s="26">
        <v>0</v>
      </c>
      <c r="BU64" s="26">
        <v>0</v>
      </c>
      <c r="BV64" s="26">
        <v>0</v>
      </c>
      <c r="BW64" s="26">
        <v>0</v>
      </c>
      <c r="BX64" s="26">
        <v>272.79848246086607</v>
      </c>
      <c r="BY64" s="26">
        <v>51.025333333333336</v>
      </c>
      <c r="BZ64" s="26">
        <v>0</v>
      </c>
      <c r="CA64" s="26">
        <v>0</v>
      </c>
      <c r="CB64" s="26">
        <v>395.24927792766016</v>
      </c>
      <c r="CC64" s="26">
        <v>323.82381579419939</v>
      </c>
      <c r="CD64" s="30">
        <v>1.2205688978072384</v>
      </c>
      <c r="CE64" s="26">
        <v>28.968729190233617</v>
      </c>
      <c r="CF64" s="26">
        <v>7.7735755113617184</v>
      </c>
      <c r="CG64" s="26">
        <v>0</v>
      </c>
      <c r="CH64" s="26">
        <v>7.7735755113617184</v>
      </c>
      <c r="CI64" s="26">
        <v>0.3886735214848468</v>
      </c>
      <c r="CJ64" s="26">
        <v>0</v>
      </c>
      <c r="CK64" s="26">
        <v>0.3886735214848468</v>
      </c>
      <c r="CL64" s="26"/>
      <c r="CM64" s="26">
        <v>0</v>
      </c>
      <c r="CN64" s="26"/>
      <c r="CO64" s="26">
        <v>0</v>
      </c>
      <c r="CP64" s="26">
        <v>0</v>
      </c>
      <c r="CQ64" s="26">
        <v>0</v>
      </c>
      <c r="CR64" s="26">
        <v>0</v>
      </c>
      <c r="CS64" s="26">
        <v>0</v>
      </c>
      <c r="CT64" s="26">
        <v>0</v>
      </c>
      <c r="CU64" s="26">
        <v>0</v>
      </c>
      <c r="CV64" s="26">
        <v>9999</v>
      </c>
      <c r="CW64" s="30">
        <v>9999</v>
      </c>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row>
    <row r="65" spans="1:131">
      <c r="A65" s="7" t="s">
        <v>318</v>
      </c>
      <c r="B65" s="7"/>
      <c r="C65" s="26">
        <v>20</v>
      </c>
      <c r="D65" s="26">
        <v>787.56249081075168</v>
      </c>
      <c r="E65" s="26">
        <v>0</v>
      </c>
      <c r="F65" s="26">
        <v>282.43600000000004</v>
      </c>
      <c r="G65" s="26">
        <v>0</v>
      </c>
      <c r="H65" s="26">
        <v>0</v>
      </c>
      <c r="I65" s="26"/>
      <c r="J65" s="26"/>
      <c r="K65" s="26"/>
      <c r="L65" s="26">
        <v>842.07444999887502</v>
      </c>
      <c r="M65" s="26">
        <v>2.2397714690255044E-3</v>
      </c>
      <c r="N65" s="26">
        <v>2.2236058029732101E-3</v>
      </c>
      <c r="O65" s="26">
        <v>0</v>
      </c>
      <c r="P65" s="26">
        <v>0</v>
      </c>
      <c r="Q65" s="26">
        <v>0</v>
      </c>
      <c r="R65" s="26">
        <v>56.321511321919523</v>
      </c>
      <c r="S65" s="26">
        <v>130.15044621144142</v>
      </c>
      <c r="T65" s="26">
        <v>0</v>
      </c>
      <c r="U65" s="26">
        <v>115.52748924725981</v>
      </c>
      <c r="V65" s="26">
        <v>16.946160000000003</v>
      </c>
      <c r="W65" s="26">
        <v>39.541040000000002</v>
      </c>
      <c r="X65" s="26">
        <v>0</v>
      </c>
      <c r="Y65" s="26">
        <v>0</v>
      </c>
      <c r="Z65" s="26">
        <v>0</v>
      </c>
      <c r="AA65" s="26">
        <v>0</v>
      </c>
      <c r="AB65" s="26">
        <v>0</v>
      </c>
      <c r="AC65" s="26">
        <v>0</v>
      </c>
      <c r="AD65" s="26">
        <v>0</v>
      </c>
      <c r="AE65" s="26">
        <v>0</v>
      </c>
      <c r="AF65" s="26">
        <v>0</v>
      </c>
      <c r="AG65" s="26">
        <v>0</v>
      </c>
      <c r="AH65" s="26">
        <v>73.267671321919522</v>
      </c>
      <c r="AI65" s="26">
        <v>169.69148621144143</v>
      </c>
      <c r="AJ65" s="26">
        <v>0</v>
      </c>
      <c r="AK65" s="26">
        <v>115.52748924725981</v>
      </c>
      <c r="AL65" s="26">
        <v>358.48664678062079</v>
      </c>
      <c r="AM65" s="26">
        <v>405.02427387500512</v>
      </c>
      <c r="AN65" s="26">
        <v>0.79141985525731162</v>
      </c>
      <c r="AO65" s="26">
        <v>0</v>
      </c>
      <c r="AP65" s="26">
        <v>0</v>
      </c>
      <c r="AQ65" s="26">
        <v>405.81569373026241</v>
      </c>
      <c r="AR65" s="26">
        <v>73.267671321919522</v>
      </c>
      <c r="AS65" s="30">
        <v>5.5388097698261953</v>
      </c>
      <c r="AT65" s="26">
        <v>405.02427387500512</v>
      </c>
      <c r="AU65" s="26">
        <v>0.93680538427406512</v>
      </c>
      <c r="AV65" s="26">
        <v>0</v>
      </c>
      <c r="AW65" s="26">
        <v>0</v>
      </c>
      <c r="AX65" s="26">
        <v>405.96107925927919</v>
      </c>
      <c r="AY65" s="26">
        <v>169.69148621144143</v>
      </c>
      <c r="AZ65" s="30">
        <v>2.3923479505237979</v>
      </c>
      <c r="BA65" s="26">
        <v>405.02427387500512</v>
      </c>
      <c r="BB65" s="26">
        <v>1.7282252395313766</v>
      </c>
      <c r="BC65" s="26">
        <v>0</v>
      </c>
      <c r="BD65" s="26">
        <v>0</v>
      </c>
      <c r="BE65" s="26">
        <v>406.75249911453648</v>
      </c>
      <c r="BF65" s="26">
        <v>242.95915753336095</v>
      </c>
      <c r="BG65" s="26">
        <v>21.079126948467145</v>
      </c>
      <c r="BH65" s="30">
        <v>1.6741599832831364</v>
      </c>
      <c r="BI65" s="26">
        <v>6.4022409163188883</v>
      </c>
      <c r="BJ65" s="26">
        <v>14.827900990608285</v>
      </c>
      <c r="BK65" s="26">
        <v>0</v>
      </c>
      <c r="BL65" s="26">
        <v>10.094968289201248</v>
      </c>
      <c r="BM65" s="26">
        <v>31.325110196128424</v>
      </c>
      <c r="BN65" s="26">
        <v>405.02427387500512</v>
      </c>
      <c r="BO65" s="26">
        <v>0</v>
      </c>
      <c r="BP65" s="26">
        <v>1.7282252395313766</v>
      </c>
      <c r="BQ65" s="26">
        <v>0</v>
      </c>
      <c r="BR65" s="26">
        <v>0</v>
      </c>
      <c r="BS65" s="26">
        <v>0</v>
      </c>
      <c r="BT65" s="26">
        <v>0</v>
      </c>
      <c r="BU65" s="26">
        <v>0</v>
      </c>
      <c r="BV65" s="26">
        <v>0</v>
      </c>
      <c r="BW65" s="26">
        <v>0</v>
      </c>
      <c r="BX65" s="26">
        <v>301.99944678062076</v>
      </c>
      <c r="BY65" s="26">
        <v>56.487200000000009</v>
      </c>
      <c r="BZ65" s="26">
        <v>0</v>
      </c>
      <c r="CA65" s="26">
        <v>0</v>
      </c>
      <c r="CB65" s="26">
        <v>406.75249911453648</v>
      </c>
      <c r="CC65" s="26">
        <v>358.48664678062079</v>
      </c>
      <c r="CD65" s="30">
        <v>1.1346377968813226</v>
      </c>
      <c r="CE65" s="26">
        <v>31.174095237668393</v>
      </c>
      <c r="CF65" s="26">
        <v>7.9998154149206036</v>
      </c>
      <c r="CG65" s="26">
        <v>0</v>
      </c>
      <c r="CH65" s="26">
        <v>7.9998154149206036</v>
      </c>
      <c r="CI65" s="26">
        <v>0.39998536374946564</v>
      </c>
      <c r="CJ65" s="26">
        <v>0</v>
      </c>
      <c r="CK65" s="26">
        <v>0.39998536374946564</v>
      </c>
      <c r="CL65" s="26"/>
      <c r="CM65" s="26">
        <v>0</v>
      </c>
      <c r="CN65" s="26"/>
      <c r="CO65" s="26">
        <v>0</v>
      </c>
      <c r="CP65" s="26">
        <v>0</v>
      </c>
      <c r="CQ65" s="26">
        <v>0</v>
      </c>
      <c r="CR65" s="26">
        <v>0</v>
      </c>
      <c r="CS65" s="26">
        <v>0</v>
      </c>
      <c r="CT65" s="26">
        <v>0</v>
      </c>
      <c r="CU65" s="26">
        <v>0</v>
      </c>
      <c r="CV65" s="26">
        <v>9999</v>
      </c>
      <c r="CW65" s="30">
        <v>9999</v>
      </c>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row>
    <row r="66" spans="1:131">
      <c r="A66" s="7"/>
      <c r="B66" s="7"/>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row>
    <row r="67" spans="1:131">
      <c r="A67" s="7"/>
      <c r="B67" s="7"/>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row>
    <row r="68" spans="1:131" ht="13.5" thickBot="1">
      <c r="A68" s="24" t="s">
        <v>516</v>
      </c>
      <c r="B68" s="25"/>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row>
    <row r="69" spans="1:131" ht="13.5" thickBot="1">
      <c r="A69" s="278" t="s">
        <v>517</v>
      </c>
      <c r="B69" s="279"/>
      <c r="C69" s="280"/>
      <c r="D69" s="280"/>
      <c r="E69" s="280"/>
      <c r="F69" s="280"/>
      <c r="G69" s="280"/>
      <c r="H69" s="280"/>
      <c r="I69" s="280"/>
      <c r="J69" s="280"/>
      <c r="K69" s="280"/>
      <c r="L69" s="31"/>
      <c r="M69" s="281"/>
      <c r="N69" s="282" t="s">
        <v>518</v>
      </c>
      <c r="O69" s="280"/>
      <c r="P69" s="280"/>
      <c r="Q69" s="280"/>
      <c r="R69" s="280"/>
      <c r="S69" s="280"/>
      <c r="T69" s="280"/>
      <c r="U69" s="280"/>
      <c r="V69" s="280"/>
      <c r="W69" s="280"/>
      <c r="X69" s="280"/>
      <c r="Y69" s="31"/>
      <c r="Z69" s="281"/>
      <c r="AA69" s="282" t="s">
        <v>519</v>
      </c>
      <c r="AB69" s="280"/>
      <c r="AC69" s="280"/>
      <c r="AD69" s="280"/>
      <c r="AE69" s="280"/>
      <c r="AF69" s="280"/>
      <c r="AG69" s="280"/>
      <c r="AH69" s="280"/>
      <c r="AI69" s="280"/>
      <c r="AJ69" s="280"/>
      <c r="AK69" s="280"/>
      <c r="AL69" s="31"/>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row>
    <row r="70" spans="1:131" ht="204">
      <c r="A70" s="27"/>
      <c r="B70" s="28" t="s">
        <v>520</v>
      </c>
      <c r="C70" s="29" t="s">
        <v>521</v>
      </c>
      <c r="D70" s="29" t="s">
        <v>139</v>
      </c>
      <c r="E70" s="29" t="s">
        <v>140</v>
      </c>
      <c r="F70" s="29" t="s">
        <v>141</v>
      </c>
      <c r="G70" s="29" t="s">
        <v>142</v>
      </c>
      <c r="H70" s="29" t="s">
        <v>143</v>
      </c>
      <c r="I70" s="29" t="s">
        <v>144</v>
      </c>
      <c r="J70" s="29" t="s">
        <v>145</v>
      </c>
      <c r="K70" s="29" t="s">
        <v>21</v>
      </c>
      <c r="L70" s="29" t="s">
        <v>138</v>
      </c>
      <c r="M70" s="29" t="s">
        <v>146</v>
      </c>
      <c r="N70" s="29" t="s">
        <v>147</v>
      </c>
      <c r="O70" s="29" t="s">
        <v>148</v>
      </c>
      <c r="P70" s="29" t="s">
        <v>149</v>
      </c>
      <c r="Q70" s="29" t="s">
        <v>150</v>
      </c>
      <c r="R70" s="29" t="s">
        <v>151</v>
      </c>
      <c r="S70" s="29" t="s">
        <v>152</v>
      </c>
      <c r="T70" s="29" t="s">
        <v>153</v>
      </c>
      <c r="U70" s="29" t="s">
        <v>154</v>
      </c>
      <c r="V70" s="29" t="s">
        <v>155</v>
      </c>
      <c r="W70" s="29" t="s">
        <v>156</v>
      </c>
      <c r="X70" s="29" t="s">
        <v>157</v>
      </c>
      <c r="Y70" s="29" t="s">
        <v>158</v>
      </c>
      <c r="Z70" s="29"/>
      <c r="AA70" s="29" t="s">
        <v>147</v>
      </c>
      <c r="AB70" s="29" t="s">
        <v>148</v>
      </c>
      <c r="AC70" s="29" t="s">
        <v>149</v>
      </c>
      <c r="AD70" s="29" t="s">
        <v>150</v>
      </c>
      <c r="AE70" s="29" t="s">
        <v>151</v>
      </c>
      <c r="AF70" s="29" t="s">
        <v>152</v>
      </c>
      <c r="AG70" s="29" t="s">
        <v>153</v>
      </c>
      <c r="AH70" s="29" t="s">
        <v>154</v>
      </c>
      <c r="AI70" s="29" t="s">
        <v>155</v>
      </c>
      <c r="AJ70" s="29" t="s">
        <v>156</v>
      </c>
      <c r="AK70" s="29" t="s">
        <v>157</v>
      </c>
      <c r="AL70" s="29" t="s">
        <v>158</v>
      </c>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row>
    <row r="71" spans="1:131">
      <c r="A71" s="7"/>
      <c r="B71" s="38" t="s">
        <v>522</v>
      </c>
      <c r="C71" s="283">
        <v>7573.151477001843</v>
      </c>
      <c r="D71" s="283">
        <v>2180.0753333333337</v>
      </c>
      <c r="E71" s="283">
        <v>0</v>
      </c>
      <c r="F71" s="283">
        <v>2180.0753333333337</v>
      </c>
      <c r="G71" s="283">
        <v>2414.2419272035577</v>
      </c>
      <c r="H71" s="283">
        <v>3658.1068211338747</v>
      </c>
      <c r="I71" s="283">
        <v>2521.7321980149472</v>
      </c>
      <c r="J71" s="283">
        <v>13.833855558159186</v>
      </c>
      <c r="K71" s="283">
        <v>23.3060817680309</v>
      </c>
      <c r="L71" s="30">
        <v>1.5223284782852178</v>
      </c>
      <c r="M71" s="26">
        <v>71.945911582199273</v>
      </c>
      <c r="N71" s="32">
        <v>0</v>
      </c>
      <c r="O71" s="32">
        <v>0.2653013586537451</v>
      </c>
      <c r="P71" s="32">
        <v>14.607266092238243</v>
      </c>
      <c r="Q71" s="32">
        <v>175.95238194575145</v>
      </c>
      <c r="R71" s="32">
        <v>696.93894532372337</v>
      </c>
      <c r="S71" s="32">
        <v>923.67409980005039</v>
      </c>
      <c r="T71" s="32">
        <v>894.23067075341862</v>
      </c>
      <c r="U71" s="32">
        <v>907.02702587890258</v>
      </c>
      <c r="V71" s="32">
        <v>426.40401760349368</v>
      </c>
      <c r="W71" s="32">
        <v>245.1941081576511</v>
      </c>
      <c r="X71" s="32">
        <v>69.30014853505952</v>
      </c>
      <c r="Y71" s="32">
        <v>0.47487478146432383</v>
      </c>
      <c r="Z71" s="32"/>
      <c r="AA71" s="32">
        <v>0</v>
      </c>
      <c r="AB71" s="32">
        <v>0.18143382359493038</v>
      </c>
      <c r="AC71" s="32">
        <v>5.3861258645921204</v>
      </c>
      <c r="AD71" s="32">
        <v>115.96050913926362</v>
      </c>
      <c r="AE71" s="32">
        <v>451.91326793557141</v>
      </c>
      <c r="AF71" s="32">
        <v>678.9700067276234</v>
      </c>
      <c r="AG71" s="32">
        <v>770.15073777140265</v>
      </c>
      <c r="AH71" s="32">
        <v>659.61018546052946</v>
      </c>
      <c r="AI71" s="32">
        <v>341.29463499489975</v>
      </c>
      <c r="AJ71" s="32">
        <v>161.07108015077472</v>
      </c>
      <c r="AK71" s="32">
        <v>34.193724067860842</v>
      </c>
      <c r="AL71" s="32">
        <v>0.35093083532236186</v>
      </c>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row>
    <row r="72" spans="1:131">
      <c r="A72" s="7"/>
      <c r="B72" s="38" t="s">
        <v>523</v>
      </c>
      <c r="C72" s="283">
        <v>7573.151477001843</v>
      </c>
      <c r="D72" s="283">
        <v>2180.0753333333337</v>
      </c>
      <c r="E72" s="283">
        <v>436.01506666666671</v>
      </c>
      <c r="F72" s="283">
        <v>2616.0904000000005</v>
      </c>
      <c r="G72" s="283">
        <v>2850.2569938702241</v>
      </c>
      <c r="H72" s="283">
        <v>3658.1068211338747</v>
      </c>
      <c r="I72" s="283">
        <v>3026.0786376179371</v>
      </c>
      <c r="J72" s="283">
        <v>18.070236128707137</v>
      </c>
      <c r="K72" s="283">
        <v>27.542462338578847</v>
      </c>
      <c r="L72" s="30">
        <v>1.2908770645546801</v>
      </c>
      <c r="M72" s="26">
        <v>71.945911582199273</v>
      </c>
      <c r="N72" s="32">
        <v>0</v>
      </c>
      <c r="O72" s="32">
        <v>5.9534081895249183E-2</v>
      </c>
      <c r="P72" s="32">
        <v>3.2778956738627016</v>
      </c>
      <c r="Q72" s="32">
        <v>39.484017607667298</v>
      </c>
      <c r="R72" s="32">
        <v>156.3942998914055</v>
      </c>
      <c r="S72" s="32">
        <v>207.27405913433873</v>
      </c>
      <c r="T72" s="32">
        <v>200.66690293644342</v>
      </c>
      <c r="U72" s="32">
        <v>203.53842706985552</v>
      </c>
      <c r="V72" s="32">
        <v>95.685796082187949</v>
      </c>
      <c r="W72" s="32">
        <v>55.021980246779719</v>
      </c>
      <c r="X72" s="32">
        <v>15.55107270906894</v>
      </c>
      <c r="Y72" s="32">
        <v>0.10656271898925129</v>
      </c>
      <c r="Z72" s="32"/>
      <c r="AA72" s="32">
        <v>0</v>
      </c>
      <c r="AB72" s="32">
        <v>4.0714062556182463E-2</v>
      </c>
      <c r="AC72" s="32">
        <v>1.2086559222610318</v>
      </c>
      <c r="AD72" s="32">
        <v>26.021738006709064</v>
      </c>
      <c r="AE72" s="32">
        <v>101.41011579944353</v>
      </c>
      <c r="AF72" s="32">
        <v>152.36203911679291</v>
      </c>
      <c r="AG72" s="32">
        <v>172.82315223274117</v>
      </c>
      <c r="AH72" s="32">
        <v>148.01766187484739</v>
      </c>
      <c r="AI72" s="32">
        <v>76.587104013719724</v>
      </c>
      <c r="AJ72" s="32">
        <v>36.144627850050782</v>
      </c>
      <c r="AK72" s="32">
        <v>7.6731305836109174</v>
      </c>
      <c r="AL72" s="32">
        <v>7.8749483966710804E-2</v>
      </c>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row>
    <row r="73" spans="1:131">
      <c r="A73" s="7"/>
      <c r="B73" s="38" t="s">
        <v>524</v>
      </c>
      <c r="C73" s="284"/>
      <c r="D73" s="284"/>
      <c r="E73" s="284"/>
      <c r="F73" s="284"/>
      <c r="G73" s="284"/>
      <c r="H73" s="284"/>
      <c r="I73" s="284"/>
      <c r="J73" s="284"/>
      <c r="K73" s="284"/>
      <c r="L73" s="93"/>
      <c r="M73" s="285"/>
      <c r="N73" s="285"/>
      <c r="O73" s="285"/>
      <c r="P73" s="285"/>
      <c r="Q73" s="285"/>
      <c r="R73" s="285"/>
      <c r="S73" s="285"/>
      <c r="T73" s="285"/>
      <c r="U73" s="285"/>
      <c r="V73" s="285"/>
      <c r="W73" s="285"/>
      <c r="X73" s="285"/>
      <c r="Y73" s="285"/>
      <c r="Z73" s="285"/>
      <c r="AA73" s="285"/>
      <c r="AB73" s="285"/>
      <c r="AC73" s="285"/>
      <c r="AD73" s="285"/>
      <c r="AE73" s="285"/>
      <c r="AF73" s="285"/>
      <c r="AG73" s="285"/>
      <c r="AH73" s="285"/>
      <c r="AI73" s="285"/>
      <c r="AJ73" s="285"/>
      <c r="AK73" s="285"/>
      <c r="AL73" s="285"/>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row>
    <row r="74" spans="1:131">
      <c r="A74" s="7"/>
      <c r="B74" s="7" t="s">
        <v>38</v>
      </c>
      <c r="C74" s="285">
        <v>0</v>
      </c>
      <c r="D74" s="285">
        <v>0</v>
      </c>
      <c r="E74" s="285">
        <v>0</v>
      </c>
      <c r="F74" s="285">
        <v>0</v>
      </c>
      <c r="G74" s="285">
        <v>0</v>
      </c>
      <c r="H74" s="285">
        <v>0</v>
      </c>
      <c r="I74" s="285">
        <v>0</v>
      </c>
      <c r="J74" s="285">
        <v>0</v>
      </c>
      <c r="K74" s="285">
        <v>0</v>
      </c>
      <c r="L74" s="93">
        <v>0</v>
      </c>
      <c r="M74" s="285">
        <v>0</v>
      </c>
      <c r="N74" s="285">
        <v>0</v>
      </c>
      <c r="O74" s="285">
        <v>0</v>
      </c>
      <c r="P74" s="285">
        <v>0</v>
      </c>
      <c r="Q74" s="285">
        <v>0</v>
      </c>
      <c r="R74" s="285">
        <v>0</v>
      </c>
      <c r="S74" s="285">
        <v>0</v>
      </c>
      <c r="T74" s="285">
        <v>0</v>
      </c>
      <c r="U74" s="285">
        <v>0</v>
      </c>
      <c r="V74" s="285">
        <v>0</v>
      </c>
      <c r="W74" s="285">
        <v>0</v>
      </c>
      <c r="X74" s="285">
        <v>0</v>
      </c>
      <c r="Y74" s="285">
        <v>0</v>
      </c>
      <c r="Z74" s="285"/>
      <c r="AA74" s="285">
        <v>0</v>
      </c>
      <c r="AB74" s="285">
        <v>0</v>
      </c>
      <c r="AC74" s="285">
        <v>0</v>
      </c>
      <c r="AD74" s="285">
        <v>0</v>
      </c>
      <c r="AE74" s="285">
        <v>0</v>
      </c>
      <c r="AF74" s="285">
        <v>0</v>
      </c>
      <c r="AG74" s="285">
        <v>0</v>
      </c>
      <c r="AH74" s="285">
        <v>0</v>
      </c>
      <c r="AI74" s="285">
        <v>0</v>
      </c>
      <c r="AJ74" s="285">
        <v>0</v>
      </c>
      <c r="AK74" s="285">
        <v>0</v>
      </c>
      <c r="AL74" s="285">
        <v>0</v>
      </c>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row>
    <row r="75" spans="1:131">
      <c r="A75" s="7"/>
      <c r="B75" s="7" t="s">
        <v>41</v>
      </c>
      <c r="C75" s="285">
        <v>0</v>
      </c>
      <c r="D75" s="285">
        <v>0</v>
      </c>
      <c r="E75" s="285">
        <v>0</v>
      </c>
      <c r="F75" s="285">
        <v>0</v>
      </c>
      <c r="G75" s="285">
        <v>0</v>
      </c>
      <c r="H75" s="285">
        <v>0</v>
      </c>
      <c r="I75" s="285">
        <v>0</v>
      </c>
      <c r="J75" s="285">
        <v>0</v>
      </c>
      <c r="K75" s="285">
        <v>0</v>
      </c>
      <c r="L75" s="286">
        <v>0</v>
      </c>
      <c r="M75" s="285">
        <v>0</v>
      </c>
      <c r="N75" s="285">
        <v>0</v>
      </c>
      <c r="O75" s="285">
        <v>0</v>
      </c>
      <c r="P75" s="285">
        <v>0</v>
      </c>
      <c r="Q75" s="285">
        <v>0</v>
      </c>
      <c r="R75" s="285">
        <v>0</v>
      </c>
      <c r="S75" s="285">
        <v>0</v>
      </c>
      <c r="T75" s="285">
        <v>0</v>
      </c>
      <c r="U75" s="285">
        <v>0</v>
      </c>
      <c r="V75" s="285">
        <v>0</v>
      </c>
      <c r="W75" s="285">
        <v>0</v>
      </c>
      <c r="X75" s="285">
        <v>0</v>
      </c>
      <c r="Y75" s="285">
        <v>0</v>
      </c>
      <c r="Z75" s="285"/>
      <c r="AA75" s="285">
        <v>0</v>
      </c>
      <c r="AB75" s="285">
        <v>0</v>
      </c>
      <c r="AC75" s="285">
        <v>0</v>
      </c>
      <c r="AD75" s="285">
        <v>0</v>
      </c>
      <c r="AE75" s="285">
        <v>0</v>
      </c>
      <c r="AF75" s="285">
        <v>0</v>
      </c>
      <c r="AG75" s="285">
        <v>0</v>
      </c>
      <c r="AH75" s="285">
        <v>0</v>
      </c>
      <c r="AI75" s="285">
        <v>0</v>
      </c>
      <c r="AJ75" s="285">
        <v>0</v>
      </c>
      <c r="AK75" s="285">
        <v>0</v>
      </c>
      <c r="AL75" s="285">
        <v>0</v>
      </c>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row>
    <row r="76" spans="1:131">
      <c r="A76" s="7"/>
      <c r="B76" s="7" t="s">
        <v>44</v>
      </c>
      <c r="C76" s="285">
        <v>0</v>
      </c>
      <c r="D76" s="285">
        <v>0</v>
      </c>
      <c r="E76" s="285">
        <v>0</v>
      </c>
      <c r="F76" s="285">
        <v>0</v>
      </c>
      <c r="G76" s="285">
        <v>0</v>
      </c>
      <c r="H76" s="285">
        <v>0</v>
      </c>
      <c r="I76" s="285">
        <v>0</v>
      </c>
      <c r="J76" s="285">
        <v>0</v>
      </c>
      <c r="K76" s="285">
        <v>0</v>
      </c>
      <c r="L76" s="286">
        <v>0</v>
      </c>
      <c r="M76" s="285">
        <v>0</v>
      </c>
      <c r="N76" s="285">
        <v>0</v>
      </c>
      <c r="O76" s="285">
        <v>0</v>
      </c>
      <c r="P76" s="285">
        <v>0</v>
      </c>
      <c r="Q76" s="285">
        <v>0</v>
      </c>
      <c r="R76" s="285">
        <v>0</v>
      </c>
      <c r="S76" s="285">
        <v>0</v>
      </c>
      <c r="T76" s="285">
        <v>0</v>
      </c>
      <c r="U76" s="285">
        <v>0</v>
      </c>
      <c r="V76" s="285">
        <v>0</v>
      </c>
      <c r="W76" s="285">
        <v>0</v>
      </c>
      <c r="X76" s="285">
        <v>0</v>
      </c>
      <c r="Y76" s="285">
        <v>0</v>
      </c>
      <c r="Z76" s="285"/>
      <c r="AA76" s="285">
        <v>0</v>
      </c>
      <c r="AB76" s="285">
        <v>0</v>
      </c>
      <c r="AC76" s="285">
        <v>0</v>
      </c>
      <c r="AD76" s="285">
        <v>0</v>
      </c>
      <c r="AE76" s="285">
        <v>0</v>
      </c>
      <c r="AF76" s="285">
        <v>0</v>
      </c>
      <c r="AG76" s="285">
        <v>0</v>
      </c>
      <c r="AH76" s="285">
        <v>0</v>
      </c>
      <c r="AI76" s="285">
        <v>0</v>
      </c>
      <c r="AJ76" s="285">
        <v>0</v>
      </c>
      <c r="AK76" s="285">
        <v>0</v>
      </c>
      <c r="AL76" s="285">
        <v>0</v>
      </c>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row>
    <row r="77" spans="1:131">
      <c r="A77" s="7"/>
      <c r="B77" s="7" t="s">
        <v>47</v>
      </c>
      <c r="C77" s="26">
        <v>6731.077027002968</v>
      </c>
      <c r="D77" s="26">
        <v>1897.6393333333335</v>
      </c>
      <c r="E77" s="26">
        <v>379.52786666666668</v>
      </c>
      <c r="F77" s="26">
        <v>2277.1672000000003</v>
      </c>
      <c r="G77" s="26">
        <v>2491.7703470896031</v>
      </c>
      <c r="H77" s="26">
        <v>3251.3543220193383</v>
      </c>
      <c r="I77" s="26">
        <v>2963.5650568215087</v>
      </c>
      <c r="J77" s="26">
        <v>17.693816415785772</v>
      </c>
      <c r="K77" s="26">
        <v>27.088136045204031</v>
      </c>
      <c r="L77" s="30">
        <v>1.3104229848979585</v>
      </c>
      <c r="M77" s="26">
        <v>63.946096167278668</v>
      </c>
      <c r="N77" s="32">
        <v>0</v>
      </c>
      <c r="O77" s="32">
        <v>0.23580194927962414</v>
      </c>
      <c r="P77" s="32">
        <v>12.983053821037458</v>
      </c>
      <c r="Q77" s="32">
        <v>156.38787096206013</v>
      </c>
      <c r="R77" s="32">
        <v>619.44485572991402</v>
      </c>
      <c r="S77" s="32">
        <v>820.96885721651506</v>
      </c>
      <c r="T77" s="32">
        <v>794.79930423004362</v>
      </c>
      <c r="U77" s="32">
        <v>806.17280603785571</v>
      </c>
      <c r="V77" s="32">
        <v>378.99126880384557</v>
      </c>
      <c r="W77" s="32">
        <v>217.93046574975364</v>
      </c>
      <c r="X77" s="32">
        <v>61.594521011337619</v>
      </c>
      <c r="Y77" s="32">
        <v>0.42207246770706408</v>
      </c>
      <c r="Z77" s="32"/>
      <c r="AA77" s="32">
        <v>0</v>
      </c>
      <c r="AB77" s="32">
        <v>0.16125981972364128</v>
      </c>
      <c r="AC77" s="32">
        <v>4.7872313371520452</v>
      </c>
      <c r="AD77" s="32">
        <v>103.066619158115</v>
      </c>
      <c r="AE77" s="32">
        <v>401.66409258239389</v>
      </c>
      <c r="AF77" s="32">
        <v>603.47392075639107</v>
      </c>
      <c r="AG77" s="32">
        <v>684.51607683869565</v>
      </c>
      <c r="AH77" s="32">
        <v>586.26675824636447</v>
      </c>
      <c r="AI77" s="32">
        <v>303.34537530774571</v>
      </c>
      <c r="AJ77" s="32">
        <v>143.16125203752739</v>
      </c>
      <c r="AK77" s="32">
        <v>30.391652833012596</v>
      </c>
      <c r="AL77" s="32">
        <v>0.3119101064964393</v>
      </c>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row>
    <row r="78" spans="1:131">
      <c r="A78" s="7"/>
      <c r="B78" s="7" t="s">
        <v>50</v>
      </c>
      <c r="C78" s="26">
        <v>842.07444999887502</v>
      </c>
      <c r="D78" s="26">
        <v>282.43600000000004</v>
      </c>
      <c r="E78" s="26">
        <v>56.487200000000009</v>
      </c>
      <c r="F78" s="26">
        <v>338.92320000000007</v>
      </c>
      <c r="G78" s="26">
        <v>358.48664678062079</v>
      </c>
      <c r="H78" s="26">
        <v>406.75249911453648</v>
      </c>
      <c r="I78" s="26">
        <v>3525.7775984106474</v>
      </c>
      <c r="J78" s="26">
        <v>21.079126948467145</v>
      </c>
      <c r="K78" s="26">
        <v>31.174095237668393</v>
      </c>
      <c r="L78" s="30">
        <v>1.1346377968813226</v>
      </c>
      <c r="M78" s="26">
        <v>7.9998154149206036</v>
      </c>
      <c r="N78" s="32">
        <v>0</v>
      </c>
      <c r="O78" s="32">
        <v>2.9499409374121034E-2</v>
      </c>
      <c r="P78" s="32">
        <v>1.624212271200784</v>
      </c>
      <c r="Q78" s="32">
        <v>19.56451098369131</v>
      </c>
      <c r="R78" s="32">
        <v>77.494089593809349</v>
      </c>
      <c r="S78" s="32">
        <v>102.70524258353538</v>
      </c>
      <c r="T78" s="32">
        <v>99.431366523375161</v>
      </c>
      <c r="U78" s="32">
        <v>100.85421984104681</v>
      </c>
      <c r="V78" s="32">
        <v>47.412748799648128</v>
      </c>
      <c r="W78" s="32">
        <v>27.263642407897461</v>
      </c>
      <c r="X78" s="32">
        <v>7.7056275237219047</v>
      </c>
      <c r="Y78" s="32">
        <v>5.2802313757259758E-2</v>
      </c>
      <c r="Z78" s="32"/>
      <c r="AA78" s="32">
        <v>0</v>
      </c>
      <c r="AB78" s="32">
        <v>2.0174003871289096E-2</v>
      </c>
      <c r="AC78" s="32">
        <v>0.59889452744007499</v>
      </c>
      <c r="AD78" s="32">
        <v>12.89388998114862</v>
      </c>
      <c r="AE78" s="32">
        <v>50.249175353177471</v>
      </c>
      <c r="AF78" s="32">
        <v>75.49608597123229</v>
      </c>
      <c r="AG78" s="32">
        <v>85.63466093270695</v>
      </c>
      <c r="AH78" s="32">
        <v>73.343427214165061</v>
      </c>
      <c r="AI78" s="32">
        <v>37.949259687154026</v>
      </c>
      <c r="AJ78" s="32">
        <v>17.909828113247357</v>
      </c>
      <c r="AK78" s="32">
        <v>3.8020712348482464</v>
      </c>
      <c r="AL78" s="32">
        <v>3.9020728825922529E-2</v>
      </c>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row>
    <row r="79" spans="1:131">
      <c r="A79" s="7"/>
      <c r="B79" s="7" t="s">
        <v>53</v>
      </c>
      <c r="C79" s="285">
        <v>0</v>
      </c>
      <c r="D79" s="285">
        <v>0</v>
      </c>
      <c r="E79" s="285">
        <v>0</v>
      </c>
      <c r="F79" s="285">
        <v>0</v>
      </c>
      <c r="G79" s="285">
        <v>0</v>
      </c>
      <c r="H79" s="285">
        <v>0</v>
      </c>
      <c r="I79" s="285">
        <v>0</v>
      </c>
      <c r="J79" s="285">
        <v>0</v>
      </c>
      <c r="K79" s="285">
        <v>0</v>
      </c>
      <c r="L79" s="286">
        <v>0</v>
      </c>
      <c r="M79" s="285">
        <v>0</v>
      </c>
      <c r="N79" s="285">
        <v>0</v>
      </c>
      <c r="O79" s="285">
        <v>0</v>
      </c>
      <c r="P79" s="285">
        <v>0</v>
      </c>
      <c r="Q79" s="285">
        <v>0</v>
      </c>
      <c r="R79" s="285">
        <v>0</v>
      </c>
      <c r="S79" s="285">
        <v>0</v>
      </c>
      <c r="T79" s="285">
        <v>0</v>
      </c>
      <c r="U79" s="285">
        <v>0</v>
      </c>
      <c r="V79" s="285">
        <v>0</v>
      </c>
      <c r="W79" s="285">
        <v>0</v>
      </c>
      <c r="X79" s="285">
        <v>0</v>
      </c>
      <c r="Y79" s="285">
        <v>0</v>
      </c>
      <c r="Z79" s="285"/>
      <c r="AA79" s="285">
        <v>0</v>
      </c>
      <c r="AB79" s="285">
        <v>0</v>
      </c>
      <c r="AC79" s="285">
        <v>0</v>
      </c>
      <c r="AD79" s="285">
        <v>0</v>
      </c>
      <c r="AE79" s="285">
        <v>0</v>
      </c>
      <c r="AF79" s="285">
        <v>0</v>
      </c>
      <c r="AG79" s="285">
        <v>0</v>
      </c>
      <c r="AH79" s="285">
        <v>0</v>
      </c>
      <c r="AI79" s="285">
        <v>0</v>
      </c>
      <c r="AJ79" s="285">
        <v>0</v>
      </c>
      <c r="AK79" s="285">
        <v>0</v>
      </c>
      <c r="AL79" s="285">
        <v>0</v>
      </c>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row>
    <row r="80" spans="1:131">
      <c r="A80" s="7"/>
      <c r="B80" s="7" t="s">
        <v>56</v>
      </c>
      <c r="C80" s="285">
        <v>0</v>
      </c>
      <c r="D80" s="285">
        <v>0</v>
      </c>
      <c r="E80" s="285">
        <v>0</v>
      </c>
      <c r="F80" s="285">
        <v>0</v>
      </c>
      <c r="G80" s="285">
        <v>0</v>
      </c>
      <c r="H80" s="285">
        <v>0</v>
      </c>
      <c r="I80" s="285">
        <v>0</v>
      </c>
      <c r="J80" s="285">
        <v>0</v>
      </c>
      <c r="K80" s="285">
        <v>0</v>
      </c>
      <c r="L80" s="286">
        <v>0</v>
      </c>
      <c r="M80" s="285">
        <v>0</v>
      </c>
      <c r="N80" s="285">
        <v>0</v>
      </c>
      <c r="O80" s="285">
        <v>0</v>
      </c>
      <c r="P80" s="285">
        <v>0</v>
      </c>
      <c r="Q80" s="285">
        <v>0</v>
      </c>
      <c r="R80" s="285">
        <v>0</v>
      </c>
      <c r="S80" s="285">
        <v>0</v>
      </c>
      <c r="T80" s="285">
        <v>0</v>
      </c>
      <c r="U80" s="285">
        <v>0</v>
      </c>
      <c r="V80" s="285">
        <v>0</v>
      </c>
      <c r="W80" s="285">
        <v>0</v>
      </c>
      <c r="X80" s="285">
        <v>0</v>
      </c>
      <c r="Y80" s="285">
        <v>0</v>
      </c>
      <c r="Z80" s="285"/>
      <c r="AA80" s="285">
        <v>0</v>
      </c>
      <c r="AB80" s="285">
        <v>0</v>
      </c>
      <c r="AC80" s="285">
        <v>0</v>
      </c>
      <c r="AD80" s="285">
        <v>0</v>
      </c>
      <c r="AE80" s="285">
        <v>0</v>
      </c>
      <c r="AF80" s="285">
        <v>0</v>
      </c>
      <c r="AG80" s="285">
        <v>0</v>
      </c>
      <c r="AH80" s="285">
        <v>0</v>
      </c>
      <c r="AI80" s="285">
        <v>0</v>
      </c>
      <c r="AJ80" s="285">
        <v>0</v>
      </c>
      <c r="AK80" s="285">
        <v>0</v>
      </c>
      <c r="AL80" s="285">
        <v>0</v>
      </c>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row>
    <row r="81" spans="1:131">
      <c r="A81" s="7"/>
      <c r="B81" s="7" t="s">
        <v>59</v>
      </c>
      <c r="C81" s="285">
        <v>0</v>
      </c>
      <c r="D81" s="285">
        <v>0</v>
      </c>
      <c r="E81" s="285">
        <v>0</v>
      </c>
      <c r="F81" s="285">
        <v>0</v>
      </c>
      <c r="G81" s="285">
        <v>0</v>
      </c>
      <c r="H81" s="285">
        <v>0</v>
      </c>
      <c r="I81" s="285">
        <v>0</v>
      </c>
      <c r="J81" s="285">
        <v>0</v>
      </c>
      <c r="K81" s="285">
        <v>0</v>
      </c>
      <c r="L81" s="286">
        <v>0</v>
      </c>
      <c r="M81" s="285">
        <v>0</v>
      </c>
      <c r="N81" s="285">
        <v>0</v>
      </c>
      <c r="O81" s="285">
        <v>0</v>
      </c>
      <c r="P81" s="285">
        <v>0</v>
      </c>
      <c r="Q81" s="285">
        <v>0</v>
      </c>
      <c r="R81" s="285">
        <v>0</v>
      </c>
      <c r="S81" s="285">
        <v>0</v>
      </c>
      <c r="T81" s="285">
        <v>0</v>
      </c>
      <c r="U81" s="285">
        <v>0</v>
      </c>
      <c r="V81" s="285">
        <v>0</v>
      </c>
      <c r="W81" s="285">
        <v>0</v>
      </c>
      <c r="X81" s="285">
        <v>0</v>
      </c>
      <c r="Y81" s="285">
        <v>0</v>
      </c>
      <c r="Z81" s="285"/>
      <c r="AA81" s="285">
        <v>0</v>
      </c>
      <c r="AB81" s="285">
        <v>0</v>
      </c>
      <c r="AC81" s="285">
        <v>0</v>
      </c>
      <c r="AD81" s="285">
        <v>0</v>
      </c>
      <c r="AE81" s="285">
        <v>0</v>
      </c>
      <c r="AF81" s="285">
        <v>0</v>
      </c>
      <c r="AG81" s="285">
        <v>0</v>
      </c>
      <c r="AH81" s="285">
        <v>0</v>
      </c>
      <c r="AI81" s="285">
        <v>0</v>
      </c>
      <c r="AJ81" s="285">
        <v>0</v>
      </c>
      <c r="AK81" s="285">
        <v>0</v>
      </c>
      <c r="AL81" s="285">
        <v>0</v>
      </c>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row>
    <row r="82" spans="1:131">
      <c r="A82" s="7"/>
      <c r="B82" s="7" t="s">
        <v>62</v>
      </c>
      <c r="C82" s="285">
        <v>0</v>
      </c>
      <c r="D82" s="285">
        <v>0</v>
      </c>
      <c r="E82" s="285">
        <v>0</v>
      </c>
      <c r="F82" s="285">
        <v>0</v>
      </c>
      <c r="G82" s="285">
        <v>0</v>
      </c>
      <c r="H82" s="285">
        <v>0</v>
      </c>
      <c r="I82" s="285">
        <v>0</v>
      </c>
      <c r="J82" s="285">
        <v>0</v>
      </c>
      <c r="K82" s="285">
        <v>0</v>
      </c>
      <c r="L82" s="286">
        <v>0</v>
      </c>
      <c r="M82" s="285">
        <v>0</v>
      </c>
      <c r="N82" s="285">
        <v>0</v>
      </c>
      <c r="O82" s="285">
        <v>0</v>
      </c>
      <c r="P82" s="285">
        <v>0</v>
      </c>
      <c r="Q82" s="285">
        <v>0</v>
      </c>
      <c r="R82" s="285">
        <v>0</v>
      </c>
      <c r="S82" s="285">
        <v>0</v>
      </c>
      <c r="T82" s="285">
        <v>0</v>
      </c>
      <c r="U82" s="285">
        <v>0</v>
      </c>
      <c r="V82" s="285">
        <v>0</v>
      </c>
      <c r="W82" s="285">
        <v>0</v>
      </c>
      <c r="X82" s="285">
        <v>0</v>
      </c>
      <c r="Y82" s="285">
        <v>0</v>
      </c>
      <c r="Z82" s="285"/>
      <c r="AA82" s="285">
        <v>0</v>
      </c>
      <c r="AB82" s="285">
        <v>0</v>
      </c>
      <c r="AC82" s="285">
        <v>0</v>
      </c>
      <c r="AD82" s="285">
        <v>0</v>
      </c>
      <c r="AE82" s="285">
        <v>0</v>
      </c>
      <c r="AF82" s="285">
        <v>0</v>
      </c>
      <c r="AG82" s="285">
        <v>0</v>
      </c>
      <c r="AH82" s="285">
        <v>0</v>
      </c>
      <c r="AI82" s="285">
        <v>0</v>
      </c>
      <c r="AJ82" s="285">
        <v>0</v>
      </c>
      <c r="AK82" s="285">
        <v>0</v>
      </c>
      <c r="AL82" s="285">
        <v>0</v>
      </c>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row>
    <row r="83" spans="1:131">
      <c r="A83" s="7"/>
      <c r="B83" s="7" t="s">
        <v>65</v>
      </c>
      <c r="C83" s="285">
        <v>0</v>
      </c>
      <c r="D83" s="285">
        <v>0</v>
      </c>
      <c r="E83" s="285">
        <v>0</v>
      </c>
      <c r="F83" s="285">
        <v>0</v>
      </c>
      <c r="G83" s="285">
        <v>0</v>
      </c>
      <c r="H83" s="285">
        <v>0</v>
      </c>
      <c r="I83" s="285">
        <v>0</v>
      </c>
      <c r="J83" s="285">
        <v>0</v>
      </c>
      <c r="K83" s="285">
        <v>0</v>
      </c>
      <c r="L83" s="286">
        <v>0</v>
      </c>
      <c r="M83" s="285">
        <v>0</v>
      </c>
      <c r="N83" s="285">
        <v>0</v>
      </c>
      <c r="O83" s="285">
        <v>0</v>
      </c>
      <c r="P83" s="285">
        <v>0</v>
      </c>
      <c r="Q83" s="285">
        <v>0</v>
      </c>
      <c r="R83" s="285">
        <v>0</v>
      </c>
      <c r="S83" s="285">
        <v>0</v>
      </c>
      <c r="T83" s="285">
        <v>0</v>
      </c>
      <c r="U83" s="285">
        <v>0</v>
      </c>
      <c r="V83" s="285">
        <v>0</v>
      </c>
      <c r="W83" s="285">
        <v>0</v>
      </c>
      <c r="X83" s="285">
        <v>0</v>
      </c>
      <c r="Y83" s="285">
        <v>0</v>
      </c>
      <c r="Z83" s="285"/>
      <c r="AA83" s="285">
        <v>0</v>
      </c>
      <c r="AB83" s="285">
        <v>0</v>
      </c>
      <c r="AC83" s="285">
        <v>0</v>
      </c>
      <c r="AD83" s="285">
        <v>0</v>
      </c>
      <c r="AE83" s="285">
        <v>0</v>
      </c>
      <c r="AF83" s="285">
        <v>0</v>
      </c>
      <c r="AG83" s="285">
        <v>0</v>
      </c>
      <c r="AH83" s="285">
        <v>0</v>
      </c>
      <c r="AI83" s="285">
        <v>0</v>
      </c>
      <c r="AJ83" s="285">
        <v>0</v>
      </c>
      <c r="AK83" s="285">
        <v>0</v>
      </c>
      <c r="AL83" s="285">
        <v>0</v>
      </c>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row>
    <row r="84" spans="1:131">
      <c r="A84" s="7"/>
      <c r="B84" s="7" t="s">
        <v>68</v>
      </c>
      <c r="C84" s="285">
        <v>0</v>
      </c>
      <c r="D84" s="285">
        <v>0</v>
      </c>
      <c r="E84" s="285">
        <v>0</v>
      </c>
      <c r="F84" s="285">
        <v>0</v>
      </c>
      <c r="G84" s="285">
        <v>0</v>
      </c>
      <c r="H84" s="285">
        <v>0</v>
      </c>
      <c r="I84" s="285">
        <v>0</v>
      </c>
      <c r="J84" s="285">
        <v>0</v>
      </c>
      <c r="K84" s="285">
        <v>0</v>
      </c>
      <c r="L84" s="286">
        <v>0</v>
      </c>
      <c r="M84" s="285">
        <v>0</v>
      </c>
      <c r="N84" s="285">
        <v>0</v>
      </c>
      <c r="O84" s="285">
        <v>0</v>
      </c>
      <c r="P84" s="285">
        <v>0</v>
      </c>
      <c r="Q84" s="285">
        <v>0</v>
      </c>
      <c r="R84" s="285">
        <v>0</v>
      </c>
      <c r="S84" s="285">
        <v>0</v>
      </c>
      <c r="T84" s="285">
        <v>0</v>
      </c>
      <c r="U84" s="285">
        <v>0</v>
      </c>
      <c r="V84" s="285">
        <v>0</v>
      </c>
      <c r="W84" s="285">
        <v>0</v>
      </c>
      <c r="X84" s="285">
        <v>0</v>
      </c>
      <c r="Y84" s="285">
        <v>0</v>
      </c>
      <c r="Z84" s="285"/>
      <c r="AA84" s="285">
        <v>0</v>
      </c>
      <c r="AB84" s="285">
        <v>0</v>
      </c>
      <c r="AC84" s="285">
        <v>0</v>
      </c>
      <c r="AD84" s="285">
        <v>0</v>
      </c>
      <c r="AE84" s="285">
        <v>0</v>
      </c>
      <c r="AF84" s="285">
        <v>0</v>
      </c>
      <c r="AG84" s="285">
        <v>0</v>
      </c>
      <c r="AH84" s="285">
        <v>0</v>
      </c>
      <c r="AI84" s="285">
        <v>0</v>
      </c>
      <c r="AJ84" s="285">
        <v>0</v>
      </c>
      <c r="AK84" s="285">
        <v>0</v>
      </c>
      <c r="AL84" s="285">
        <v>0</v>
      </c>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row>
    <row r="85" spans="1:131">
      <c r="A85" s="7"/>
      <c r="B85" s="7" t="s">
        <v>71</v>
      </c>
      <c r="C85" s="285">
        <v>0</v>
      </c>
      <c r="D85" s="285">
        <v>0</v>
      </c>
      <c r="E85" s="285">
        <v>0</v>
      </c>
      <c r="F85" s="285">
        <v>0</v>
      </c>
      <c r="G85" s="285">
        <v>0</v>
      </c>
      <c r="H85" s="285">
        <v>0</v>
      </c>
      <c r="I85" s="285">
        <v>0</v>
      </c>
      <c r="J85" s="285">
        <v>0</v>
      </c>
      <c r="K85" s="285">
        <v>0</v>
      </c>
      <c r="L85" s="286">
        <v>0</v>
      </c>
      <c r="M85" s="285">
        <v>0</v>
      </c>
      <c r="N85" s="285">
        <v>0</v>
      </c>
      <c r="O85" s="285">
        <v>0</v>
      </c>
      <c r="P85" s="285">
        <v>0</v>
      </c>
      <c r="Q85" s="285">
        <v>0</v>
      </c>
      <c r="R85" s="285">
        <v>0</v>
      </c>
      <c r="S85" s="285">
        <v>0</v>
      </c>
      <c r="T85" s="285">
        <v>0</v>
      </c>
      <c r="U85" s="285">
        <v>0</v>
      </c>
      <c r="V85" s="285">
        <v>0</v>
      </c>
      <c r="W85" s="285">
        <v>0</v>
      </c>
      <c r="X85" s="285">
        <v>0</v>
      </c>
      <c r="Y85" s="285">
        <v>0</v>
      </c>
      <c r="Z85" s="285"/>
      <c r="AA85" s="285">
        <v>0</v>
      </c>
      <c r="AB85" s="285">
        <v>0</v>
      </c>
      <c r="AC85" s="285">
        <v>0</v>
      </c>
      <c r="AD85" s="285">
        <v>0</v>
      </c>
      <c r="AE85" s="285">
        <v>0</v>
      </c>
      <c r="AF85" s="285">
        <v>0</v>
      </c>
      <c r="AG85" s="285">
        <v>0</v>
      </c>
      <c r="AH85" s="285">
        <v>0</v>
      </c>
      <c r="AI85" s="285">
        <v>0</v>
      </c>
      <c r="AJ85" s="285">
        <v>0</v>
      </c>
      <c r="AK85" s="285">
        <v>0</v>
      </c>
      <c r="AL85" s="285">
        <v>0</v>
      </c>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row>
    <row r="86" spans="1:131">
      <c r="A86" s="7"/>
      <c r="B86" s="7" t="s">
        <v>74</v>
      </c>
      <c r="C86" s="285">
        <v>0</v>
      </c>
      <c r="D86" s="285">
        <v>0</v>
      </c>
      <c r="E86" s="285">
        <v>0</v>
      </c>
      <c r="F86" s="285">
        <v>0</v>
      </c>
      <c r="G86" s="285">
        <v>0</v>
      </c>
      <c r="H86" s="285">
        <v>0</v>
      </c>
      <c r="I86" s="285">
        <v>0</v>
      </c>
      <c r="J86" s="285">
        <v>0</v>
      </c>
      <c r="K86" s="285">
        <v>0</v>
      </c>
      <c r="L86" s="286">
        <v>0</v>
      </c>
      <c r="M86" s="285">
        <v>0</v>
      </c>
      <c r="N86" s="285">
        <v>0</v>
      </c>
      <c r="O86" s="285">
        <v>0</v>
      </c>
      <c r="P86" s="285">
        <v>0</v>
      </c>
      <c r="Q86" s="285">
        <v>0</v>
      </c>
      <c r="R86" s="285">
        <v>0</v>
      </c>
      <c r="S86" s="285">
        <v>0</v>
      </c>
      <c r="T86" s="285">
        <v>0</v>
      </c>
      <c r="U86" s="285">
        <v>0</v>
      </c>
      <c r="V86" s="285">
        <v>0</v>
      </c>
      <c r="W86" s="285">
        <v>0</v>
      </c>
      <c r="X86" s="285">
        <v>0</v>
      </c>
      <c r="Y86" s="285">
        <v>0</v>
      </c>
      <c r="Z86" s="285"/>
      <c r="AA86" s="285">
        <v>0</v>
      </c>
      <c r="AB86" s="285">
        <v>0</v>
      </c>
      <c r="AC86" s="285">
        <v>0</v>
      </c>
      <c r="AD86" s="285">
        <v>0</v>
      </c>
      <c r="AE86" s="285">
        <v>0</v>
      </c>
      <c r="AF86" s="285">
        <v>0</v>
      </c>
      <c r="AG86" s="285">
        <v>0</v>
      </c>
      <c r="AH86" s="285">
        <v>0</v>
      </c>
      <c r="AI86" s="285">
        <v>0</v>
      </c>
      <c r="AJ86" s="285">
        <v>0</v>
      </c>
      <c r="AK86" s="285">
        <v>0</v>
      </c>
      <c r="AL86" s="285">
        <v>0</v>
      </c>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row>
    <row r="87" spans="1:131">
      <c r="A87" s="7"/>
      <c r="B87" s="7" t="s">
        <v>77</v>
      </c>
      <c r="C87" s="285">
        <v>0</v>
      </c>
      <c r="D87" s="285">
        <v>0</v>
      </c>
      <c r="E87" s="285">
        <v>0</v>
      </c>
      <c r="F87" s="285">
        <v>0</v>
      </c>
      <c r="G87" s="285">
        <v>0</v>
      </c>
      <c r="H87" s="285">
        <v>0</v>
      </c>
      <c r="I87" s="285">
        <v>0</v>
      </c>
      <c r="J87" s="285">
        <v>0</v>
      </c>
      <c r="K87" s="285">
        <v>0</v>
      </c>
      <c r="L87" s="286">
        <v>0</v>
      </c>
      <c r="M87" s="285">
        <v>0</v>
      </c>
      <c r="N87" s="285">
        <v>0</v>
      </c>
      <c r="O87" s="285">
        <v>0</v>
      </c>
      <c r="P87" s="285">
        <v>0</v>
      </c>
      <c r="Q87" s="285">
        <v>0</v>
      </c>
      <c r="R87" s="285">
        <v>0</v>
      </c>
      <c r="S87" s="285">
        <v>0</v>
      </c>
      <c r="T87" s="285">
        <v>0</v>
      </c>
      <c r="U87" s="285">
        <v>0</v>
      </c>
      <c r="V87" s="285">
        <v>0</v>
      </c>
      <c r="W87" s="285">
        <v>0</v>
      </c>
      <c r="X87" s="285">
        <v>0</v>
      </c>
      <c r="Y87" s="285">
        <v>0</v>
      </c>
      <c r="Z87" s="285"/>
      <c r="AA87" s="285">
        <v>0</v>
      </c>
      <c r="AB87" s="285">
        <v>0</v>
      </c>
      <c r="AC87" s="285">
        <v>0</v>
      </c>
      <c r="AD87" s="285">
        <v>0</v>
      </c>
      <c r="AE87" s="285">
        <v>0</v>
      </c>
      <c r="AF87" s="285">
        <v>0</v>
      </c>
      <c r="AG87" s="285">
        <v>0</v>
      </c>
      <c r="AH87" s="285">
        <v>0</v>
      </c>
      <c r="AI87" s="285">
        <v>0</v>
      </c>
      <c r="AJ87" s="285">
        <v>0</v>
      </c>
      <c r="AK87" s="285">
        <v>0</v>
      </c>
      <c r="AL87" s="285">
        <v>0</v>
      </c>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row>
    <row r="88" spans="1:131">
      <c r="A88" s="7"/>
      <c r="B88" s="7" t="s">
        <v>80</v>
      </c>
      <c r="C88" s="285">
        <v>0</v>
      </c>
      <c r="D88" s="285">
        <v>0</v>
      </c>
      <c r="E88" s="285">
        <v>0</v>
      </c>
      <c r="F88" s="285">
        <v>0</v>
      </c>
      <c r="G88" s="285">
        <v>0</v>
      </c>
      <c r="H88" s="285">
        <v>0</v>
      </c>
      <c r="I88" s="285">
        <v>0</v>
      </c>
      <c r="J88" s="285">
        <v>0</v>
      </c>
      <c r="K88" s="285">
        <v>0</v>
      </c>
      <c r="L88" s="286">
        <v>0</v>
      </c>
      <c r="M88" s="285">
        <v>0</v>
      </c>
      <c r="N88" s="285">
        <v>0</v>
      </c>
      <c r="O88" s="285">
        <v>0</v>
      </c>
      <c r="P88" s="285">
        <v>0</v>
      </c>
      <c r="Q88" s="285">
        <v>0</v>
      </c>
      <c r="R88" s="285">
        <v>0</v>
      </c>
      <c r="S88" s="285">
        <v>0</v>
      </c>
      <c r="T88" s="285">
        <v>0</v>
      </c>
      <c r="U88" s="285">
        <v>0</v>
      </c>
      <c r="V88" s="285">
        <v>0</v>
      </c>
      <c r="W88" s="285">
        <v>0</v>
      </c>
      <c r="X88" s="285">
        <v>0</v>
      </c>
      <c r="Y88" s="285">
        <v>0</v>
      </c>
      <c r="Z88" s="285"/>
      <c r="AA88" s="285">
        <v>0</v>
      </c>
      <c r="AB88" s="285">
        <v>0</v>
      </c>
      <c r="AC88" s="285">
        <v>0</v>
      </c>
      <c r="AD88" s="285">
        <v>0</v>
      </c>
      <c r="AE88" s="285">
        <v>0</v>
      </c>
      <c r="AF88" s="285">
        <v>0</v>
      </c>
      <c r="AG88" s="285">
        <v>0</v>
      </c>
      <c r="AH88" s="285">
        <v>0</v>
      </c>
      <c r="AI88" s="285">
        <v>0</v>
      </c>
      <c r="AJ88" s="285">
        <v>0</v>
      </c>
      <c r="AK88" s="285">
        <v>0</v>
      </c>
      <c r="AL88" s="285">
        <v>0</v>
      </c>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row>
    <row r="89" spans="1:131">
      <c r="A89" s="7"/>
      <c r="B89" s="7" t="s">
        <v>83</v>
      </c>
      <c r="C89" s="285">
        <v>0</v>
      </c>
      <c r="D89" s="285">
        <v>0</v>
      </c>
      <c r="E89" s="285">
        <v>0</v>
      </c>
      <c r="F89" s="285">
        <v>0</v>
      </c>
      <c r="G89" s="285">
        <v>0</v>
      </c>
      <c r="H89" s="285">
        <v>0</v>
      </c>
      <c r="I89" s="285">
        <v>0</v>
      </c>
      <c r="J89" s="285">
        <v>0</v>
      </c>
      <c r="K89" s="285">
        <v>0</v>
      </c>
      <c r="L89" s="286">
        <v>0</v>
      </c>
      <c r="M89" s="285">
        <v>0</v>
      </c>
      <c r="N89" s="285">
        <v>0</v>
      </c>
      <c r="O89" s="285">
        <v>0</v>
      </c>
      <c r="P89" s="285">
        <v>0</v>
      </c>
      <c r="Q89" s="285">
        <v>0</v>
      </c>
      <c r="R89" s="285">
        <v>0</v>
      </c>
      <c r="S89" s="285">
        <v>0</v>
      </c>
      <c r="T89" s="285">
        <v>0</v>
      </c>
      <c r="U89" s="285">
        <v>0</v>
      </c>
      <c r="V89" s="285">
        <v>0</v>
      </c>
      <c r="W89" s="285">
        <v>0</v>
      </c>
      <c r="X89" s="285">
        <v>0</v>
      </c>
      <c r="Y89" s="285">
        <v>0</v>
      </c>
      <c r="Z89" s="285"/>
      <c r="AA89" s="285">
        <v>0</v>
      </c>
      <c r="AB89" s="285">
        <v>0</v>
      </c>
      <c r="AC89" s="285">
        <v>0</v>
      </c>
      <c r="AD89" s="285">
        <v>0</v>
      </c>
      <c r="AE89" s="285">
        <v>0</v>
      </c>
      <c r="AF89" s="285">
        <v>0</v>
      </c>
      <c r="AG89" s="285">
        <v>0</v>
      </c>
      <c r="AH89" s="285">
        <v>0</v>
      </c>
      <c r="AI89" s="285">
        <v>0</v>
      </c>
      <c r="AJ89" s="285">
        <v>0</v>
      </c>
      <c r="AK89" s="285">
        <v>0</v>
      </c>
      <c r="AL89" s="285">
        <v>0</v>
      </c>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row>
    <row r="90" spans="1:131">
      <c r="A90" s="7"/>
      <c r="B90" s="7" t="s">
        <v>86</v>
      </c>
      <c r="C90" s="285">
        <v>0</v>
      </c>
      <c r="D90" s="285">
        <v>0</v>
      </c>
      <c r="E90" s="285">
        <v>0</v>
      </c>
      <c r="F90" s="285">
        <v>0</v>
      </c>
      <c r="G90" s="285">
        <v>0</v>
      </c>
      <c r="H90" s="285">
        <v>0</v>
      </c>
      <c r="I90" s="285">
        <v>0</v>
      </c>
      <c r="J90" s="285">
        <v>0</v>
      </c>
      <c r="K90" s="285">
        <v>0</v>
      </c>
      <c r="L90" s="286">
        <v>0</v>
      </c>
      <c r="M90" s="285">
        <v>0</v>
      </c>
      <c r="N90" s="285">
        <v>0</v>
      </c>
      <c r="O90" s="285">
        <v>0</v>
      </c>
      <c r="P90" s="285">
        <v>0</v>
      </c>
      <c r="Q90" s="285">
        <v>0</v>
      </c>
      <c r="R90" s="285">
        <v>0</v>
      </c>
      <c r="S90" s="285">
        <v>0</v>
      </c>
      <c r="T90" s="285">
        <v>0</v>
      </c>
      <c r="U90" s="285">
        <v>0</v>
      </c>
      <c r="V90" s="285">
        <v>0</v>
      </c>
      <c r="W90" s="285">
        <v>0</v>
      </c>
      <c r="X90" s="285">
        <v>0</v>
      </c>
      <c r="Y90" s="285">
        <v>0</v>
      </c>
      <c r="Z90" s="285"/>
      <c r="AA90" s="285">
        <v>0</v>
      </c>
      <c r="AB90" s="285">
        <v>0</v>
      </c>
      <c r="AC90" s="285">
        <v>0</v>
      </c>
      <c r="AD90" s="285">
        <v>0</v>
      </c>
      <c r="AE90" s="285">
        <v>0</v>
      </c>
      <c r="AF90" s="285">
        <v>0</v>
      </c>
      <c r="AG90" s="285">
        <v>0</v>
      </c>
      <c r="AH90" s="285">
        <v>0</v>
      </c>
      <c r="AI90" s="285">
        <v>0</v>
      </c>
      <c r="AJ90" s="285">
        <v>0</v>
      </c>
      <c r="AK90" s="285">
        <v>0</v>
      </c>
      <c r="AL90" s="285">
        <v>0</v>
      </c>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row>
    <row r="91" spans="1:131">
      <c r="A91" s="7"/>
      <c r="B91" s="7" t="s">
        <v>89</v>
      </c>
      <c r="C91" s="285">
        <v>0</v>
      </c>
      <c r="D91" s="285">
        <v>0</v>
      </c>
      <c r="E91" s="285">
        <v>0</v>
      </c>
      <c r="F91" s="285">
        <v>0</v>
      </c>
      <c r="G91" s="285">
        <v>0</v>
      </c>
      <c r="H91" s="285">
        <v>0</v>
      </c>
      <c r="I91" s="285">
        <v>0</v>
      </c>
      <c r="J91" s="285">
        <v>0</v>
      </c>
      <c r="K91" s="285">
        <v>0</v>
      </c>
      <c r="L91" s="286">
        <v>0</v>
      </c>
      <c r="M91" s="285">
        <v>0</v>
      </c>
      <c r="N91" s="285">
        <v>0</v>
      </c>
      <c r="O91" s="285">
        <v>0</v>
      </c>
      <c r="P91" s="285">
        <v>0</v>
      </c>
      <c r="Q91" s="285">
        <v>0</v>
      </c>
      <c r="R91" s="285">
        <v>0</v>
      </c>
      <c r="S91" s="285">
        <v>0</v>
      </c>
      <c r="T91" s="285">
        <v>0</v>
      </c>
      <c r="U91" s="285">
        <v>0</v>
      </c>
      <c r="V91" s="285">
        <v>0</v>
      </c>
      <c r="W91" s="285">
        <v>0</v>
      </c>
      <c r="X91" s="285">
        <v>0</v>
      </c>
      <c r="Y91" s="285">
        <v>0</v>
      </c>
      <c r="Z91" s="285"/>
      <c r="AA91" s="285">
        <v>0</v>
      </c>
      <c r="AB91" s="285">
        <v>0</v>
      </c>
      <c r="AC91" s="285">
        <v>0</v>
      </c>
      <c r="AD91" s="285">
        <v>0</v>
      </c>
      <c r="AE91" s="285">
        <v>0</v>
      </c>
      <c r="AF91" s="285">
        <v>0</v>
      </c>
      <c r="AG91" s="285">
        <v>0</v>
      </c>
      <c r="AH91" s="285">
        <v>0</v>
      </c>
      <c r="AI91" s="285">
        <v>0</v>
      </c>
      <c r="AJ91" s="285">
        <v>0</v>
      </c>
      <c r="AK91" s="285">
        <v>0</v>
      </c>
      <c r="AL91" s="285">
        <v>0</v>
      </c>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row>
    <row r="92" spans="1:131">
      <c r="A92" s="7"/>
      <c r="B92" s="7" t="s">
        <v>92</v>
      </c>
      <c r="C92" s="285">
        <v>0</v>
      </c>
      <c r="D92" s="285">
        <v>0</v>
      </c>
      <c r="E92" s="285">
        <v>0</v>
      </c>
      <c r="F92" s="285">
        <v>0</v>
      </c>
      <c r="G92" s="285">
        <v>0</v>
      </c>
      <c r="H92" s="285">
        <v>0</v>
      </c>
      <c r="I92" s="285">
        <v>0</v>
      </c>
      <c r="J92" s="285">
        <v>0</v>
      </c>
      <c r="K92" s="285">
        <v>0</v>
      </c>
      <c r="L92" s="286">
        <v>0</v>
      </c>
      <c r="M92" s="285">
        <v>0</v>
      </c>
      <c r="N92" s="285">
        <v>0</v>
      </c>
      <c r="O92" s="285">
        <v>0</v>
      </c>
      <c r="P92" s="285">
        <v>0</v>
      </c>
      <c r="Q92" s="285">
        <v>0</v>
      </c>
      <c r="R92" s="285">
        <v>0</v>
      </c>
      <c r="S92" s="285">
        <v>0</v>
      </c>
      <c r="T92" s="285">
        <v>0</v>
      </c>
      <c r="U92" s="285">
        <v>0</v>
      </c>
      <c r="V92" s="285">
        <v>0</v>
      </c>
      <c r="W92" s="285">
        <v>0</v>
      </c>
      <c r="X92" s="285">
        <v>0</v>
      </c>
      <c r="Y92" s="285">
        <v>0</v>
      </c>
      <c r="Z92" s="285"/>
      <c r="AA92" s="285">
        <v>0</v>
      </c>
      <c r="AB92" s="285">
        <v>0</v>
      </c>
      <c r="AC92" s="285">
        <v>0</v>
      </c>
      <c r="AD92" s="285">
        <v>0</v>
      </c>
      <c r="AE92" s="285">
        <v>0</v>
      </c>
      <c r="AF92" s="285">
        <v>0</v>
      </c>
      <c r="AG92" s="285">
        <v>0</v>
      </c>
      <c r="AH92" s="285">
        <v>0</v>
      </c>
      <c r="AI92" s="285">
        <v>0</v>
      </c>
      <c r="AJ92" s="285">
        <v>0</v>
      </c>
      <c r="AK92" s="285">
        <v>0</v>
      </c>
      <c r="AL92" s="285">
        <v>0</v>
      </c>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row>
    <row r="93" spans="1:131">
      <c r="A93" s="7"/>
      <c r="B93" s="7" t="s">
        <v>95</v>
      </c>
      <c r="C93" s="285">
        <v>0</v>
      </c>
      <c r="D93" s="285">
        <v>0</v>
      </c>
      <c r="E93" s="285">
        <v>0</v>
      </c>
      <c r="F93" s="285">
        <v>0</v>
      </c>
      <c r="G93" s="285">
        <v>0</v>
      </c>
      <c r="H93" s="285">
        <v>0</v>
      </c>
      <c r="I93" s="285">
        <v>0</v>
      </c>
      <c r="J93" s="285">
        <v>0</v>
      </c>
      <c r="K93" s="285">
        <v>0</v>
      </c>
      <c r="L93" s="286">
        <v>0</v>
      </c>
      <c r="M93" s="285">
        <v>0</v>
      </c>
      <c r="N93" s="285">
        <v>0</v>
      </c>
      <c r="O93" s="285">
        <v>0</v>
      </c>
      <c r="P93" s="285">
        <v>0</v>
      </c>
      <c r="Q93" s="285">
        <v>0</v>
      </c>
      <c r="R93" s="285">
        <v>0</v>
      </c>
      <c r="S93" s="285">
        <v>0</v>
      </c>
      <c r="T93" s="285">
        <v>0</v>
      </c>
      <c r="U93" s="285">
        <v>0</v>
      </c>
      <c r="V93" s="285">
        <v>0</v>
      </c>
      <c r="W93" s="285">
        <v>0</v>
      </c>
      <c r="X93" s="285">
        <v>0</v>
      </c>
      <c r="Y93" s="285">
        <v>0</v>
      </c>
      <c r="Z93" s="285"/>
      <c r="AA93" s="285">
        <v>0</v>
      </c>
      <c r="AB93" s="285">
        <v>0</v>
      </c>
      <c r="AC93" s="285">
        <v>0</v>
      </c>
      <c r="AD93" s="285">
        <v>0</v>
      </c>
      <c r="AE93" s="285">
        <v>0</v>
      </c>
      <c r="AF93" s="285">
        <v>0</v>
      </c>
      <c r="AG93" s="285">
        <v>0</v>
      </c>
      <c r="AH93" s="285">
        <v>0</v>
      </c>
      <c r="AI93" s="285">
        <v>0</v>
      </c>
      <c r="AJ93" s="285">
        <v>0</v>
      </c>
      <c r="AK93" s="285">
        <v>0</v>
      </c>
      <c r="AL93" s="285">
        <v>0</v>
      </c>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row>
    <row r="94" spans="1:131">
      <c r="A94" s="7"/>
      <c r="B94" s="7" t="s">
        <v>98</v>
      </c>
      <c r="C94" s="285">
        <v>0</v>
      </c>
      <c r="D94" s="285">
        <v>0</v>
      </c>
      <c r="E94" s="285">
        <v>0</v>
      </c>
      <c r="F94" s="285">
        <v>0</v>
      </c>
      <c r="G94" s="285">
        <v>0</v>
      </c>
      <c r="H94" s="285">
        <v>0</v>
      </c>
      <c r="I94" s="285">
        <v>0</v>
      </c>
      <c r="J94" s="285">
        <v>0</v>
      </c>
      <c r="K94" s="285">
        <v>0</v>
      </c>
      <c r="L94" s="286">
        <v>0</v>
      </c>
      <c r="M94" s="285">
        <v>0</v>
      </c>
      <c r="N94" s="285">
        <v>0</v>
      </c>
      <c r="O94" s="285">
        <v>0</v>
      </c>
      <c r="P94" s="285">
        <v>0</v>
      </c>
      <c r="Q94" s="285">
        <v>0</v>
      </c>
      <c r="R94" s="285">
        <v>0</v>
      </c>
      <c r="S94" s="285">
        <v>0</v>
      </c>
      <c r="T94" s="285">
        <v>0</v>
      </c>
      <c r="U94" s="285">
        <v>0</v>
      </c>
      <c r="V94" s="285">
        <v>0</v>
      </c>
      <c r="W94" s="285">
        <v>0</v>
      </c>
      <c r="X94" s="285">
        <v>0</v>
      </c>
      <c r="Y94" s="285">
        <v>0</v>
      </c>
      <c r="Z94" s="285"/>
      <c r="AA94" s="285">
        <v>0</v>
      </c>
      <c r="AB94" s="285">
        <v>0</v>
      </c>
      <c r="AC94" s="285">
        <v>0</v>
      </c>
      <c r="AD94" s="285">
        <v>0</v>
      </c>
      <c r="AE94" s="285">
        <v>0</v>
      </c>
      <c r="AF94" s="285">
        <v>0</v>
      </c>
      <c r="AG94" s="285">
        <v>0</v>
      </c>
      <c r="AH94" s="285">
        <v>0</v>
      </c>
      <c r="AI94" s="285">
        <v>0</v>
      </c>
      <c r="AJ94" s="285">
        <v>0</v>
      </c>
      <c r="AK94" s="285">
        <v>0</v>
      </c>
      <c r="AL94" s="285">
        <v>0</v>
      </c>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row>
    <row r="95" spans="1:131">
      <c r="A95" s="7"/>
      <c r="B95" s="7" t="s">
        <v>525</v>
      </c>
      <c r="C95" s="285">
        <v>0</v>
      </c>
      <c r="D95" s="285">
        <v>0</v>
      </c>
      <c r="E95" s="285">
        <v>0</v>
      </c>
      <c r="F95" s="285">
        <v>0</v>
      </c>
      <c r="G95" s="285">
        <v>0</v>
      </c>
      <c r="H95" s="285">
        <v>0</v>
      </c>
      <c r="I95" s="285">
        <v>0</v>
      </c>
      <c r="J95" s="285">
        <v>0</v>
      </c>
      <c r="K95" s="285">
        <v>0</v>
      </c>
      <c r="L95" s="286">
        <v>0</v>
      </c>
      <c r="M95" s="285">
        <v>0</v>
      </c>
      <c r="N95" s="285">
        <v>0</v>
      </c>
      <c r="O95" s="285">
        <v>0</v>
      </c>
      <c r="P95" s="285">
        <v>0</v>
      </c>
      <c r="Q95" s="285">
        <v>0</v>
      </c>
      <c r="R95" s="285">
        <v>0</v>
      </c>
      <c r="S95" s="285">
        <v>0</v>
      </c>
      <c r="T95" s="285">
        <v>0</v>
      </c>
      <c r="U95" s="285">
        <v>0</v>
      </c>
      <c r="V95" s="285">
        <v>0</v>
      </c>
      <c r="W95" s="285">
        <v>0</v>
      </c>
      <c r="X95" s="285">
        <v>0</v>
      </c>
      <c r="Y95" s="285">
        <v>0</v>
      </c>
      <c r="Z95" s="285"/>
      <c r="AA95" s="285">
        <v>0</v>
      </c>
      <c r="AB95" s="285">
        <v>0</v>
      </c>
      <c r="AC95" s="285">
        <v>0</v>
      </c>
      <c r="AD95" s="285">
        <v>0</v>
      </c>
      <c r="AE95" s="285">
        <v>0</v>
      </c>
      <c r="AF95" s="285">
        <v>0</v>
      </c>
      <c r="AG95" s="285">
        <v>0</v>
      </c>
      <c r="AH95" s="285">
        <v>0</v>
      </c>
      <c r="AI95" s="285">
        <v>0</v>
      </c>
      <c r="AJ95" s="285">
        <v>0</v>
      </c>
      <c r="AK95" s="285">
        <v>0</v>
      </c>
      <c r="AL95" s="285">
        <v>0</v>
      </c>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row>
    <row r="96" spans="1:131">
      <c r="A96" s="7"/>
      <c r="B96" s="7"/>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row>
    <row r="97" spans="1:131">
      <c r="A97" s="7"/>
      <c r="B97" s="7"/>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row>
    <row r="98" spans="1:131" ht="13.5" thickBot="1">
      <c r="A98" s="24" t="s">
        <v>159</v>
      </c>
      <c r="B98" s="25"/>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row>
    <row r="99" spans="1:131" ht="13.5" thickBot="1">
      <c r="A99" s="33"/>
      <c r="B99" s="34"/>
      <c r="C99" s="35"/>
      <c r="D99" s="35"/>
      <c r="E99" s="35"/>
      <c r="F99" s="35"/>
      <c r="G99" s="35"/>
      <c r="H99" s="35"/>
      <c r="I99" s="35"/>
      <c r="J99" s="35"/>
      <c r="K99" s="35"/>
      <c r="L99" s="35"/>
      <c r="M99" s="35"/>
      <c r="N99" s="35"/>
      <c r="O99" s="36" t="s">
        <v>191</v>
      </c>
      <c r="P99" s="37"/>
      <c r="Q99" s="37"/>
      <c r="R99" s="37"/>
      <c r="S99" s="37"/>
      <c r="T99" s="37"/>
      <c r="U99" s="37"/>
      <c r="V99" s="37"/>
      <c r="W99" s="37"/>
      <c r="X99" s="37"/>
      <c r="Y99" s="37"/>
      <c r="Z99" s="31"/>
      <c r="AA99" s="35"/>
      <c r="AB99" s="36" t="s">
        <v>192</v>
      </c>
      <c r="AC99" s="37"/>
      <c r="AD99" s="37"/>
      <c r="AE99" s="37"/>
      <c r="AF99" s="37"/>
      <c r="AG99" s="37"/>
      <c r="AH99" s="37"/>
      <c r="AI99" s="37"/>
      <c r="AJ99" s="37"/>
      <c r="AK99" s="37"/>
      <c r="AL99" s="37"/>
      <c r="AM99" s="31"/>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7"/>
      <c r="CY99" s="7"/>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row>
    <row r="100" spans="1:131" ht="204">
      <c r="A100" s="27" t="s">
        <v>136</v>
      </c>
      <c r="B100" s="28" t="s">
        <v>137</v>
      </c>
      <c r="C100" s="29" t="s">
        <v>22</v>
      </c>
      <c r="D100" s="29" t="s">
        <v>139</v>
      </c>
      <c r="E100" s="29" t="s">
        <v>140</v>
      </c>
      <c r="F100" s="29" t="s">
        <v>141</v>
      </c>
      <c r="G100" s="29" t="s">
        <v>142</v>
      </c>
      <c r="H100" s="29" t="s">
        <v>143</v>
      </c>
      <c r="I100" s="29" t="s">
        <v>144</v>
      </c>
      <c r="J100" s="29" t="s">
        <v>145</v>
      </c>
      <c r="K100" s="29" t="s">
        <v>21</v>
      </c>
      <c r="L100" s="29" t="s">
        <v>138</v>
      </c>
      <c r="M100" s="29" t="s">
        <v>146</v>
      </c>
      <c r="N100" s="29" t="s">
        <v>193</v>
      </c>
      <c r="O100" s="29" t="s">
        <v>147</v>
      </c>
      <c r="P100" s="29" t="s">
        <v>148</v>
      </c>
      <c r="Q100" s="29" t="s">
        <v>149</v>
      </c>
      <c r="R100" s="29" t="s">
        <v>150</v>
      </c>
      <c r="S100" s="29" t="s">
        <v>151</v>
      </c>
      <c r="T100" s="29" t="s">
        <v>152</v>
      </c>
      <c r="U100" s="29" t="s">
        <v>153</v>
      </c>
      <c r="V100" s="29" t="s">
        <v>154</v>
      </c>
      <c r="W100" s="29" t="s">
        <v>155</v>
      </c>
      <c r="X100" s="29" t="s">
        <v>156</v>
      </c>
      <c r="Y100" s="29" t="s">
        <v>157</v>
      </c>
      <c r="Z100" s="29" t="s">
        <v>158</v>
      </c>
      <c r="AA100" s="29"/>
      <c r="AB100" s="29" t="s">
        <v>147</v>
      </c>
      <c r="AC100" s="29" t="s">
        <v>148</v>
      </c>
      <c r="AD100" s="29" t="s">
        <v>149</v>
      </c>
      <c r="AE100" s="29" t="s">
        <v>150</v>
      </c>
      <c r="AF100" s="29" t="s">
        <v>151</v>
      </c>
      <c r="AG100" s="29" t="s">
        <v>152</v>
      </c>
      <c r="AH100" s="29" t="s">
        <v>153</v>
      </c>
      <c r="AI100" s="29" t="s">
        <v>154</v>
      </c>
      <c r="AJ100" s="29" t="s">
        <v>155</v>
      </c>
      <c r="AK100" s="29" t="s">
        <v>156</v>
      </c>
      <c r="AL100" s="29" t="s">
        <v>157</v>
      </c>
      <c r="AM100" s="29" t="s">
        <v>158</v>
      </c>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row>
    <row r="101" spans="1:131">
      <c r="A101" s="7" t="s">
        <v>316</v>
      </c>
      <c r="B101" s="7"/>
      <c r="C101" s="32">
        <v>797.38994023341627</v>
      </c>
      <c r="D101" s="32">
        <v>190.08733333333336</v>
      </c>
      <c r="E101" s="32">
        <v>38.017466666666671</v>
      </c>
      <c r="F101" s="32">
        <v>228.10480000000004</v>
      </c>
      <c r="G101" s="32">
        <v>267.28661084820385</v>
      </c>
      <c r="H101" s="32">
        <v>385.16826031138442</v>
      </c>
      <c r="I101" s="32">
        <v>2505.9233220512879</v>
      </c>
      <c r="J101" s="32">
        <v>14.938169271143469</v>
      </c>
      <c r="K101" s="32">
        <v>24.513726435017748</v>
      </c>
      <c r="L101" s="30">
        <v>1.4410308810048378</v>
      </c>
      <c r="M101" s="32">
        <v>7.5753068337252643</v>
      </c>
      <c r="N101" s="32">
        <v>2.1209184506490418E-3</v>
      </c>
      <c r="O101" s="32">
        <v>0</v>
      </c>
      <c r="P101" s="32">
        <v>2.7934029203454488E-2</v>
      </c>
      <c r="Q101" s="32">
        <v>1.5380237767110789</v>
      </c>
      <c r="R101" s="32">
        <v>18.526324179533617</v>
      </c>
      <c r="S101" s="32">
        <v>73.381881459214426</v>
      </c>
      <c r="T101" s="32">
        <v>97.25520973288431</v>
      </c>
      <c r="U101" s="32">
        <v>94.155061241327232</v>
      </c>
      <c r="V101" s="32">
        <v>95.502411136506495</v>
      </c>
      <c r="W101" s="32">
        <v>44.896800908404124</v>
      </c>
      <c r="X101" s="32">
        <v>25.816902757479024</v>
      </c>
      <c r="Y101" s="32">
        <v>7.2967299632589322</v>
      </c>
      <c r="Z101" s="32">
        <v>5.0000369695510534E-2</v>
      </c>
      <c r="AA101" s="32"/>
      <c r="AB101" s="32">
        <v>0</v>
      </c>
      <c r="AC101" s="32">
        <v>1.91034744507655E-2</v>
      </c>
      <c r="AD101" s="32">
        <v>0.56711431090469422</v>
      </c>
      <c r="AE101" s="32">
        <v>12.209678326492483</v>
      </c>
      <c r="AF101" s="32">
        <v>47.582713062606473</v>
      </c>
      <c r="AG101" s="32">
        <v>71.489901493315926</v>
      </c>
      <c r="AH101" s="32">
        <v>81.090475032381391</v>
      </c>
      <c r="AI101" s="32">
        <v>69.451473136247188</v>
      </c>
      <c r="AJ101" s="32">
        <v>35.935489924771581</v>
      </c>
      <c r="AK101" s="32">
        <v>16.959446719743305</v>
      </c>
      <c r="AL101" s="32">
        <v>3.6003150965130035</v>
      </c>
      <c r="AM101" s="26">
        <v>3.6950101771177447E-2</v>
      </c>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row>
    <row r="102" spans="1:131">
      <c r="A102" s="7" t="s">
        <v>312</v>
      </c>
      <c r="B102" s="7"/>
      <c r="C102" s="32">
        <v>857.35378710031875</v>
      </c>
      <c r="D102" s="32">
        <v>208.77266666666668</v>
      </c>
      <c r="E102" s="32">
        <v>41.754533333333342</v>
      </c>
      <c r="F102" s="32">
        <v>250.52720000000002</v>
      </c>
      <c r="G102" s="32">
        <v>293.56053100719544</v>
      </c>
      <c r="H102" s="32">
        <v>414.13297307480667</v>
      </c>
      <c r="I102" s="32">
        <v>2559.7580660633489</v>
      </c>
      <c r="J102" s="32">
        <v>15.262330175510874</v>
      </c>
      <c r="K102" s="32">
        <v>25.043599008275351</v>
      </c>
      <c r="L102" s="30">
        <v>1.4107242947610552</v>
      </c>
      <c r="M102" s="32">
        <v>8.144971079570043</v>
      </c>
      <c r="N102" s="32">
        <v>2.2804118462575679E-3</v>
      </c>
      <c r="O102" s="32">
        <v>0</v>
      </c>
      <c r="P102" s="32">
        <v>3.0034672521128153E-2</v>
      </c>
      <c r="Q102" s="32">
        <v>1.6536834026619174</v>
      </c>
      <c r="R102" s="32">
        <v>19.919506623975991</v>
      </c>
      <c r="S102" s="32">
        <v>78.900210297596146</v>
      </c>
      <c r="T102" s="32">
        <v>104.56881655080335</v>
      </c>
      <c r="U102" s="32">
        <v>101.23553641306827</v>
      </c>
      <c r="V102" s="32">
        <v>102.6842072288087</v>
      </c>
      <c r="W102" s="32">
        <v>48.273047282539828</v>
      </c>
      <c r="X102" s="32">
        <v>27.758337838882262</v>
      </c>
      <c r="Y102" s="32">
        <v>7.8454451853470353</v>
      </c>
      <c r="Z102" s="32">
        <v>5.3760405231991534E-2</v>
      </c>
      <c r="AA102" s="32"/>
      <c r="AB102" s="32">
        <v>0</v>
      </c>
      <c r="AC102" s="32">
        <v>2.0540058684893368E-2</v>
      </c>
      <c r="AD102" s="32">
        <v>0.60976139482095681</v>
      </c>
      <c r="AE102" s="32">
        <v>13.127848025560443</v>
      </c>
      <c r="AF102" s="32">
        <v>51.160940446266068</v>
      </c>
      <c r="AG102" s="32">
        <v>76.86595314556061</v>
      </c>
      <c r="AH102" s="32">
        <v>87.188491300034229</v>
      </c>
      <c r="AI102" s="32">
        <v>74.67423466068233</v>
      </c>
      <c r="AJ102" s="32">
        <v>38.637844326565698</v>
      </c>
      <c r="AK102" s="32">
        <v>18.234799736803428</v>
      </c>
      <c r="AL102" s="32">
        <v>3.871059348762671</v>
      </c>
      <c r="AM102" s="26">
        <v>3.9728755140788267E-2</v>
      </c>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row>
    <row r="103" spans="1:131">
      <c r="A103" s="7" t="s">
        <v>317</v>
      </c>
      <c r="B103" s="7"/>
      <c r="C103" s="32">
        <v>857.35378710031875</v>
      </c>
      <c r="D103" s="32">
        <v>208.77266666666668</v>
      </c>
      <c r="E103" s="32">
        <v>41.754533333333342</v>
      </c>
      <c r="F103" s="32">
        <v>250.52720000000002</v>
      </c>
      <c r="G103" s="32">
        <v>293.56053100719544</v>
      </c>
      <c r="H103" s="32">
        <v>414.13297307480667</v>
      </c>
      <c r="I103" s="32">
        <v>2559.7580660633489</v>
      </c>
      <c r="J103" s="32">
        <v>15.262330175510874</v>
      </c>
      <c r="K103" s="32">
        <v>25.043599008275351</v>
      </c>
      <c r="L103" s="30">
        <v>1.4107242947610552</v>
      </c>
      <c r="M103" s="32">
        <v>8.144971079570043</v>
      </c>
      <c r="N103" s="32">
        <v>2.2804118462575679E-3</v>
      </c>
      <c r="O103" s="32">
        <v>0</v>
      </c>
      <c r="P103" s="32">
        <v>3.0034672521128153E-2</v>
      </c>
      <c r="Q103" s="32">
        <v>1.6536834026619174</v>
      </c>
      <c r="R103" s="32">
        <v>19.919506623975991</v>
      </c>
      <c r="S103" s="32">
        <v>78.900210297596146</v>
      </c>
      <c r="T103" s="32">
        <v>104.56881655080335</v>
      </c>
      <c r="U103" s="32">
        <v>101.23553641306827</v>
      </c>
      <c r="V103" s="32">
        <v>102.6842072288087</v>
      </c>
      <c r="W103" s="32">
        <v>48.273047282539828</v>
      </c>
      <c r="X103" s="32">
        <v>27.758337838882262</v>
      </c>
      <c r="Y103" s="32">
        <v>7.8454451853470353</v>
      </c>
      <c r="Z103" s="32">
        <v>5.3760405231991534E-2</v>
      </c>
      <c r="AA103" s="32"/>
      <c r="AB103" s="32">
        <v>0</v>
      </c>
      <c r="AC103" s="32">
        <v>2.0540058684893368E-2</v>
      </c>
      <c r="AD103" s="32">
        <v>0.60976139482095681</v>
      </c>
      <c r="AE103" s="32">
        <v>13.127848025560443</v>
      </c>
      <c r="AF103" s="32">
        <v>51.160940446266068</v>
      </c>
      <c r="AG103" s="32">
        <v>76.86595314556061</v>
      </c>
      <c r="AH103" s="32">
        <v>87.188491300034229</v>
      </c>
      <c r="AI103" s="32">
        <v>74.67423466068233</v>
      </c>
      <c r="AJ103" s="32">
        <v>38.637844326565698</v>
      </c>
      <c r="AK103" s="32">
        <v>18.234799736803428</v>
      </c>
      <c r="AL103" s="32">
        <v>3.871059348762671</v>
      </c>
      <c r="AM103" s="26">
        <v>3.9728755140788267E-2</v>
      </c>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c r="CU103" s="26"/>
      <c r="CV103" s="26"/>
      <c r="CW103" s="26"/>
      <c r="CX103" s="7"/>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row>
    <row r="104" spans="1:131">
      <c r="A104" s="7" t="s">
        <v>314</v>
      </c>
      <c r="B104" s="7"/>
      <c r="C104" s="32">
        <v>1111.4974068636257</v>
      </c>
      <c r="D104" s="32">
        <v>333.10200000000003</v>
      </c>
      <c r="E104" s="32">
        <v>66.620400000000004</v>
      </c>
      <c r="F104" s="32">
        <v>399.72240000000005</v>
      </c>
      <c r="G104" s="32">
        <v>422.79532005806038</v>
      </c>
      <c r="H104" s="32">
        <v>536.893558522896</v>
      </c>
      <c r="I104" s="32">
        <v>3150.3161432293136</v>
      </c>
      <c r="J104" s="32">
        <v>18.818320714496426</v>
      </c>
      <c r="K104" s="32">
        <v>27.838271825761808</v>
      </c>
      <c r="L104" s="30">
        <v>1.2698663704441362</v>
      </c>
      <c r="M104" s="32">
        <v>10.559368104665552</v>
      </c>
      <c r="N104" s="32">
        <v>2.9563896396480236E-3</v>
      </c>
      <c r="O104" s="32">
        <v>0</v>
      </c>
      <c r="P104" s="32">
        <v>3.8937788723298596E-2</v>
      </c>
      <c r="Q104" s="32">
        <v>2.1438813725296653</v>
      </c>
      <c r="R104" s="32">
        <v>25.824205003437484</v>
      </c>
      <c r="S104" s="32">
        <v>102.28843735953707</v>
      </c>
      <c r="T104" s="32">
        <v>135.56593577094247</v>
      </c>
      <c r="U104" s="32">
        <v>131.24457825764202</v>
      </c>
      <c r="V104" s="32">
        <v>133.12267558376499</v>
      </c>
      <c r="W104" s="32">
        <v>62.582527403789264</v>
      </c>
      <c r="X104" s="32">
        <v>35.986684833004595</v>
      </c>
      <c r="Y104" s="32">
        <v>10.171054365662467</v>
      </c>
      <c r="Z104" s="32">
        <v>6.9696491584173084E-2</v>
      </c>
      <c r="AA104" s="32"/>
      <c r="AB104" s="32">
        <v>0</v>
      </c>
      <c r="AC104" s="32">
        <v>2.6628706035463412E-2</v>
      </c>
      <c r="AD104" s="32">
        <v>0.79051171097205142</v>
      </c>
      <c r="AE104" s="32">
        <v>17.019309015314171</v>
      </c>
      <c r="AF104" s="32">
        <v>66.326472798417029</v>
      </c>
      <c r="AG104" s="32">
        <v>99.651169543845128</v>
      </c>
      <c r="AH104" s="32">
        <v>113.03359645275637</v>
      </c>
      <c r="AI104" s="32">
        <v>96.809764456271594</v>
      </c>
      <c r="AJ104" s="32">
        <v>50.091181052604533</v>
      </c>
      <c r="AK104" s="32">
        <v>23.640103918690674</v>
      </c>
      <c r="AL104" s="32">
        <v>5.0185495097853341</v>
      </c>
      <c r="AM104" s="26">
        <v>5.1505468315776078E-2</v>
      </c>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c r="CK104" s="26"/>
      <c r="CL104" s="26"/>
      <c r="CM104" s="26"/>
      <c r="CN104" s="26"/>
      <c r="CO104" s="26"/>
      <c r="CP104" s="26"/>
      <c r="CQ104" s="26"/>
      <c r="CR104" s="26"/>
      <c r="CS104" s="26"/>
      <c r="CT104" s="26"/>
      <c r="CU104" s="26"/>
      <c r="CV104" s="26"/>
      <c r="CW104" s="26"/>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row>
    <row r="105" spans="1:131">
      <c r="A105" s="7" t="s">
        <v>311</v>
      </c>
      <c r="B105" s="7"/>
      <c r="C105" s="32">
        <v>1470.9620152427756</v>
      </c>
      <c r="D105" s="32">
        <v>446.65133333333335</v>
      </c>
      <c r="E105" s="32">
        <v>89.330266666666674</v>
      </c>
      <c r="F105" s="32">
        <v>535.98160000000007</v>
      </c>
      <c r="G105" s="32">
        <v>566.91972258054909</v>
      </c>
      <c r="H105" s="32">
        <v>710.52800118012453</v>
      </c>
      <c r="I105" s="32">
        <v>3191.9239024163917</v>
      </c>
      <c r="J105" s="32">
        <v>19.068857966865696</v>
      </c>
      <c r="K105" s="32">
        <v>28.207939964256056</v>
      </c>
      <c r="L105" s="30">
        <v>1.2533132520877703</v>
      </c>
      <c r="M105" s="32">
        <v>13.974328047024326</v>
      </c>
      <c r="N105" s="32">
        <v>3.9125029310240079E-3</v>
      </c>
      <c r="O105" s="32">
        <v>0</v>
      </c>
      <c r="P105" s="32">
        <v>5.1530491943422192E-2</v>
      </c>
      <c r="Q105" s="32">
        <v>2.8372248506420572</v>
      </c>
      <c r="R105" s="32">
        <v>34.175900365874341</v>
      </c>
      <c r="S105" s="32">
        <v>135.36910210073026</v>
      </c>
      <c r="T105" s="32">
        <v>179.40873352335669</v>
      </c>
      <c r="U105" s="32">
        <v>173.68982431394559</v>
      </c>
      <c r="V105" s="32">
        <v>176.17530903986261</v>
      </c>
      <c r="W105" s="32">
        <v>82.82207413207118</v>
      </c>
      <c r="X105" s="32">
        <v>47.62498420327659</v>
      </c>
      <c r="Y105" s="32">
        <v>13.460431427434134</v>
      </c>
      <c r="Z105" s="32">
        <v>9.2236734951361976E-2</v>
      </c>
      <c r="AA105" s="32"/>
      <c r="AB105" s="32">
        <v>0</v>
      </c>
      <c r="AC105" s="32">
        <v>3.5240581625611146E-2</v>
      </c>
      <c r="AD105" s="32">
        <v>1.046167712370681</v>
      </c>
      <c r="AE105" s="32">
        <v>22.52345073646914</v>
      </c>
      <c r="AF105" s="32">
        <v>87.776832846426203</v>
      </c>
      <c r="AG105" s="32">
        <v>131.87892681381561</v>
      </c>
      <c r="AH105" s="32">
        <v>149.58930700293149</v>
      </c>
      <c r="AI105" s="32">
        <v>128.11859509560492</v>
      </c>
      <c r="AJ105" s="32">
        <v>66.290955041400537</v>
      </c>
      <c r="AK105" s="32">
        <v>31.285448518416921</v>
      </c>
      <c r="AL105" s="32">
        <v>6.6415770787445645</v>
      </c>
      <c r="AM105" s="26">
        <v>6.8162630881506439E-2</v>
      </c>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c r="CK105" s="26"/>
      <c r="CL105" s="26"/>
      <c r="CM105" s="26"/>
      <c r="CN105" s="26"/>
      <c r="CO105" s="26"/>
      <c r="CP105" s="26"/>
      <c r="CQ105" s="26"/>
      <c r="CR105" s="26"/>
      <c r="CS105" s="26"/>
      <c r="CT105" s="26"/>
      <c r="CU105" s="26"/>
      <c r="CV105" s="26"/>
      <c r="CW105" s="26"/>
      <c r="CX105" s="7"/>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row>
    <row r="106" spans="1:131">
      <c r="A106" s="7" t="s">
        <v>313</v>
      </c>
      <c r="B106" s="7"/>
      <c r="C106" s="32">
        <v>818.2600452312563</v>
      </c>
      <c r="D106" s="32">
        <v>255.12666666666667</v>
      </c>
      <c r="E106" s="32">
        <v>51.025333333333336</v>
      </c>
      <c r="F106" s="32">
        <v>306.15199999999999</v>
      </c>
      <c r="G106" s="32">
        <v>323.82381579419939</v>
      </c>
      <c r="H106" s="32">
        <v>395.24927792766016</v>
      </c>
      <c r="I106" s="32">
        <v>3277.5540436439678</v>
      </c>
      <c r="J106" s="32">
        <v>19.584471898553037</v>
      </c>
      <c r="K106" s="32">
        <v>28.968729190233617</v>
      </c>
      <c r="L106" s="30">
        <v>1.2205688978072384</v>
      </c>
      <c r="M106" s="32">
        <v>7.7735755113617184</v>
      </c>
      <c r="N106" s="32">
        <v>2.1764292973797451E-3</v>
      </c>
      <c r="O106" s="32">
        <v>0</v>
      </c>
      <c r="P106" s="32">
        <v>2.8665147183596265E-2</v>
      </c>
      <c r="Q106" s="32">
        <v>1.5782785079154114</v>
      </c>
      <c r="R106" s="32">
        <v>19.011214082631351</v>
      </c>
      <c r="S106" s="32">
        <v>75.302507107619974</v>
      </c>
      <c r="T106" s="32">
        <v>99.800672543862461</v>
      </c>
      <c r="U106" s="32">
        <v>96.619383795496091</v>
      </c>
      <c r="V106" s="32">
        <v>98.001997910052125</v>
      </c>
      <c r="W106" s="32">
        <v>46.071885897250652</v>
      </c>
      <c r="X106" s="32">
        <v>26.492609139114457</v>
      </c>
      <c r="Y106" s="32">
        <v>7.4877074421440089</v>
      </c>
      <c r="Z106" s="32">
        <v>5.1309030506017705E-2</v>
      </c>
      <c r="AA106" s="32"/>
      <c r="AB106" s="32">
        <v>0</v>
      </c>
      <c r="AC106" s="32">
        <v>1.9603470121007247E-2</v>
      </c>
      <c r="AD106" s="32">
        <v>0.58195740663135231</v>
      </c>
      <c r="AE106" s="32">
        <v>12.529242514359161</v>
      </c>
      <c r="AF106" s="32">
        <v>48.82809649120604</v>
      </c>
      <c r="AG106" s="32">
        <v>73.361008307146562</v>
      </c>
      <c r="AH106" s="32">
        <v>83.212857875278971</v>
      </c>
      <c r="AI106" s="32">
        <v>71.269228118438022</v>
      </c>
      <c r="AJ106" s="32">
        <v>36.87603031791884</v>
      </c>
      <c r="AK106" s="32">
        <v>17.403326703534809</v>
      </c>
      <c r="AL106" s="32">
        <v>3.6945462252221772</v>
      </c>
      <c r="AM106" s="26">
        <v>3.7917197623201386E-2</v>
      </c>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7"/>
      <c r="DW106" s="7"/>
      <c r="DX106" s="7"/>
      <c r="DY106" s="7"/>
      <c r="DZ106" s="7"/>
      <c r="EA106" s="7"/>
    </row>
    <row r="107" spans="1:131">
      <c r="A107" s="7" t="s">
        <v>315</v>
      </c>
      <c r="B107" s="7"/>
      <c r="C107" s="32">
        <v>818.2600452312563</v>
      </c>
      <c r="D107" s="32">
        <v>255.12666666666667</v>
      </c>
      <c r="E107" s="32">
        <v>51.025333333333336</v>
      </c>
      <c r="F107" s="32">
        <v>306.15199999999999</v>
      </c>
      <c r="G107" s="32">
        <v>323.82381579419939</v>
      </c>
      <c r="H107" s="32">
        <v>395.24927792766016</v>
      </c>
      <c r="I107" s="32">
        <v>3277.5540436439678</v>
      </c>
      <c r="J107" s="32">
        <v>19.584471898553037</v>
      </c>
      <c r="K107" s="32">
        <v>28.968729190233617</v>
      </c>
      <c r="L107" s="30">
        <v>1.2205688978072384</v>
      </c>
      <c r="M107" s="32">
        <v>7.7735755113617184</v>
      </c>
      <c r="N107" s="32">
        <v>2.1764292973797451E-3</v>
      </c>
      <c r="O107" s="32">
        <v>0</v>
      </c>
      <c r="P107" s="32">
        <v>2.8665147183596265E-2</v>
      </c>
      <c r="Q107" s="32">
        <v>1.5782785079154114</v>
      </c>
      <c r="R107" s="32">
        <v>19.011214082631351</v>
      </c>
      <c r="S107" s="32">
        <v>75.302507107619974</v>
      </c>
      <c r="T107" s="32">
        <v>99.800672543862461</v>
      </c>
      <c r="U107" s="32">
        <v>96.619383795496091</v>
      </c>
      <c r="V107" s="32">
        <v>98.001997910052125</v>
      </c>
      <c r="W107" s="32">
        <v>46.071885897250652</v>
      </c>
      <c r="X107" s="32">
        <v>26.492609139114457</v>
      </c>
      <c r="Y107" s="32">
        <v>7.4877074421440089</v>
      </c>
      <c r="Z107" s="32">
        <v>5.1309030506017705E-2</v>
      </c>
      <c r="AA107" s="32"/>
      <c r="AB107" s="32">
        <v>0</v>
      </c>
      <c r="AC107" s="32">
        <v>1.9603470121007247E-2</v>
      </c>
      <c r="AD107" s="32">
        <v>0.58195740663135231</v>
      </c>
      <c r="AE107" s="32">
        <v>12.529242514359161</v>
      </c>
      <c r="AF107" s="32">
        <v>48.82809649120604</v>
      </c>
      <c r="AG107" s="32">
        <v>73.361008307146562</v>
      </c>
      <c r="AH107" s="32">
        <v>83.212857875278971</v>
      </c>
      <c r="AI107" s="32">
        <v>71.269228118438022</v>
      </c>
      <c r="AJ107" s="32">
        <v>36.87603031791884</v>
      </c>
      <c r="AK107" s="32">
        <v>17.403326703534809</v>
      </c>
      <c r="AL107" s="32">
        <v>3.6945462252221772</v>
      </c>
      <c r="AM107" s="26">
        <v>3.7917197623201386E-2</v>
      </c>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7"/>
      <c r="CY107" s="7"/>
      <c r="CZ107" s="7"/>
      <c r="DA107" s="7"/>
      <c r="DB107" s="7"/>
      <c r="DC107" s="7"/>
      <c r="DD107" s="7"/>
      <c r="DE107" s="7"/>
      <c r="DF107" s="7"/>
      <c r="DG107" s="7"/>
      <c r="DH107" s="7"/>
      <c r="DI107" s="7"/>
      <c r="DJ107" s="7"/>
      <c r="DK107" s="7"/>
      <c r="DL107" s="7"/>
      <c r="DM107" s="7"/>
      <c r="DN107" s="7"/>
      <c r="DO107" s="7"/>
      <c r="DP107" s="7"/>
      <c r="DQ107" s="7"/>
      <c r="DR107" s="7"/>
      <c r="DS107" s="7"/>
      <c r="DT107" s="7"/>
      <c r="DU107" s="7"/>
      <c r="DV107" s="7"/>
      <c r="DW107" s="7"/>
      <c r="DX107" s="7"/>
      <c r="DY107" s="7"/>
      <c r="DZ107" s="7"/>
      <c r="EA107" s="7"/>
    </row>
    <row r="108" spans="1:131">
      <c r="A108" s="7" t="s">
        <v>318</v>
      </c>
      <c r="B108" s="7"/>
      <c r="C108" s="32">
        <v>842.07444999887502</v>
      </c>
      <c r="D108" s="32">
        <v>282.43600000000004</v>
      </c>
      <c r="E108" s="32">
        <v>56.487200000000009</v>
      </c>
      <c r="F108" s="32">
        <v>338.92320000000007</v>
      </c>
      <c r="G108" s="32">
        <v>358.48664678062079</v>
      </c>
      <c r="H108" s="32">
        <v>406.75249911453648</v>
      </c>
      <c r="I108" s="32">
        <v>3525.7775984106474</v>
      </c>
      <c r="J108" s="32">
        <v>21.079126948467145</v>
      </c>
      <c r="K108" s="32">
        <v>31.174095237668393</v>
      </c>
      <c r="L108" s="30">
        <v>1.1346377968813226</v>
      </c>
      <c r="M108" s="32">
        <v>7.9998154149206036</v>
      </c>
      <c r="N108" s="32">
        <v>2.2397714690255044E-3</v>
      </c>
      <c r="O108" s="32">
        <v>0</v>
      </c>
      <c r="P108" s="32">
        <v>2.9499409374121034E-2</v>
      </c>
      <c r="Q108" s="32">
        <v>1.624212271200784</v>
      </c>
      <c r="R108" s="32">
        <v>19.56451098369131</v>
      </c>
      <c r="S108" s="32">
        <v>77.494089593809349</v>
      </c>
      <c r="T108" s="32">
        <v>102.70524258353538</v>
      </c>
      <c r="U108" s="32">
        <v>99.431366523375161</v>
      </c>
      <c r="V108" s="32">
        <v>100.85421984104681</v>
      </c>
      <c r="W108" s="32">
        <v>47.412748799648128</v>
      </c>
      <c r="X108" s="32">
        <v>27.263642407897461</v>
      </c>
      <c r="Y108" s="32">
        <v>7.7056275237219047</v>
      </c>
      <c r="Z108" s="32">
        <v>5.2802313757259758E-2</v>
      </c>
      <c r="AA108" s="32"/>
      <c r="AB108" s="32">
        <v>0</v>
      </c>
      <c r="AC108" s="32">
        <v>2.0174003871289096E-2</v>
      </c>
      <c r="AD108" s="32">
        <v>0.59889452744007499</v>
      </c>
      <c r="AE108" s="32">
        <v>12.89388998114862</v>
      </c>
      <c r="AF108" s="32">
        <v>50.249175353177471</v>
      </c>
      <c r="AG108" s="32">
        <v>75.49608597123229</v>
      </c>
      <c r="AH108" s="32">
        <v>85.63466093270695</v>
      </c>
      <c r="AI108" s="32">
        <v>73.343427214165061</v>
      </c>
      <c r="AJ108" s="32">
        <v>37.949259687154026</v>
      </c>
      <c r="AK108" s="32">
        <v>17.909828113247357</v>
      </c>
      <c r="AL108" s="32">
        <v>3.8020712348482464</v>
      </c>
      <c r="AM108" s="26">
        <v>3.9020728825922529E-2</v>
      </c>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7"/>
      <c r="DW108" s="7"/>
      <c r="DX108" s="7"/>
      <c r="DY108" s="7"/>
      <c r="DZ108" s="7"/>
      <c r="EA108" s="7"/>
    </row>
    <row r="109" spans="1:131">
      <c r="A109" s="7"/>
      <c r="B109" s="7"/>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c r="DV109" s="7"/>
      <c r="DW109" s="7"/>
      <c r="DX109" s="7"/>
      <c r="DY109" s="7"/>
      <c r="DZ109" s="7"/>
      <c r="EA109" s="7"/>
    </row>
  </sheetData>
  <mergeCells count="3">
    <mergeCell ref="I6:N6"/>
    <mergeCell ref="O6:P6"/>
    <mergeCell ref="R6:T6"/>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dimension ref="A1:DC54"/>
  <sheetViews>
    <sheetView workbookViewId="0">
      <selection activeCell="G8" sqref="G8"/>
    </sheetView>
  </sheetViews>
  <sheetFormatPr defaultRowHeight="12.75"/>
  <cols>
    <col min="1" max="2" width="15.7109375" customWidth="1"/>
    <col min="3" max="3" width="73.85546875" bestFit="1" customWidth="1"/>
    <col min="4" max="4" width="24.85546875" customWidth="1"/>
  </cols>
  <sheetData>
    <row r="1" spans="1:107" s="67" customFormat="1" ht="14.25">
      <c r="C1" s="63" t="s">
        <v>0</v>
      </c>
      <c r="D1" s="64"/>
      <c r="E1" s="64"/>
      <c r="F1" s="64"/>
      <c r="G1" s="64"/>
      <c r="H1" s="64"/>
      <c r="I1" s="64"/>
      <c r="J1" s="64"/>
      <c r="K1" s="65"/>
      <c r="L1" s="65"/>
      <c r="M1" s="65"/>
      <c r="N1" s="65"/>
      <c r="O1" s="65"/>
      <c r="P1" s="66"/>
    </row>
    <row r="2" spans="1:107" s="67" customFormat="1">
      <c r="C2" s="68" t="s">
        <v>294</v>
      </c>
      <c r="D2" s="64"/>
      <c r="E2" s="64"/>
      <c r="F2" s="64"/>
      <c r="G2" s="64"/>
      <c r="H2" s="64"/>
      <c r="I2" s="64"/>
      <c r="J2" s="64"/>
      <c r="K2" s="65"/>
      <c r="L2" s="65"/>
      <c r="M2" s="65"/>
      <c r="N2" s="65"/>
      <c r="O2" s="65"/>
      <c r="P2" s="66"/>
      <c r="R2" s="69"/>
    </row>
    <row r="3" spans="1:107" s="7" customFormat="1">
      <c r="C3" s="8" t="s">
        <v>2</v>
      </c>
      <c r="E3" s="8">
        <v>2012</v>
      </c>
      <c r="L3" s="9"/>
      <c r="M3" s="10"/>
      <c r="CQ3" s="10"/>
      <c r="CR3" s="10"/>
    </row>
    <row r="4" spans="1:107" s="7" customFormat="1">
      <c r="A4" s="7" t="s">
        <v>308</v>
      </c>
    </row>
    <row r="5" spans="1:107" s="7" customFormat="1">
      <c r="C5" s="11">
        <v>1</v>
      </c>
      <c r="D5" s="11">
        <v>2</v>
      </c>
      <c r="E5" s="11">
        <v>3</v>
      </c>
      <c r="F5" s="11">
        <v>4</v>
      </c>
      <c r="G5" s="11">
        <v>5</v>
      </c>
      <c r="H5" s="11">
        <v>6</v>
      </c>
      <c r="I5" s="11">
        <v>7</v>
      </c>
      <c r="J5" s="11">
        <v>8</v>
      </c>
      <c r="K5" s="11">
        <v>9</v>
      </c>
      <c r="L5" s="11">
        <v>10</v>
      </c>
      <c r="M5" s="11">
        <v>11</v>
      </c>
      <c r="N5" s="11">
        <v>12</v>
      </c>
      <c r="O5" s="11">
        <v>13</v>
      </c>
      <c r="P5" s="11">
        <v>14</v>
      </c>
      <c r="Q5" s="11">
        <v>15</v>
      </c>
      <c r="R5" s="11">
        <v>16</v>
      </c>
      <c r="S5" s="11">
        <v>17</v>
      </c>
      <c r="T5" s="11">
        <v>18</v>
      </c>
      <c r="U5" s="11">
        <v>19</v>
      </c>
      <c r="V5" s="11">
        <v>20</v>
      </c>
      <c r="W5" s="11">
        <v>21</v>
      </c>
      <c r="X5" s="11">
        <v>22</v>
      </c>
      <c r="Y5" s="11">
        <v>23</v>
      </c>
      <c r="Z5" s="11">
        <v>24</v>
      </c>
      <c r="AA5" s="11">
        <v>25</v>
      </c>
      <c r="AB5" s="11">
        <v>26</v>
      </c>
      <c r="AC5" s="11">
        <v>27</v>
      </c>
      <c r="AD5" s="11">
        <v>28</v>
      </c>
      <c r="AE5" s="11">
        <v>29</v>
      </c>
      <c r="AF5" s="11">
        <v>30</v>
      </c>
      <c r="AG5" s="11">
        <v>31</v>
      </c>
      <c r="AH5" s="11">
        <v>32</v>
      </c>
      <c r="AI5" s="11">
        <v>33</v>
      </c>
      <c r="AJ5" s="11">
        <v>34</v>
      </c>
      <c r="AK5" s="11">
        <v>35</v>
      </c>
      <c r="AL5" s="11">
        <v>36</v>
      </c>
      <c r="AM5" s="11">
        <v>37</v>
      </c>
      <c r="AN5" s="11">
        <v>38</v>
      </c>
      <c r="AO5" s="11">
        <v>39</v>
      </c>
      <c r="AP5" s="11">
        <v>40</v>
      </c>
      <c r="AQ5" s="11">
        <v>41</v>
      </c>
      <c r="AR5" s="11">
        <v>42</v>
      </c>
      <c r="AS5" s="11">
        <v>43</v>
      </c>
      <c r="AT5" s="11">
        <v>44</v>
      </c>
      <c r="AU5" s="11">
        <v>45</v>
      </c>
      <c r="AV5" s="11">
        <v>46</v>
      </c>
      <c r="AW5" s="11">
        <v>47</v>
      </c>
      <c r="AX5" s="11">
        <v>48</v>
      </c>
      <c r="AY5" s="11">
        <v>49</v>
      </c>
      <c r="AZ5" s="11">
        <v>50</v>
      </c>
      <c r="BA5" s="11">
        <v>51</v>
      </c>
      <c r="BB5" s="11">
        <v>52</v>
      </c>
      <c r="BC5" s="11">
        <v>53</v>
      </c>
      <c r="BD5" s="11">
        <v>54</v>
      </c>
      <c r="BE5" s="11">
        <v>55</v>
      </c>
      <c r="BF5" s="11">
        <v>56</v>
      </c>
      <c r="BG5" s="11">
        <v>57</v>
      </c>
      <c r="BH5" s="11">
        <v>58</v>
      </c>
      <c r="BI5" s="11">
        <v>59</v>
      </c>
      <c r="BJ5" s="11">
        <v>60</v>
      </c>
      <c r="BK5" s="11">
        <v>61</v>
      </c>
      <c r="BL5" s="11">
        <v>62</v>
      </c>
      <c r="BM5" s="11">
        <v>63</v>
      </c>
      <c r="BN5" s="11">
        <v>64</v>
      </c>
      <c r="BO5" s="11">
        <v>65</v>
      </c>
      <c r="BP5" s="11">
        <v>66</v>
      </c>
      <c r="BQ5" s="11">
        <v>67</v>
      </c>
      <c r="BR5" s="11">
        <v>68</v>
      </c>
      <c r="BS5" s="11">
        <v>69</v>
      </c>
      <c r="BT5" s="11">
        <v>70</v>
      </c>
      <c r="BU5" s="11">
        <v>71</v>
      </c>
      <c r="BV5" s="11">
        <v>72</v>
      </c>
      <c r="BW5" s="11">
        <v>73</v>
      </c>
      <c r="BX5" s="11">
        <v>74</v>
      </c>
      <c r="BY5" s="11">
        <v>75</v>
      </c>
      <c r="BZ5" s="11">
        <v>76</v>
      </c>
      <c r="CA5" s="11">
        <v>77</v>
      </c>
      <c r="CB5" s="11">
        <v>78</v>
      </c>
      <c r="CC5" s="11">
        <v>79</v>
      </c>
      <c r="CD5" s="11">
        <v>80</v>
      </c>
      <c r="CE5" s="11">
        <v>81</v>
      </c>
      <c r="CF5" s="11">
        <v>82</v>
      </c>
      <c r="CG5" s="11">
        <v>83</v>
      </c>
      <c r="CH5" s="11">
        <v>84</v>
      </c>
      <c r="CI5" s="11">
        <v>85</v>
      </c>
      <c r="CJ5" s="11">
        <v>86</v>
      </c>
      <c r="CK5" s="11">
        <v>87</v>
      </c>
      <c r="CL5" s="11">
        <v>88</v>
      </c>
      <c r="CM5" s="11">
        <v>89</v>
      </c>
      <c r="CN5" s="11">
        <v>90</v>
      </c>
      <c r="CO5" s="11">
        <v>91</v>
      </c>
      <c r="CP5" s="11">
        <v>92</v>
      </c>
      <c r="CQ5" s="11">
        <v>93</v>
      </c>
      <c r="CR5" s="11">
        <v>94</v>
      </c>
      <c r="CS5" s="11">
        <v>95</v>
      </c>
      <c r="CT5" s="11">
        <v>96</v>
      </c>
      <c r="CU5" s="11">
        <v>97</v>
      </c>
      <c r="CV5" s="11">
        <v>98</v>
      </c>
      <c r="CW5" s="11">
        <v>99</v>
      </c>
      <c r="CX5" s="11">
        <v>100</v>
      </c>
      <c r="CY5" s="11">
        <v>101</v>
      </c>
      <c r="CZ5" s="11">
        <v>102</v>
      </c>
      <c r="DA5" s="11">
        <v>103</v>
      </c>
      <c r="DB5" s="11">
        <v>104</v>
      </c>
      <c r="DC5" s="11">
        <v>105</v>
      </c>
    </row>
    <row r="6" spans="1:107" s="7" customFormat="1">
      <c r="C6" s="12" t="s">
        <v>3</v>
      </c>
      <c r="D6" s="13"/>
      <c r="E6" s="13"/>
      <c r="F6" s="13"/>
      <c r="G6" s="13"/>
      <c r="H6" s="13"/>
      <c r="I6" s="14"/>
      <c r="J6" s="70"/>
      <c r="K6" s="297" t="s">
        <v>4</v>
      </c>
      <c r="L6" s="298"/>
      <c r="M6" s="298"/>
      <c r="N6" s="298"/>
      <c r="O6" s="298"/>
      <c r="P6" s="299"/>
      <c r="Q6" s="300" t="s">
        <v>5</v>
      </c>
      <c r="R6" s="301"/>
      <c r="S6" s="16"/>
      <c r="T6" s="17"/>
      <c r="U6" s="17"/>
      <c r="V6" s="17"/>
      <c r="W6" s="17"/>
      <c r="X6" s="17"/>
      <c r="Y6" s="17"/>
      <c r="Z6" s="18"/>
      <c r="AA6" s="19"/>
      <c r="AB6" s="17"/>
      <c r="AC6" s="17"/>
      <c r="AD6" s="17"/>
      <c r="AE6" s="17"/>
      <c r="AF6" s="17"/>
      <c r="AG6" s="20"/>
      <c r="AH6" s="20"/>
      <c r="AI6" s="20"/>
      <c r="AJ6" s="20"/>
      <c r="AK6" s="20"/>
      <c r="AL6" s="20"/>
      <c r="AM6" s="20"/>
      <c r="AN6" s="20"/>
      <c r="AO6" s="20"/>
      <c r="AP6" s="20"/>
      <c r="AQ6" s="20"/>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row>
    <row r="7" spans="1:107" s="7" customFormat="1" ht="38.25">
      <c r="A7" s="7" t="s">
        <v>304</v>
      </c>
      <c r="C7" s="71" t="s">
        <v>6</v>
      </c>
      <c r="D7" s="71" t="s">
        <v>7</v>
      </c>
      <c r="E7" s="71" t="s">
        <v>8</v>
      </c>
      <c r="F7" s="71" t="s">
        <v>9</v>
      </c>
      <c r="G7" s="71" t="s">
        <v>10</v>
      </c>
      <c r="H7" s="71" t="s">
        <v>11</v>
      </c>
      <c r="I7" s="72" t="s">
        <v>12</v>
      </c>
      <c r="J7" s="72" t="s">
        <v>13</v>
      </c>
      <c r="K7" s="72" t="s">
        <v>14</v>
      </c>
      <c r="L7" s="72" t="s">
        <v>15</v>
      </c>
      <c r="M7" s="72" t="s">
        <v>16</v>
      </c>
      <c r="N7" s="72" t="s">
        <v>17</v>
      </c>
      <c r="O7" s="72" t="s">
        <v>18</v>
      </c>
      <c r="P7" s="72" t="s">
        <v>19</v>
      </c>
      <c r="Q7" s="73" t="s">
        <v>20</v>
      </c>
      <c r="R7" s="72" t="s">
        <v>12</v>
      </c>
      <c r="S7" s="23"/>
      <c r="T7" s="23"/>
      <c r="U7" s="23"/>
      <c r="V7" s="23"/>
      <c r="W7" s="23"/>
      <c r="X7" s="23"/>
      <c r="Y7" s="23"/>
      <c r="Z7" s="23"/>
      <c r="AA7" s="23"/>
      <c r="AB7" s="23"/>
      <c r="AC7" s="23"/>
      <c r="AD7" s="23"/>
      <c r="AE7" s="23"/>
      <c r="AF7" s="23"/>
      <c r="AG7" s="20"/>
      <c r="AH7" s="20"/>
      <c r="AI7" s="20"/>
      <c r="AJ7" s="20"/>
      <c r="AK7" s="20"/>
      <c r="AL7" s="20"/>
      <c r="AM7" s="20"/>
      <c r="AN7" s="20"/>
      <c r="AO7" s="20"/>
      <c r="AP7" s="20"/>
      <c r="AQ7" s="20"/>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row>
    <row r="8" spans="1:107">
      <c r="A8" t="str">
        <f>RIGHT(C8,LEN(C8)-FIND("size",C8)-4)</f>
        <v>15HP</v>
      </c>
      <c r="B8">
        <f>LEFT(A8,FIND("H",A8)-1)*1</f>
        <v>15</v>
      </c>
      <c r="C8" t="str">
        <f>LEFT(Raw!B8,FIND(",",Raw!B8)-1)</f>
        <v>Green Motors Program Rewind vs. Standard Practice:  Motor size 15HP</v>
      </c>
      <c r="D8" t="str">
        <f>LEFT(Raw!C8,FIND(",",Raw!C8)-1)</f>
        <v>Green Motors Program Rewind vs. Standard Practice:  Motor size 15HP</v>
      </c>
      <c r="E8">
        <f>VLOOKUP($A8,Raw!$A$8:$F$41,E$5+1,FALSE)</f>
        <v>317.20063698333979</v>
      </c>
      <c r="F8">
        <f>VLOOKUP($A8,Raw!$A$8:$F$41,F$5+1,FALSE)</f>
        <v>18</v>
      </c>
      <c r="G8">
        <f>VLOOKUP($A8,Raw!$A$8:$F$41,G$5+1,FALSE)</f>
        <v>115.346</v>
      </c>
      <c r="H8">
        <f>Raw!G19</f>
        <v>0</v>
      </c>
      <c r="I8" t="str">
        <f>Raw!H19</f>
        <v>A-Irr-Irr-Irrigation-All-All-E</v>
      </c>
      <c r="J8">
        <f>Raw!I19</f>
        <v>0</v>
      </c>
      <c r="K8">
        <f>Raw!J19</f>
        <v>0</v>
      </c>
      <c r="L8">
        <f>Raw!K19</f>
        <v>0</v>
      </c>
      <c r="M8">
        <f>Raw!L19</f>
        <v>0</v>
      </c>
      <c r="N8">
        <f>Raw!M19</f>
        <v>0</v>
      </c>
      <c r="O8">
        <f>Raw!N19</f>
        <v>0</v>
      </c>
      <c r="P8">
        <f>Raw!O19</f>
        <v>0</v>
      </c>
    </row>
    <row r="9" spans="1:107">
      <c r="A9" t="str">
        <f t="shared" ref="A9:A41" si="0">RIGHT(C9,LEN(C9)-FIND("size",C9)-4)</f>
        <v>20HP</v>
      </c>
      <c r="B9">
        <f t="shared" ref="B9:B41" si="1">LEFT(A9,FIND("H",A9)-1)*1</f>
        <v>20</v>
      </c>
      <c r="C9" t="str">
        <f>LEFT(Raw!B9,FIND(",",Raw!B9)-1)</f>
        <v>Green Motors Program Rewind vs. Standard Practice:  Motor size 20HP</v>
      </c>
      <c r="D9" t="str">
        <f>LEFT(Raw!C9,FIND(",",Raw!C9)-1)</f>
        <v>Green Motors Program Rewind vs. Standard Practice:  Motor size 20HP</v>
      </c>
      <c r="E9">
        <f>VLOOKUP($A9,Raw!$A$8:$F$41,E$5+1,FALSE)</f>
        <v>424.74405122567379</v>
      </c>
      <c r="F9">
        <f>VLOOKUP($A9,Raw!$A$8:$F$41,F$5+1,FALSE)</f>
        <v>18</v>
      </c>
      <c r="G9">
        <f>VLOOKUP($A9,Raw!$A$8:$F$41,G$5+1,FALSE)</f>
        <v>114.98666666666668</v>
      </c>
      <c r="H9">
        <f>Raw!G13</f>
        <v>0</v>
      </c>
      <c r="I9" t="str">
        <f>Raw!H13</f>
        <v>A-Irr-Irr-Irrigation-All-All-E</v>
      </c>
      <c r="J9">
        <f>Raw!I13</f>
        <v>0</v>
      </c>
      <c r="K9">
        <f>Raw!J13</f>
        <v>0</v>
      </c>
      <c r="L9">
        <f>Raw!K13</f>
        <v>0</v>
      </c>
      <c r="M9">
        <f>Raw!L13</f>
        <v>0</v>
      </c>
      <c r="N9">
        <f>Raw!M13</f>
        <v>0</v>
      </c>
      <c r="O9">
        <f>Raw!N13</f>
        <v>0</v>
      </c>
      <c r="P9">
        <f>Raw!O13</f>
        <v>0</v>
      </c>
    </row>
    <row r="10" spans="1:107">
      <c r="A10" t="str">
        <f t="shared" si="0"/>
        <v>25HP</v>
      </c>
      <c r="B10">
        <f t="shared" si="1"/>
        <v>25</v>
      </c>
      <c r="C10" t="str">
        <f>LEFT(Raw!B10,FIND(",",Raw!B10)-1)</f>
        <v>Green Motors Program Rewind vs. Standard Practice:  Motor size 25HP</v>
      </c>
      <c r="D10" t="str">
        <f>LEFT(Raw!C10,FIND(",",Raw!C10)-1)</f>
        <v>Green Motors Program Rewind vs. Standard Practice:  Motor size 25HP</v>
      </c>
      <c r="E10">
        <f>VLOOKUP($A10,Raw!$A$8:$F$41,E$5+1,FALSE)</f>
        <v>594.72164703874898</v>
      </c>
      <c r="F10">
        <f>VLOOKUP($A10,Raw!$A$8:$F$41,F$5+1,FALSE)</f>
        <v>17</v>
      </c>
      <c r="G10">
        <f>VLOOKUP($A10,Raw!$A$8:$F$41,G$5+1,FALSE)</f>
        <v>149.12333333333336</v>
      </c>
      <c r="H10">
        <f>Raw!G14</f>
        <v>0</v>
      </c>
      <c r="I10" t="str">
        <f>Raw!H14</f>
        <v>A-Irr-Irr-Irrigation-All-All-E</v>
      </c>
      <c r="J10">
        <f>Raw!I14</f>
        <v>0</v>
      </c>
      <c r="K10">
        <f>Raw!J14</f>
        <v>0</v>
      </c>
      <c r="L10">
        <f>Raw!K14</f>
        <v>0</v>
      </c>
      <c r="M10">
        <f>Raw!L14</f>
        <v>0</v>
      </c>
      <c r="N10">
        <f>Raw!M14</f>
        <v>0</v>
      </c>
      <c r="O10">
        <f>Raw!N14</f>
        <v>0</v>
      </c>
      <c r="P10">
        <f>Raw!O14</f>
        <v>0</v>
      </c>
    </row>
    <row r="11" spans="1:107">
      <c r="A11" t="str">
        <f t="shared" si="0"/>
        <v>30HP</v>
      </c>
      <c r="B11">
        <f t="shared" si="1"/>
        <v>30</v>
      </c>
      <c r="C11" t="str">
        <f>LEFT(Raw!B11,FIND(",",Raw!B11)-1)</f>
        <v>Green Motors Program Rewind vs. Standard Practice:  Motor size 30HP</v>
      </c>
      <c r="D11" t="str">
        <f>LEFT(Raw!C11,FIND(",",Raw!C11)-1)</f>
        <v>Green Motors Program Rewind vs. Standard Practice:  Motor size 30HP</v>
      </c>
      <c r="E11">
        <f>VLOOKUP($A11,Raw!$A$8:$F$41,E$5+1,FALSE)</f>
        <v>640.45084575817361</v>
      </c>
      <c r="F11">
        <f>VLOOKUP($A11,Raw!$A$8:$F$41,F$5+1,FALSE)</f>
        <v>17</v>
      </c>
      <c r="G11">
        <f>VLOOKUP($A11,Raw!$A$8:$F$41,G$5+1,FALSE)</f>
        <v>166.37133333333335</v>
      </c>
      <c r="H11">
        <f>Raw!G16</f>
        <v>0</v>
      </c>
      <c r="I11" t="str">
        <f>Raw!H16</f>
        <v>A-Irr-Irr-Irrigation-All-All-E</v>
      </c>
      <c r="J11">
        <f>Raw!I16</f>
        <v>0</v>
      </c>
      <c r="K11">
        <f>Raw!J16</f>
        <v>0</v>
      </c>
      <c r="L11">
        <f>Raw!K16</f>
        <v>0</v>
      </c>
      <c r="M11">
        <f>Raw!L16</f>
        <v>0</v>
      </c>
      <c r="N11">
        <f>Raw!M16</f>
        <v>0</v>
      </c>
      <c r="O11">
        <f>Raw!N16</f>
        <v>0</v>
      </c>
      <c r="P11">
        <f>Raw!O16</f>
        <v>0</v>
      </c>
    </row>
    <row r="12" spans="1:107">
      <c r="A12" t="str">
        <f t="shared" si="0"/>
        <v>40HP</v>
      </c>
      <c r="B12">
        <f t="shared" si="1"/>
        <v>40</v>
      </c>
      <c r="C12" t="str">
        <f>LEFT(Raw!B12,FIND(",",Raw!B12)-1)</f>
        <v>Green Motors Program Rewind vs. Standard Practice:  Motor size 40HP</v>
      </c>
      <c r="D12" t="str">
        <f>LEFT(Raw!C12,FIND(",",Raw!C12)-1)</f>
        <v>Green Motors Program Rewind vs. Standard Practice:  Motor size 40HP</v>
      </c>
      <c r="E12">
        <f>VLOOKUP($A12,Raw!$A$8:$F$41,E$5+1,FALSE)</f>
        <v>745.77064709480817</v>
      </c>
      <c r="F12">
        <f>VLOOKUP($A12,Raw!$A$8:$F$41,F$5+1,FALSE)</f>
        <v>17</v>
      </c>
      <c r="G12">
        <f>VLOOKUP($A12,Raw!$A$8:$F$41,G$5+1,FALSE)</f>
        <v>190.08733333333336</v>
      </c>
      <c r="H12">
        <f>Raw!G14</f>
        <v>0</v>
      </c>
      <c r="I12" t="str">
        <f>Raw!H14</f>
        <v>A-Irr-Irr-Irrigation-All-All-E</v>
      </c>
      <c r="J12">
        <f>Raw!I14</f>
        <v>0</v>
      </c>
      <c r="K12">
        <f>Raw!J14</f>
        <v>0</v>
      </c>
      <c r="L12">
        <f>Raw!K14</f>
        <v>0</v>
      </c>
      <c r="M12">
        <f>Raw!L14</f>
        <v>0</v>
      </c>
      <c r="N12">
        <f>Raw!M14</f>
        <v>0</v>
      </c>
      <c r="O12">
        <f>Raw!N14</f>
        <v>0</v>
      </c>
      <c r="P12">
        <f>Raw!O14</f>
        <v>0</v>
      </c>
    </row>
    <row r="13" spans="1:107">
      <c r="A13" t="str">
        <f t="shared" si="0"/>
        <v>50HP</v>
      </c>
      <c r="B13">
        <f t="shared" si="1"/>
        <v>50</v>
      </c>
      <c r="C13" t="str">
        <f>LEFT(Raw!B13,FIND(",",Raw!B13)-1)</f>
        <v>Green Motors Program Rewind vs. Standard Practice:  Motor size 50HP</v>
      </c>
      <c r="D13" t="str">
        <f>LEFT(Raw!C13,FIND(",",Raw!C13)-1)</f>
        <v>Green Motors Program Rewind vs. Standard Practice:  Motor size 50HP</v>
      </c>
      <c r="E13">
        <f>VLOOKUP($A13,Raw!$A$8:$F$41,E$5+1,FALSE)</f>
        <v>801.85271513185091</v>
      </c>
      <c r="F13">
        <f>VLOOKUP($A13,Raw!$A$8:$F$41,F$5+1,FALSE)</f>
        <v>17</v>
      </c>
      <c r="G13">
        <f>VLOOKUP($A13,Raw!$A$8:$F$41,G$5+1,FALSE)</f>
        <v>208.77266666666668</v>
      </c>
      <c r="H13">
        <f>Raw!G12</f>
        <v>0</v>
      </c>
      <c r="I13" t="str">
        <f>Raw!H12</f>
        <v>A-Irr-Irr-Irrigation-All-All-E</v>
      </c>
      <c r="J13">
        <f>Raw!I12</f>
        <v>0</v>
      </c>
      <c r="K13">
        <f>Raw!J12</f>
        <v>0</v>
      </c>
      <c r="L13">
        <f>Raw!K12</f>
        <v>0</v>
      </c>
      <c r="M13">
        <f>Raw!L12</f>
        <v>0</v>
      </c>
      <c r="N13">
        <f>Raw!M12</f>
        <v>0</v>
      </c>
      <c r="O13">
        <f>Raw!N12</f>
        <v>0</v>
      </c>
      <c r="P13">
        <f>Raw!O12</f>
        <v>0</v>
      </c>
    </row>
    <row r="14" spans="1:107">
      <c r="A14" t="str">
        <f t="shared" si="0"/>
        <v>60HP</v>
      </c>
      <c r="B14">
        <f t="shared" si="1"/>
        <v>60</v>
      </c>
      <c r="C14" t="str">
        <f>LEFT(Raw!B14,FIND(",",Raw!B14)-1)</f>
        <v>Green Motors Program Rewind vs. Standard Practice:  Motor size 60HP</v>
      </c>
      <c r="D14" t="str">
        <f>LEFT(Raw!C14,FIND(",",Raw!C14)-1)</f>
        <v>Green Motors Program Rewind vs. Standard Practice:  Motor size 60HP</v>
      </c>
      <c r="E14">
        <f>VLOOKUP($A14,Raw!$A$8:$F$41,E$5+1,FALSE)</f>
        <v>765.28971916213288</v>
      </c>
      <c r="F14">
        <f>VLOOKUP($A14,Raw!$A$8:$F$41,F$5+1,FALSE)</f>
        <v>20</v>
      </c>
      <c r="G14">
        <f>VLOOKUP($A14,Raw!$A$8:$F$41,G$5+1,FALSE)</f>
        <v>255.12666666666667</v>
      </c>
      <c r="H14">
        <f>Raw!G13</f>
        <v>0</v>
      </c>
      <c r="I14" t="str">
        <f>Raw!H13</f>
        <v>A-Irr-Irr-Irrigation-All-All-E</v>
      </c>
      <c r="J14">
        <f>Raw!I13</f>
        <v>0</v>
      </c>
      <c r="K14">
        <f>Raw!J13</f>
        <v>0</v>
      </c>
      <c r="L14">
        <f>Raw!K13</f>
        <v>0</v>
      </c>
      <c r="M14">
        <f>Raw!L13</f>
        <v>0</v>
      </c>
      <c r="N14">
        <f>Raw!M13</f>
        <v>0</v>
      </c>
      <c r="O14">
        <f>Raw!N13</f>
        <v>0</v>
      </c>
      <c r="P14">
        <f>Raw!O13</f>
        <v>0</v>
      </c>
    </row>
    <row r="15" spans="1:107">
      <c r="A15" t="str">
        <f t="shared" si="0"/>
        <v>75HP</v>
      </c>
      <c r="B15">
        <f t="shared" si="1"/>
        <v>75</v>
      </c>
      <c r="C15" t="str">
        <f>LEFT(Raw!B15,FIND(",",Raw!B15)-1)</f>
        <v>Green Motors Program Rewind vs. Standard Practice:  Motor size 75HP</v>
      </c>
      <c r="D15" t="str">
        <f>LEFT(Raw!C15,FIND(",",Raw!C15)-1)</f>
        <v>Green Motors Program Rewind vs. Standard Practice:  Motor size 75HP</v>
      </c>
      <c r="E15">
        <f>VLOOKUP($A15,Raw!$A$8:$F$41,E$5+1,FALSE)</f>
        <v>787.56249081075168</v>
      </c>
      <c r="F15">
        <f>VLOOKUP($A15,Raw!$A$8:$F$41,F$5+1,FALSE)</f>
        <v>20</v>
      </c>
      <c r="G15">
        <f>VLOOKUP($A15,Raw!$A$8:$F$41,G$5+1,FALSE)</f>
        <v>282.43600000000004</v>
      </c>
      <c r="H15">
        <f>Raw!G15</f>
        <v>0</v>
      </c>
      <c r="I15" t="str">
        <f>Raw!H15</f>
        <v>A-Irr-Irr-Irrigation-All-All-E</v>
      </c>
      <c r="J15">
        <f>Raw!I15</f>
        <v>0</v>
      </c>
      <c r="K15">
        <f>Raw!J15</f>
        <v>0</v>
      </c>
      <c r="L15">
        <f>Raw!K15</f>
        <v>0</v>
      </c>
      <c r="M15">
        <f>Raw!L15</f>
        <v>0</v>
      </c>
      <c r="N15">
        <f>Raw!M15</f>
        <v>0</v>
      </c>
      <c r="O15">
        <f>Raw!N15</f>
        <v>0</v>
      </c>
      <c r="P15">
        <f>Raw!O15</f>
        <v>0</v>
      </c>
    </row>
    <row r="16" spans="1:107">
      <c r="A16" t="str">
        <f t="shared" si="0"/>
        <v>100HP</v>
      </c>
      <c r="B16">
        <f t="shared" si="1"/>
        <v>100</v>
      </c>
      <c r="C16" t="str">
        <f>LEFT(Raw!B16,FIND(",",Raw!B16)-1)</f>
        <v>Green Motors Program Rewind vs. Standard Practice:  Motor size 100HP</v>
      </c>
      <c r="D16" t="str">
        <f>LEFT(Raw!C16,FIND(",",Raw!C16)-1)</f>
        <v>Green Motors Program Rewind vs. Standard Practice:  Motor size 100HP</v>
      </c>
      <c r="E16">
        <f>VLOOKUP($A16,Raw!$A$8:$F$41,E$5+1,FALSE)</f>
        <v>1039.5442662823673</v>
      </c>
      <c r="F16">
        <f>VLOOKUP($A16,Raw!$A$8:$F$41,F$5+1,FALSE)</f>
        <v>20</v>
      </c>
      <c r="G16">
        <f>VLOOKUP($A16,Raw!$A$8:$F$41,G$5+1,FALSE)</f>
        <v>333.10200000000003</v>
      </c>
      <c r="H16">
        <f>Raw!G16</f>
        <v>0</v>
      </c>
      <c r="I16" t="str">
        <f>Raw!H16</f>
        <v>A-Irr-Irr-Irrigation-All-All-E</v>
      </c>
      <c r="J16">
        <f>Raw!I16</f>
        <v>0</v>
      </c>
      <c r="K16">
        <f>Raw!J16</f>
        <v>0</v>
      </c>
      <c r="L16">
        <f>Raw!K16</f>
        <v>0</v>
      </c>
      <c r="M16">
        <f>Raw!L16</f>
        <v>0</v>
      </c>
      <c r="N16">
        <f>Raw!M16</f>
        <v>0</v>
      </c>
      <c r="O16">
        <f>Raw!N16</f>
        <v>0</v>
      </c>
      <c r="P16">
        <f>Raw!O16</f>
        <v>0</v>
      </c>
    </row>
    <row r="17" spans="1:16">
      <c r="A17" t="str">
        <f t="shared" si="0"/>
        <v>125HP</v>
      </c>
      <c r="B17">
        <f t="shared" si="1"/>
        <v>125</v>
      </c>
      <c r="C17" t="str">
        <f>LEFT(Raw!B17,FIND(",",Raw!B17)-1)</f>
        <v>Green Motors Program Rewind vs. Standard Practice:  Motor size 125HP</v>
      </c>
      <c r="D17" t="str">
        <f>LEFT(Raw!C17,FIND(",",Raw!C17)-1)</f>
        <v>Green Motors Program Rewind vs. Standard Practice:  Motor size 125HP</v>
      </c>
      <c r="E17">
        <f>VLOOKUP($A17,Raw!$A$8:$F$41,E$5+1,FALSE)</f>
        <v>1157.1149728950259</v>
      </c>
      <c r="F17">
        <f>VLOOKUP($A17,Raw!$A$8:$F$41,F$5+1,FALSE)</f>
        <v>20</v>
      </c>
      <c r="G17">
        <f>VLOOKUP($A17,Raw!$A$8:$F$41,G$5+1,FALSE)</f>
        <v>360.05200000000002</v>
      </c>
      <c r="H17">
        <f>Raw!G17</f>
        <v>0</v>
      </c>
      <c r="I17" t="str">
        <f>Raw!H17</f>
        <v>A-Irr-Irr-Irrigation-All-All-E</v>
      </c>
      <c r="J17">
        <f>Raw!I17</f>
        <v>0</v>
      </c>
      <c r="K17">
        <f>Raw!J17</f>
        <v>0</v>
      </c>
      <c r="L17">
        <f>Raw!K17</f>
        <v>0</v>
      </c>
      <c r="M17">
        <f>Raw!L17</f>
        <v>0</v>
      </c>
      <c r="N17">
        <f>Raw!M17</f>
        <v>0</v>
      </c>
      <c r="O17">
        <f>Raw!N17</f>
        <v>0</v>
      </c>
      <c r="P17">
        <f>Raw!O17</f>
        <v>0</v>
      </c>
    </row>
    <row r="18" spans="1:16">
      <c r="A18" t="str">
        <f t="shared" si="0"/>
        <v>150HP</v>
      </c>
      <c r="B18">
        <f t="shared" si="1"/>
        <v>150</v>
      </c>
      <c r="C18" t="str">
        <f>LEFT(Raw!B18,FIND(",",Raw!B18)-1)</f>
        <v>Green Motors Program Rewind vs. Standard Practice:  Motor size 150HP</v>
      </c>
      <c r="D18" t="str">
        <f>LEFT(Raw!C18,FIND(",",Raw!C18)-1)</f>
        <v>Green Motors Program Rewind vs. Standard Practice:  Motor size 150HP</v>
      </c>
      <c r="E18">
        <f>VLOOKUP($A18,Raw!$A$8:$F$41,E$5+1,FALSE)</f>
        <v>1375.738818122496</v>
      </c>
      <c r="F18">
        <f>VLOOKUP($A18,Raw!$A$8:$F$41,F$5+1,FALSE)</f>
        <v>20</v>
      </c>
      <c r="G18">
        <f>VLOOKUP($A18,Raw!$A$8:$F$41,G$5+1,FALSE)</f>
        <v>446.65133333333335</v>
      </c>
      <c r="H18">
        <f>Raw!G18</f>
        <v>0</v>
      </c>
      <c r="I18" t="str">
        <f>Raw!H18</f>
        <v>A-Irr-Irr-Irrigation-All-All-E</v>
      </c>
      <c r="J18">
        <f>Raw!I18</f>
        <v>0</v>
      </c>
      <c r="K18">
        <f>Raw!J18</f>
        <v>0</v>
      </c>
      <c r="L18">
        <f>Raw!K18</f>
        <v>0</v>
      </c>
      <c r="M18">
        <f>Raw!L18</f>
        <v>0</v>
      </c>
      <c r="N18">
        <f>Raw!M18</f>
        <v>0</v>
      </c>
      <c r="O18">
        <f>Raw!N18</f>
        <v>0</v>
      </c>
      <c r="P18">
        <f>Raw!O18</f>
        <v>0</v>
      </c>
    </row>
    <row r="19" spans="1:16">
      <c r="A19" t="str">
        <f t="shared" si="0"/>
        <v>200HP</v>
      </c>
      <c r="B19">
        <f t="shared" si="1"/>
        <v>200</v>
      </c>
      <c r="C19" t="str">
        <f>LEFT(Raw!B19,FIND(",",Raw!B19)-1)</f>
        <v>Green Motors Program Rewind vs. Standard Practice:  Motor size 200HP</v>
      </c>
      <c r="D19" t="str">
        <f>LEFT(Raw!C19,FIND(",",Raw!C19)-1)</f>
        <v>Green Motors Program Rewind vs. Standard Practice:  Motor size 200HP</v>
      </c>
      <c r="E19">
        <f>VLOOKUP($A19,Raw!$A$8:$F$41,E$5+1,FALSE)</f>
        <v>1820.5989174882707</v>
      </c>
      <c r="F19">
        <f>VLOOKUP($A19,Raw!$A$8:$F$41,F$5+1,FALSE)</f>
        <v>20</v>
      </c>
      <c r="G19">
        <f>VLOOKUP($A19,Raw!$A$8:$F$41,G$5+1,FALSE)</f>
        <v>501.62933333333336</v>
      </c>
      <c r="H19">
        <f>Raw!G19</f>
        <v>0</v>
      </c>
      <c r="I19" t="str">
        <f>Raw!H19</f>
        <v>A-Irr-Irr-Irrigation-All-All-E</v>
      </c>
      <c r="J19">
        <f>Raw!I19</f>
        <v>0</v>
      </c>
      <c r="K19">
        <f>Raw!J19</f>
        <v>0</v>
      </c>
      <c r="L19">
        <f>Raw!K19</f>
        <v>0</v>
      </c>
      <c r="M19">
        <f>Raw!L19</f>
        <v>0</v>
      </c>
      <c r="N19">
        <f>Raw!M19</f>
        <v>0</v>
      </c>
      <c r="O19">
        <f>Raw!N19</f>
        <v>0</v>
      </c>
      <c r="P19">
        <f>Raw!O19</f>
        <v>0</v>
      </c>
    </row>
    <row r="20" spans="1:16">
      <c r="A20" t="str">
        <f t="shared" si="0"/>
        <v>250HP</v>
      </c>
      <c r="B20">
        <f t="shared" si="1"/>
        <v>250</v>
      </c>
      <c r="C20" t="str">
        <f>LEFT(Raw!B20,FIND(",",Raw!B20)-1)</f>
        <v>Green Motors Program Rewind vs. Standard Practice:  Motor size 250HP</v>
      </c>
      <c r="D20" t="str">
        <f>LEFT(Raw!C20,FIND(",",Raw!C20)-1)</f>
        <v>Green Motors Program Rewind vs. Standard Practice:  Motor size 250HP</v>
      </c>
      <c r="E20">
        <f>VLOOKUP($A20,Raw!$A$8:$F$41,E$5+1,FALSE)</f>
        <v>2822.9975622897232</v>
      </c>
      <c r="F20">
        <f>VLOOKUP($A20,Raw!$A$8:$F$41,F$5+1,FALSE)</f>
        <v>19</v>
      </c>
      <c r="G20">
        <f>VLOOKUP($A20,Raw!$A$8:$F$41,G$5+1,FALSE)</f>
        <v>558.76333333333343</v>
      </c>
      <c r="H20">
        <f>Raw!G20</f>
        <v>0</v>
      </c>
      <c r="I20" t="str">
        <f>Raw!H20</f>
        <v>A-Irr-Irr-Irrigation-All-All-E</v>
      </c>
      <c r="J20">
        <f>Raw!I20</f>
        <v>0</v>
      </c>
      <c r="K20">
        <f>Raw!J20</f>
        <v>0</v>
      </c>
      <c r="L20">
        <f>Raw!K20</f>
        <v>0</v>
      </c>
      <c r="M20">
        <f>Raw!L20</f>
        <v>0</v>
      </c>
      <c r="N20">
        <f>Raw!M20</f>
        <v>0</v>
      </c>
      <c r="O20">
        <f>Raw!N20</f>
        <v>0</v>
      </c>
      <c r="P20">
        <f>Raw!O20</f>
        <v>0</v>
      </c>
    </row>
    <row r="21" spans="1:16">
      <c r="A21" t="str">
        <f t="shared" si="0"/>
        <v>300HP</v>
      </c>
      <c r="B21">
        <f t="shared" si="1"/>
        <v>300</v>
      </c>
      <c r="C21" t="str">
        <f>LEFT(Raw!B21,FIND(",",Raw!B21)-1)</f>
        <v>Green Motors Program Rewind vs. Standard Practice:  Motor size 300HP</v>
      </c>
      <c r="D21" t="str">
        <f>LEFT(Raw!C21,FIND(",",Raw!C21)-1)</f>
        <v>Green Motors Program Rewind vs. Standard Practice:  Motor size 300HP</v>
      </c>
      <c r="E21">
        <f>VLOOKUP($A21,Raw!$A$8:$F$41,E$5+1,FALSE)</f>
        <v>3370.0326425555781</v>
      </c>
      <c r="F21">
        <f>VLOOKUP($A21,Raw!$A$8:$F$41,F$5+1,FALSE)</f>
        <v>19</v>
      </c>
      <c r="G21">
        <f>VLOOKUP($A21,Raw!$A$8:$F$41,G$5+1,FALSE)</f>
        <v>672.67200000000003</v>
      </c>
      <c r="H21">
        <f>Raw!G21</f>
        <v>0</v>
      </c>
      <c r="I21" t="str">
        <f>Raw!H21</f>
        <v>A-Irr-Irr-Irrigation-All-All-E</v>
      </c>
      <c r="J21">
        <f>Raw!I21</f>
        <v>0</v>
      </c>
      <c r="K21">
        <f>Raw!J21</f>
        <v>0</v>
      </c>
      <c r="L21">
        <f>Raw!K21</f>
        <v>0</v>
      </c>
      <c r="M21">
        <f>Raw!L21</f>
        <v>0</v>
      </c>
      <c r="N21">
        <f>Raw!M21</f>
        <v>0</v>
      </c>
      <c r="O21">
        <f>Raw!N21</f>
        <v>0</v>
      </c>
      <c r="P21">
        <f>Raw!O21</f>
        <v>0</v>
      </c>
    </row>
    <row r="22" spans="1:16">
      <c r="A22" t="str">
        <f t="shared" si="0"/>
        <v>350HP</v>
      </c>
      <c r="B22">
        <f t="shared" si="1"/>
        <v>350</v>
      </c>
      <c r="C22" t="str">
        <f>LEFT(Raw!B22,FIND(",",Raw!B22)-1)</f>
        <v>Green Motors Program Rewind vs. Standard Practice:  Motor size 350HP</v>
      </c>
      <c r="D22" t="str">
        <f>LEFT(Raw!C22,FIND(",",Raw!C22)-1)</f>
        <v>Green Motors Program Rewind vs. Standard Practice:  Motor size 350HP</v>
      </c>
      <c r="E22">
        <f>VLOOKUP($A22,Raw!$A$8:$F$41,E$5+1,FALSE)</f>
        <v>3928.7782271476267</v>
      </c>
      <c r="F22">
        <f>VLOOKUP($A22,Raw!$A$8:$F$41,F$5+1,FALSE)</f>
        <v>19</v>
      </c>
      <c r="G22">
        <f>VLOOKUP($A22,Raw!$A$8:$F$41,G$5+1,FALSE)</f>
        <v>864.55600000000004</v>
      </c>
      <c r="H22">
        <f>Raw!G22</f>
        <v>0</v>
      </c>
      <c r="I22" t="str">
        <f>Raw!H22</f>
        <v>A-Irr-Irr-Irrigation-All-All-E</v>
      </c>
      <c r="J22">
        <f>Raw!I22</f>
        <v>0</v>
      </c>
      <c r="K22">
        <f>Raw!J22</f>
        <v>0</v>
      </c>
      <c r="L22">
        <f>Raw!K22</f>
        <v>0</v>
      </c>
      <c r="M22">
        <f>Raw!L22</f>
        <v>0</v>
      </c>
      <c r="N22">
        <f>Raw!M22</f>
        <v>0</v>
      </c>
      <c r="O22">
        <f>Raw!N22</f>
        <v>0</v>
      </c>
      <c r="P22">
        <f>Raw!O22</f>
        <v>0</v>
      </c>
    </row>
    <row r="23" spans="1:16">
      <c r="A23" t="str">
        <f t="shared" si="0"/>
        <v>400HP</v>
      </c>
      <c r="B23">
        <f t="shared" si="1"/>
        <v>400</v>
      </c>
      <c r="C23" t="str">
        <f>LEFT(Raw!B23,FIND(",",Raw!B23)-1)</f>
        <v>Green Motors Program Rewind vs. Standard Practice:  Motor size 400HP</v>
      </c>
      <c r="D23" t="str">
        <f>LEFT(Raw!C23,FIND(",",Raw!C23)-1)</f>
        <v>Green Motors Program Rewind vs. Standard Practice:  Motor size 400HP</v>
      </c>
      <c r="E23">
        <f>VLOOKUP($A23,Raw!$A$8:$F$41,E$5+1,FALSE)</f>
        <v>4456.2927495024824</v>
      </c>
      <c r="F23">
        <f>VLOOKUP($A23,Raw!$A$8:$F$41,F$5+1,FALSE)</f>
        <v>19</v>
      </c>
      <c r="G23">
        <f>VLOOKUP($A23,Raw!$A$8:$F$41,G$5+1,FALSE)</f>
        <v>873.89866666666671</v>
      </c>
      <c r="H23">
        <f>Raw!G23</f>
        <v>0</v>
      </c>
      <c r="I23" t="str">
        <f>Raw!H23</f>
        <v>A-Irr-Irr-Irrigation-All-All-E</v>
      </c>
      <c r="J23">
        <f>Raw!I23</f>
        <v>0</v>
      </c>
      <c r="K23">
        <f>Raw!J23</f>
        <v>0</v>
      </c>
      <c r="L23">
        <f>Raw!K23</f>
        <v>0</v>
      </c>
      <c r="M23">
        <f>Raw!L23</f>
        <v>0</v>
      </c>
      <c r="N23">
        <f>Raw!M23</f>
        <v>0</v>
      </c>
      <c r="O23">
        <f>Raw!N23</f>
        <v>0</v>
      </c>
      <c r="P23">
        <f>Raw!O23</f>
        <v>0</v>
      </c>
    </row>
    <row r="24" spans="1:16">
      <c r="A24" t="str">
        <f t="shared" si="0"/>
        <v>450HP</v>
      </c>
      <c r="B24">
        <f t="shared" si="1"/>
        <v>450</v>
      </c>
      <c r="C24" t="str">
        <f>LEFT(Raw!B24,FIND(",",Raw!B24)-1)</f>
        <v>Green Motors Program Rewind vs. Standard Practice:  Motor size 450HP</v>
      </c>
      <c r="D24" t="str">
        <f>LEFT(Raw!C24,FIND(",",Raw!C24)-1)</f>
        <v>Green Motors Program Rewind vs. Standard Practice:  Motor size 450HP</v>
      </c>
      <c r="E24">
        <f>VLOOKUP($A24,Raw!$A$8:$F$41,E$5+1,FALSE)</f>
        <v>5003.1640456837094</v>
      </c>
      <c r="F24">
        <f>VLOOKUP($A24,Raw!$A$8:$F$41,F$5+1,FALSE)</f>
        <v>19</v>
      </c>
      <c r="G24">
        <f>VLOOKUP($A24,Raw!$A$8:$F$41,G$5+1,FALSE)</f>
        <v>915.94066666666663</v>
      </c>
      <c r="H24">
        <f>Raw!G24</f>
        <v>0</v>
      </c>
      <c r="I24" t="str">
        <f>Raw!H24</f>
        <v>A-Irr-Irr-Irrigation-All-All-E</v>
      </c>
      <c r="J24">
        <f>Raw!I24</f>
        <v>0</v>
      </c>
      <c r="K24">
        <f>Raw!J24</f>
        <v>0</v>
      </c>
      <c r="L24">
        <f>Raw!K24</f>
        <v>0</v>
      </c>
      <c r="M24">
        <f>Raw!L24</f>
        <v>0</v>
      </c>
      <c r="N24">
        <f>Raw!M24</f>
        <v>0</v>
      </c>
      <c r="O24">
        <f>Raw!N24</f>
        <v>0</v>
      </c>
      <c r="P24">
        <f>Raw!O24</f>
        <v>0</v>
      </c>
    </row>
    <row r="25" spans="1:16">
      <c r="A25" t="str">
        <f t="shared" si="0"/>
        <v>500HP</v>
      </c>
      <c r="B25">
        <f t="shared" si="1"/>
        <v>500</v>
      </c>
      <c r="C25" t="str">
        <f>LEFT(Raw!B25,FIND(",",Raw!B25)-1)</f>
        <v>Green Motors Program Rewind vs. Standard Practice:  Motor size 500HP</v>
      </c>
      <c r="D25" t="str">
        <f>LEFT(Raw!C25,FIND(",",Raw!C25)-1)</f>
        <v>Green Motors Program Rewind vs. Standard Practice:  Motor size 500HP</v>
      </c>
      <c r="E25">
        <f>VLOOKUP($A25,Raw!$A$8:$F$41,E$5+1,FALSE)</f>
        <v>5566.9154426317937</v>
      </c>
      <c r="F25">
        <f>VLOOKUP($A25,Raw!$A$8:$F$41,F$5+1,FALSE)</f>
        <v>19</v>
      </c>
      <c r="G25">
        <f>VLOOKUP($A25,Raw!$A$8:$F$41,G$5+1,FALSE)</f>
        <v>1023.022</v>
      </c>
      <c r="H25">
        <f>Raw!G25</f>
        <v>0</v>
      </c>
      <c r="I25" t="str">
        <f>Raw!H25</f>
        <v>A-Irr-Irr-Irrigation-All-All-E</v>
      </c>
      <c r="J25">
        <f>Raw!I25</f>
        <v>0</v>
      </c>
      <c r="K25">
        <f>Raw!J25</f>
        <v>0</v>
      </c>
      <c r="L25">
        <f>Raw!K25</f>
        <v>0</v>
      </c>
      <c r="M25">
        <f>Raw!L25</f>
        <v>0</v>
      </c>
      <c r="N25">
        <f>Raw!M25</f>
        <v>0</v>
      </c>
      <c r="O25">
        <f>Raw!N25</f>
        <v>0</v>
      </c>
      <c r="P25">
        <f>Raw!O25</f>
        <v>0</v>
      </c>
    </row>
    <row r="26" spans="1:16">
      <c r="A26" t="str">
        <f t="shared" si="0"/>
        <v>600HP</v>
      </c>
      <c r="B26">
        <f t="shared" si="1"/>
        <v>600</v>
      </c>
      <c r="C26" t="str">
        <f>LEFT(Raw!B26,FIND(",",Raw!B26)-1)</f>
        <v>Green Motors Program Rewind vs. Standard Practice:  Motor size 600HP</v>
      </c>
      <c r="D26" t="str">
        <f>LEFT(Raw!C26,FIND(",",Raw!C26)-1)</f>
        <v>Green Motors Program Rewind vs. Standard Practice:  Motor size 600HP</v>
      </c>
      <c r="E26">
        <f>VLOOKUP($A26,Raw!$A$8:$F$41,E$5+1,FALSE)</f>
        <v>6193.2974868977908</v>
      </c>
      <c r="F26">
        <f>VLOOKUP($A26,Raw!$A$8:$F$41,F$5+1,FALSE)</f>
        <v>20</v>
      </c>
      <c r="G26">
        <f>VLOOKUP($A26,Raw!$A$8:$F$41,G$5+1,FALSE)</f>
        <v>1118.2453333333333</v>
      </c>
      <c r="H26">
        <f>Raw!G26</f>
        <v>0</v>
      </c>
      <c r="I26" t="str">
        <f>Raw!H26</f>
        <v>A-Irr-Irr-Irrigation-All-All-E</v>
      </c>
      <c r="J26">
        <f>Raw!I26</f>
        <v>0</v>
      </c>
      <c r="K26">
        <f>Raw!J26</f>
        <v>0</v>
      </c>
      <c r="L26">
        <f>Raw!K26</f>
        <v>0</v>
      </c>
      <c r="M26">
        <f>Raw!L26</f>
        <v>0</v>
      </c>
      <c r="N26">
        <f>Raw!M26</f>
        <v>0</v>
      </c>
      <c r="O26">
        <f>Raw!N26</f>
        <v>0</v>
      </c>
      <c r="P26">
        <f>Raw!O26</f>
        <v>0</v>
      </c>
    </row>
    <row r="27" spans="1:16">
      <c r="A27" t="str">
        <f t="shared" si="0"/>
        <v>700HP</v>
      </c>
      <c r="B27">
        <f t="shared" si="1"/>
        <v>700</v>
      </c>
      <c r="C27" t="str">
        <f>LEFT(Raw!B27,FIND(",",Raw!B27)-1)</f>
        <v>Green Motors Program Rewind vs. Standard Practice:  Motor size 700HP</v>
      </c>
      <c r="D27" t="str">
        <f>LEFT(Raw!C27,FIND(",",Raw!C27)-1)</f>
        <v>Green Motors Program Rewind vs. Standard Practice:  Motor size 700HP</v>
      </c>
      <c r="E27">
        <f>VLOOKUP($A27,Raw!$A$8:$F$41,E$5+1,FALSE)</f>
        <v>7194.848242811393</v>
      </c>
      <c r="F27">
        <f>VLOOKUP($A27,Raw!$A$8:$F$41,F$5+1,FALSE)</f>
        <v>20</v>
      </c>
      <c r="G27">
        <f>VLOOKUP($A27,Raw!$A$8:$F$41,G$5+1,FALSE)</f>
        <v>1208.0786666666668</v>
      </c>
      <c r="H27">
        <f>Raw!G27</f>
        <v>0</v>
      </c>
      <c r="I27" t="str">
        <f>Raw!H27</f>
        <v>A-Irr-Irr-Irrigation-All-All-E</v>
      </c>
      <c r="J27">
        <f>Raw!I27</f>
        <v>0</v>
      </c>
      <c r="K27">
        <f>Raw!J27</f>
        <v>0</v>
      </c>
      <c r="L27">
        <f>Raw!K27</f>
        <v>0</v>
      </c>
      <c r="M27">
        <f>Raw!L27</f>
        <v>0</v>
      </c>
      <c r="N27">
        <f>Raw!M27</f>
        <v>0</v>
      </c>
      <c r="O27">
        <f>Raw!N27</f>
        <v>0</v>
      </c>
      <c r="P27">
        <f>Raw!O27</f>
        <v>0</v>
      </c>
    </row>
    <row r="28" spans="1:16">
      <c r="A28" t="str">
        <f t="shared" si="0"/>
        <v>800HP</v>
      </c>
      <c r="B28">
        <f t="shared" si="1"/>
        <v>800</v>
      </c>
      <c r="C28" t="str">
        <f>LEFT(Raw!B28,FIND(",",Raw!B28)-1)</f>
        <v>Green Motors Program Rewind vs. Standard Practice:  Motor size 800HP</v>
      </c>
      <c r="D28" t="str">
        <f>LEFT(Raw!C28,FIND(",",Raw!C28)-1)</f>
        <v>Green Motors Program Rewind vs. Standard Practice:  Motor size 800HP</v>
      </c>
      <c r="E28">
        <f>VLOOKUP($A28,Raw!$A$8:$F$41,E$5+1,FALSE)</f>
        <v>8205.2441742653027</v>
      </c>
      <c r="F28">
        <f>VLOOKUP($A28,Raw!$A$8:$F$41,F$5+1,FALSE)</f>
        <v>20</v>
      </c>
      <c r="G28">
        <f>VLOOKUP($A28,Raw!$A$8:$F$41,G$5+1,FALSE)</f>
        <v>1780.2609439999985</v>
      </c>
      <c r="H28">
        <f>Raw!G28</f>
        <v>0</v>
      </c>
      <c r="I28" t="str">
        <f>Raw!H28</f>
        <v>A-Irr-Irr-Irrigation-All-All-E</v>
      </c>
      <c r="J28">
        <f>Raw!I28</f>
        <v>0</v>
      </c>
      <c r="K28">
        <f>Raw!J28</f>
        <v>0</v>
      </c>
      <c r="L28">
        <f>Raw!K28</f>
        <v>0</v>
      </c>
      <c r="M28">
        <f>Raw!L28</f>
        <v>0</v>
      </c>
      <c r="N28">
        <f>Raw!M28</f>
        <v>0</v>
      </c>
      <c r="O28">
        <f>Raw!N28</f>
        <v>0</v>
      </c>
      <c r="P28">
        <f>Raw!O28</f>
        <v>0</v>
      </c>
    </row>
    <row r="29" spans="1:16">
      <c r="A29" t="str">
        <f t="shared" si="0"/>
        <v>900HP</v>
      </c>
      <c r="B29">
        <f t="shared" si="1"/>
        <v>900</v>
      </c>
      <c r="C29" t="str">
        <f>LEFT(Raw!B29,FIND(",",Raw!B29)-1)</f>
        <v>Green Motors Program Rewind vs. Standard Practice:  Motor size 900HP</v>
      </c>
      <c r="D29" t="str">
        <f>LEFT(Raw!C29,FIND(",",Raw!C29)-1)</f>
        <v>Green Motors Program Rewind vs. Standard Practice:  Motor size 900HP</v>
      </c>
      <c r="E29">
        <f>VLOOKUP($A29,Raw!$A$8:$F$41,E$5+1,FALSE)</f>
        <v>9211.3425733500626</v>
      </c>
      <c r="F29">
        <f>VLOOKUP($A29,Raw!$A$8:$F$41,F$5+1,FALSE)</f>
        <v>20</v>
      </c>
      <c r="G29">
        <f>VLOOKUP($A29,Raw!$A$8:$F$41,G$5+1,FALSE)</f>
        <v>1942.2627839999993</v>
      </c>
      <c r="H29">
        <f>Raw!G29</f>
        <v>0</v>
      </c>
      <c r="I29" t="str">
        <f>Raw!H29</f>
        <v>A-Irr-Irr-Irrigation-All-All-E</v>
      </c>
      <c r="J29">
        <f>Raw!I29</f>
        <v>0</v>
      </c>
      <c r="K29">
        <f>Raw!J29</f>
        <v>0</v>
      </c>
      <c r="L29">
        <f>Raw!K29</f>
        <v>0</v>
      </c>
      <c r="M29">
        <f>Raw!L29</f>
        <v>0</v>
      </c>
      <c r="N29">
        <f>Raw!M29</f>
        <v>0</v>
      </c>
      <c r="O29">
        <f>Raw!N29</f>
        <v>0</v>
      </c>
      <c r="P29">
        <f>Raw!O29</f>
        <v>0</v>
      </c>
    </row>
    <row r="30" spans="1:16">
      <c r="A30" t="str">
        <f t="shared" si="0"/>
        <v>1000HP</v>
      </c>
      <c r="B30">
        <f t="shared" si="1"/>
        <v>1000</v>
      </c>
      <c r="C30" t="str">
        <f>LEFT(Raw!B30,FIND(",",Raw!B30)-1)</f>
        <v>Green Motors Program Rewind vs. Standard Practice:  Motor size 1000HP</v>
      </c>
      <c r="D30" t="str">
        <f>LEFT(Raw!C30,FIND(",",Raw!C30)-1)</f>
        <v>Green Motors Program Rewind vs. Standard Practice:  Motor size 1000HP</v>
      </c>
      <c r="E30">
        <f>VLOOKUP($A30,Raw!$A$8:$F$41,E$5+1,FALSE)</f>
        <v>10191.571472676937</v>
      </c>
      <c r="F30">
        <f>VLOOKUP($A30,Raw!$A$8:$F$41,F$5+1,FALSE)</f>
        <v>20</v>
      </c>
      <c r="G30">
        <f>VLOOKUP($A30,Raw!$A$8:$F$41,G$5+1,FALSE)</f>
        <v>2154.9909919999986</v>
      </c>
      <c r="H30">
        <f>Raw!G30</f>
        <v>0</v>
      </c>
      <c r="I30" t="str">
        <f>Raw!H30</f>
        <v>A-Irr-Irr-Irrigation-All-All-E</v>
      </c>
      <c r="J30">
        <f>Raw!I30</f>
        <v>0</v>
      </c>
      <c r="K30">
        <f>Raw!J30</f>
        <v>0</v>
      </c>
      <c r="L30">
        <f>Raw!K30</f>
        <v>0</v>
      </c>
      <c r="M30">
        <f>Raw!L30</f>
        <v>0</v>
      </c>
      <c r="N30">
        <f>Raw!M30</f>
        <v>0</v>
      </c>
      <c r="O30">
        <f>Raw!N30</f>
        <v>0</v>
      </c>
      <c r="P30">
        <f>Raw!O30</f>
        <v>0</v>
      </c>
    </row>
    <row r="31" spans="1:16">
      <c r="A31" t="str">
        <f t="shared" si="0"/>
        <v>1250HP</v>
      </c>
      <c r="B31">
        <f t="shared" si="1"/>
        <v>1250</v>
      </c>
      <c r="C31" t="str">
        <f>LEFT(Raw!B31,FIND(",",Raw!B31)-1)</f>
        <v>Green Motors Program Rewind vs. Standard Practice:  Motor size 1250HP</v>
      </c>
      <c r="D31" t="str">
        <f>LEFT(Raw!C31,FIND(",",Raw!C31)-1)</f>
        <v>Green Motors Program Rewind vs. Standard Practice:  Motor size 1250HP</v>
      </c>
      <c r="E31">
        <f>VLOOKUP($A31,Raw!$A$8:$F$41,E$5+1,FALSE)</f>
        <v>10589.834586466663</v>
      </c>
      <c r="F31">
        <f>VLOOKUP($A31,Raw!$A$8:$F$41,F$5+1,FALSE)</f>
        <v>20</v>
      </c>
      <c r="G31">
        <f>VLOOKUP($A31,Raw!$A$8:$F$41,G$5+1,FALSE)</f>
        <v>2375.7826399999994</v>
      </c>
      <c r="H31">
        <f>Raw!G31</f>
        <v>0</v>
      </c>
      <c r="I31" t="str">
        <f>Raw!H31</f>
        <v>A-Irr-Irr-Irrigation-All-All-E</v>
      </c>
      <c r="J31">
        <f>Raw!I31</f>
        <v>0</v>
      </c>
      <c r="K31">
        <f>Raw!J31</f>
        <v>0</v>
      </c>
      <c r="L31">
        <f>Raw!K31</f>
        <v>0</v>
      </c>
      <c r="M31">
        <f>Raw!L31</f>
        <v>0</v>
      </c>
      <c r="N31">
        <f>Raw!M31</f>
        <v>0</v>
      </c>
      <c r="O31">
        <f>Raw!N31</f>
        <v>0</v>
      </c>
      <c r="P31">
        <f>Raw!O31</f>
        <v>0</v>
      </c>
    </row>
    <row r="32" spans="1:16">
      <c r="A32" t="str">
        <f t="shared" si="0"/>
        <v>1500HP</v>
      </c>
      <c r="B32">
        <f t="shared" si="1"/>
        <v>1500</v>
      </c>
      <c r="C32" t="str">
        <f>LEFT(Raw!B32,FIND(",",Raw!B32)-1)</f>
        <v>Green Motors Program Rewind vs. Standard Practice:  Motor size 1500HP</v>
      </c>
      <c r="D32" t="str">
        <f>LEFT(Raw!C32,FIND(",",Raw!C32)-1)</f>
        <v>Green Motors Program Rewind vs. Standard Practice:  Motor size 1500HP</v>
      </c>
      <c r="E32">
        <f>VLOOKUP($A32,Raw!$A$8:$F$41,E$5+1,FALSE)</f>
        <v>12681.019867814612</v>
      </c>
      <c r="F32">
        <f>VLOOKUP($A32,Raw!$A$8:$F$41,F$5+1,FALSE)</f>
        <v>20</v>
      </c>
      <c r="G32">
        <f>VLOOKUP($A32,Raw!$A$8:$F$41,G$5+1,FALSE)</f>
        <v>2560.3621119999993</v>
      </c>
      <c r="H32">
        <f>Raw!G32</f>
        <v>0</v>
      </c>
      <c r="I32" t="str">
        <f>Raw!H32</f>
        <v>A-Irr-Irr-Irrigation-All-All-E</v>
      </c>
      <c r="J32">
        <f>Raw!I32</f>
        <v>0</v>
      </c>
      <c r="K32">
        <f>Raw!J32</f>
        <v>0</v>
      </c>
      <c r="L32">
        <f>Raw!K32</f>
        <v>0</v>
      </c>
      <c r="M32">
        <f>Raw!L32</f>
        <v>0</v>
      </c>
      <c r="N32">
        <f>Raw!M32</f>
        <v>0</v>
      </c>
      <c r="O32">
        <f>Raw!N32</f>
        <v>0</v>
      </c>
      <c r="P32">
        <f>Raw!O32</f>
        <v>0</v>
      </c>
    </row>
    <row r="33" spans="1:107">
      <c r="A33" t="str">
        <f t="shared" si="0"/>
        <v>1750HP</v>
      </c>
      <c r="B33">
        <f t="shared" si="1"/>
        <v>1750</v>
      </c>
      <c r="C33" t="str">
        <f>LEFT(Raw!B33,FIND(",",Raw!B33)-1)</f>
        <v>Green Motors Program Rewind vs. Standard Practice:  Motor size 1750HP</v>
      </c>
      <c r="D33" t="str">
        <f>LEFT(Raw!C33,FIND(",",Raw!C33)-1)</f>
        <v>Green Motors Program Rewind vs. Standard Practice:  Motor size 1750HP</v>
      </c>
      <c r="E33">
        <f>VLOOKUP($A33,Raw!$A$8:$F$41,E$5+1,FALSE)</f>
        <v>14732.328290408477</v>
      </c>
      <c r="F33">
        <f>VLOOKUP($A33,Raw!$A$8:$F$41,F$5+1,FALSE)</f>
        <v>20</v>
      </c>
      <c r="G33">
        <f>VLOOKUP($A33,Raw!$A$8:$F$41,G$5+1,FALSE)</f>
        <v>3058.5360960000003</v>
      </c>
      <c r="H33">
        <f>Raw!G33</f>
        <v>0</v>
      </c>
      <c r="I33" t="str">
        <f>Raw!H33</f>
        <v>A-Irr-Irr-Irrigation-All-All-E</v>
      </c>
      <c r="J33">
        <f>Raw!I33</f>
        <v>0</v>
      </c>
      <c r="K33">
        <f>Raw!J33</f>
        <v>0</v>
      </c>
      <c r="L33">
        <f>Raw!K33</f>
        <v>0</v>
      </c>
      <c r="M33">
        <f>Raw!L33</f>
        <v>0</v>
      </c>
      <c r="N33">
        <f>Raw!M33</f>
        <v>0</v>
      </c>
      <c r="O33">
        <f>Raw!N33</f>
        <v>0</v>
      </c>
      <c r="P33">
        <f>Raw!O33</f>
        <v>0</v>
      </c>
    </row>
    <row r="34" spans="1:107">
      <c r="A34" t="str">
        <f t="shared" si="0"/>
        <v>2000HP</v>
      </c>
      <c r="B34">
        <f t="shared" si="1"/>
        <v>2000</v>
      </c>
      <c r="C34" t="str">
        <f>LEFT(Raw!B34,FIND(",",Raw!B34)-1)</f>
        <v>Green Motors Program Rewind vs. Standard Practice:  Motor size 2000HP</v>
      </c>
      <c r="D34" t="str">
        <f>LEFT(Raw!C34,FIND(",",Raw!C34)-1)</f>
        <v>Green Motors Program Rewind vs. Standard Practice:  Motor size 2000HP</v>
      </c>
      <c r="E34">
        <f>VLOOKUP($A34,Raw!$A$8:$F$41,E$5+1,FALSE)</f>
        <v>16766.314025902189</v>
      </c>
      <c r="F34">
        <f>VLOOKUP($A34,Raw!$A$8:$F$41,F$5+1,FALSE)</f>
        <v>20</v>
      </c>
      <c r="G34">
        <f>VLOOKUP($A34,Raw!$A$8:$F$41,G$5+1,FALSE)</f>
        <v>3503.6379840000009</v>
      </c>
      <c r="H34">
        <f>Raw!G34</f>
        <v>0</v>
      </c>
      <c r="I34" t="str">
        <f>Raw!H34</f>
        <v>A-Irr-Irr-Irrigation-All-All-E</v>
      </c>
      <c r="J34">
        <f>Raw!I34</f>
        <v>0</v>
      </c>
      <c r="K34">
        <f>Raw!J34</f>
        <v>0</v>
      </c>
      <c r="L34">
        <f>Raw!K34</f>
        <v>0</v>
      </c>
      <c r="M34">
        <f>Raw!L34</f>
        <v>0</v>
      </c>
      <c r="N34">
        <f>Raw!M34</f>
        <v>0</v>
      </c>
      <c r="O34">
        <f>Raw!N34</f>
        <v>0</v>
      </c>
      <c r="P34">
        <f>Raw!O34</f>
        <v>0</v>
      </c>
    </row>
    <row r="35" spans="1:107">
      <c r="A35" t="str">
        <f t="shared" si="0"/>
        <v>2250HP</v>
      </c>
      <c r="B35">
        <f t="shared" si="1"/>
        <v>2250</v>
      </c>
      <c r="C35" t="str">
        <f>LEFT(Raw!B35,FIND(",",Raw!B35)-1)</f>
        <v>Green Motors Program Rewind vs. Standard Practice:  Motor size 2250HP</v>
      </c>
      <c r="D35" t="str">
        <f>LEFT(Raw!C35,FIND(",",Raw!C35)-1)</f>
        <v>Green Motors Program Rewind vs. Standard Practice:  Motor size 2250HP</v>
      </c>
      <c r="E35">
        <f>VLOOKUP($A35,Raw!$A$8:$F$41,E$5+1,FALSE)</f>
        <v>18743.845060209744</v>
      </c>
      <c r="F35">
        <f>VLOOKUP($A35,Raw!$A$8:$F$41,F$5+1,FALSE)</f>
        <v>20</v>
      </c>
      <c r="G35">
        <f>VLOOKUP($A35,Raw!$A$8:$F$41,G$5+1,FALSE)</f>
        <v>3998.8798080000001</v>
      </c>
      <c r="H35">
        <f>Raw!G35</f>
        <v>0</v>
      </c>
      <c r="I35" t="str">
        <f>Raw!H35</f>
        <v>A-Irr-Irr-Irrigation-All-All-E</v>
      </c>
      <c r="J35">
        <f>Raw!I35</f>
        <v>0</v>
      </c>
      <c r="K35">
        <f>Raw!J35</f>
        <v>0</v>
      </c>
      <c r="L35">
        <f>Raw!K35</f>
        <v>0</v>
      </c>
      <c r="M35">
        <f>Raw!L35</f>
        <v>0</v>
      </c>
      <c r="N35">
        <f>Raw!M35</f>
        <v>0</v>
      </c>
      <c r="O35">
        <f>Raw!N35</f>
        <v>0</v>
      </c>
      <c r="P35">
        <f>Raw!O35</f>
        <v>0</v>
      </c>
    </row>
    <row r="36" spans="1:107">
      <c r="A36" t="str">
        <f t="shared" si="0"/>
        <v>2500HP</v>
      </c>
      <c r="B36">
        <f t="shared" si="1"/>
        <v>2500</v>
      </c>
      <c r="C36" t="str">
        <f>LEFT(Raw!B36,FIND(",",Raw!B36)-1)</f>
        <v>Green Motors Program Rewind vs. Standard Practice:  Motor size 2500HP</v>
      </c>
      <c r="D36" t="str">
        <f>LEFT(Raw!C36,FIND(",",Raw!C36)-1)</f>
        <v>Green Motors Program Rewind vs. Standard Practice:  Motor size 2500HP</v>
      </c>
      <c r="E36">
        <f>VLOOKUP($A36,Raw!$A$8:$F$41,E$5+1,FALSE)</f>
        <v>20782.969681468327</v>
      </c>
      <c r="F36">
        <f>VLOOKUP($A36,Raw!$A$8:$F$41,F$5+1,FALSE)</f>
        <v>20</v>
      </c>
      <c r="G36">
        <f>VLOOKUP($A36,Raw!$A$8:$F$41,G$5+1,FALSE)</f>
        <v>4485.7649759999995</v>
      </c>
      <c r="H36">
        <f>Raw!G36</f>
        <v>0</v>
      </c>
      <c r="I36" t="str">
        <f>Raw!H36</f>
        <v>A-Irr-Irr-Irrigation-All-All-E</v>
      </c>
      <c r="J36">
        <f>Raw!I36</f>
        <v>0</v>
      </c>
      <c r="K36">
        <f>Raw!J36</f>
        <v>0</v>
      </c>
      <c r="L36">
        <f>Raw!K36</f>
        <v>0</v>
      </c>
      <c r="M36">
        <f>Raw!L36</f>
        <v>0</v>
      </c>
      <c r="N36">
        <f>Raw!M36</f>
        <v>0</v>
      </c>
      <c r="O36">
        <f>Raw!N36</f>
        <v>0</v>
      </c>
      <c r="P36">
        <f>Raw!O36</f>
        <v>0</v>
      </c>
    </row>
    <row r="37" spans="1:107">
      <c r="A37" t="str">
        <f t="shared" si="0"/>
        <v>3000HP</v>
      </c>
      <c r="B37">
        <f t="shared" si="1"/>
        <v>3000</v>
      </c>
      <c r="C37" t="str">
        <f>LEFT(Raw!B37,FIND(",",Raw!B37)-1)</f>
        <v>Green Motors Program Rewind vs. Standard Practice:  Motor size 3000HP</v>
      </c>
      <c r="D37" t="str">
        <f>LEFT(Raw!C37,FIND(",",Raw!C37)-1)</f>
        <v>Green Motors Program Rewind vs. Standard Practice:  Motor size 3000HP</v>
      </c>
      <c r="E37">
        <f>VLOOKUP($A37,Raw!$A$8:$F$41,E$5+1,FALSE)</f>
        <v>24783.852866611443</v>
      </c>
      <c r="F37">
        <f>VLOOKUP($A37,Raw!$A$8:$F$41,F$5+1,FALSE)</f>
        <v>20</v>
      </c>
      <c r="G37">
        <f>VLOOKUP($A37,Raw!$A$8:$F$41,G$5+1,FALSE)</f>
        <v>4886.884463999997</v>
      </c>
      <c r="H37">
        <f>Raw!G37</f>
        <v>0</v>
      </c>
      <c r="I37" t="str">
        <f>Raw!H37</f>
        <v>A-Irr-Irr-Irrigation-All-All-E</v>
      </c>
      <c r="J37">
        <f>Raw!I37</f>
        <v>0</v>
      </c>
      <c r="K37">
        <f>Raw!J37</f>
        <v>0</v>
      </c>
      <c r="L37">
        <f>Raw!K37</f>
        <v>0</v>
      </c>
      <c r="M37">
        <f>Raw!L37</f>
        <v>0</v>
      </c>
      <c r="N37">
        <f>Raw!M37</f>
        <v>0</v>
      </c>
      <c r="O37">
        <f>Raw!N37</f>
        <v>0</v>
      </c>
      <c r="P37">
        <f>Raw!O37</f>
        <v>0</v>
      </c>
    </row>
    <row r="38" spans="1:107">
      <c r="A38" t="str">
        <f t="shared" si="0"/>
        <v>3500HP</v>
      </c>
      <c r="B38">
        <f t="shared" si="1"/>
        <v>3500</v>
      </c>
      <c r="C38" t="str">
        <f>LEFT(Raw!B38,FIND(",",Raw!B38)-1)</f>
        <v>Green Motors Program Rewind vs. Standard Practice:  Motor size 3500HP</v>
      </c>
      <c r="D38" t="str">
        <f>LEFT(Raw!C38,FIND(",",Raw!C38)-1)</f>
        <v>Green Motors Program Rewind vs. Standard Practice:  Motor size 3500HP</v>
      </c>
      <c r="E38">
        <f>VLOOKUP($A38,Raw!$A$8:$F$41,E$5+1,FALSE)</f>
        <v>28854.318771584891</v>
      </c>
      <c r="F38">
        <f>VLOOKUP($A38,Raw!$A$8:$F$41,F$5+1,FALSE)</f>
        <v>20</v>
      </c>
      <c r="G38">
        <f>VLOOKUP($A38,Raw!$A$8:$F$41,G$5+1,FALSE)</f>
        <v>5346.6471519999959</v>
      </c>
      <c r="H38">
        <f>Raw!G38</f>
        <v>0</v>
      </c>
      <c r="I38" t="str">
        <f>Raw!H38</f>
        <v>A-Irr-Irr-Irrigation-All-All-E</v>
      </c>
      <c r="J38">
        <f>Raw!I38</f>
        <v>0</v>
      </c>
      <c r="K38">
        <f>Raw!J38</f>
        <v>0</v>
      </c>
      <c r="L38">
        <f>Raw!K38</f>
        <v>0</v>
      </c>
      <c r="M38">
        <f>Raw!L38</f>
        <v>0</v>
      </c>
      <c r="N38">
        <f>Raw!M38</f>
        <v>0</v>
      </c>
      <c r="O38">
        <f>Raw!N38</f>
        <v>0</v>
      </c>
      <c r="P38">
        <f>Raw!O38</f>
        <v>0</v>
      </c>
    </row>
    <row r="39" spans="1:107">
      <c r="A39" t="str">
        <f t="shared" si="0"/>
        <v>4000HP</v>
      </c>
      <c r="B39">
        <f t="shared" si="1"/>
        <v>4000</v>
      </c>
      <c r="C39" t="str">
        <f>LEFT(Raw!B39,FIND(",",Raw!B39)-1)</f>
        <v>Green Motors Program Rewind vs. Standard Practice:  Motor size 4000HP</v>
      </c>
      <c r="D39" t="str">
        <f>LEFT(Raw!C39,FIND(",",Raw!C39)-1)</f>
        <v>Green Motors Program Rewind vs. Standard Practice:  Motor size 4000HP</v>
      </c>
      <c r="E39">
        <f>VLOOKUP($A39,Raw!$A$8:$F$41,E$5+1,FALSE)</f>
        <v>32976.364310381934</v>
      </c>
      <c r="F39">
        <f>VLOOKUP($A39,Raw!$A$8:$F$41,F$5+1,FALSE)</f>
        <v>20</v>
      </c>
      <c r="G39">
        <f>VLOOKUP($A39,Raw!$A$8:$F$41,G$5+1,FALSE)</f>
        <v>6251.2185119999949</v>
      </c>
      <c r="H39">
        <f>Raw!G39</f>
        <v>0</v>
      </c>
      <c r="I39" t="str">
        <f>Raw!H39</f>
        <v>A-Irr-Irr-Irrigation-All-All-E</v>
      </c>
      <c r="J39">
        <f>Raw!I39</f>
        <v>0</v>
      </c>
      <c r="K39">
        <f>Raw!J39</f>
        <v>0</v>
      </c>
      <c r="L39">
        <f>Raw!K39</f>
        <v>0</v>
      </c>
      <c r="M39">
        <f>Raw!L39</f>
        <v>0</v>
      </c>
      <c r="N39">
        <f>Raw!M39</f>
        <v>0</v>
      </c>
      <c r="O39">
        <f>Raw!N39</f>
        <v>0</v>
      </c>
      <c r="P39">
        <f>Raw!O39</f>
        <v>0</v>
      </c>
    </row>
    <row r="40" spans="1:107">
      <c r="A40" t="str">
        <f t="shared" si="0"/>
        <v>4500HP</v>
      </c>
      <c r="B40">
        <f t="shared" si="1"/>
        <v>4500</v>
      </c>
      <c r="C40" t="str">
        <f>LEFT(Raw!B40,FIND(",",Raw!B40)-1)</f>
        <v>Green Motors Program Rewind vs. Standard Practice:  Motor size 4500HP</v>
      </c>
      <c r="D40" t="str">
        <f>LEFT(Raw!C40,FIND(",",Raw!C40)-1)</f>
        <v>Green Motors Program Rewind vs. Standard Practice:  Motor size 4500HP</v>
      </c>
      <c r="E40">
        <f>VLOOKUP($A40,Raw!$A$8:$F$41,E$5+1,FALSE)</f>
        <v>37021.281677403487</v>
      </c>
      <c r="F40">
        <f>VLOOKUP($A40,Raw!$A$8:$F$41,F$5+1,FALSE)</f>
        <v>20</v>
      </c>
      <c r="G40">
        <f>VLOOKUP($A40,Raw!$A$8:$F$41,G$5+1,FALSE)</f>
        <v>6907.8757439999954</v>
      </c>
      <c r="H40">
        <f>Raw!G40</f>
        <v>0</v>
      </c>
      <c r="I40" t="str">
        <f>Raw!H40</f>
        <v>A-Irr-Irr-Irrigation-All-All-E</v>
      </c>
      <c r="J40">
        <f>Raw!I40</f>
        <v>0</v>
      </c>
      <c r="K40">
        <f>Raw!J40</f>
        <v>0</v>
      </c>
      <c r="L40">
        <f>Raw!K40</f>
        <v>0</v>
      </c>
      <c r="M40">
        <f>Raw!L40</f>
        <v>0</v>
      </c>
      <c r="N40">
        <f>Raw!M40</f>
        <v>0</v>
      </c>
      <c r="O40">
        <f>Raw!N40</f>
        <v>0</v>
      </c>
      <c r="P40">
        <f>Raw!O40</f>
        <v>0</v>
      </c>
    </row>
    <row r="41" spans="1:107">
      <c r="A41" t="str">
        <f t="shared" si="0"/>
        <v>5000HP</v>
      </c>
      <c r="B41">
        <f t="shared" si="1"/>
        <v>5000</v>
      </c>
      <c r="C41" t="str">
        <f>LEFT(Raw!B41,FIND(",",Raw!B41)-1)</f>
        <v>Green Motors Program Rewind vs. Standard Practice:  Motor size 5000HP</v>
      </c>
      <c r="D41" t="str">
        <f>LEFT(Raw!C41,FIND(",",Raw!C41)-1)</f>
        <v>Green Motors Program Rewind vs. Standard Practice:  Motor size 5000HP</v>
      </c>
      <c r="E41">
        <f>VLOOKUP($A41,Raw!$A$8:$F$41,E$5+1,FALSE)</f>
        <v>41049.32642487064</v>
      </c>
      <c r="F41">
        <f>VLOOKUP($A41,Raw!$A$8:$F$41,F$5+1,FALSE)</f>
        <v>20</v>
      </c>
      <c r="G41">
        <f>VLOOKUP($A41,Raw!$A$8:$F$41,G$5+1,FALSE)</f>
        <v>7712.3138399999989</v>
      </c>
      <c r="H41">
        <f>Raw!G41</f>
        <v>0</v>
      </c>
      <c r="I41" t="str">
        <f>Raw!H41</f>
        <v>A-Irr-Irr-Irrigation-All-All-E</v>
      </c>
      <c r="J41">
        <f>Raw!I41</f>
        <v>0</v>
      </c>
      <c r="K41">
        <f>Raw!J41</f>
        <v>0</v>
      </c>
      <c r="L41">
        <f>Raw!K41</f>
        <v>0</v>
      </c>
      <c r="M41">
        <f>Raw!L41</f>
        <v>0</v>
      </c>
      <c r="N41">
        <f>Raw!M41</f>
        <v>0</v>
      </c>
      <c r="O41">
        <f>Raw!N41</f>
        <v>0</v>
      </c>
      <c r="P41">
        <f>Raw!O41</f>
        <v>0</v>
      </c>
    </row>
    <row r="43" spans="1:107" s="7" customFormat="1">
      <c r="A43" s="7" t="s">
        <v>295</v>
      </c>
    </row>
    <row r="44" spans="1:107" s="7" customFormat="1">
      <c r="C44" s="11">
        <v>2</v>
      </c>
      <c r="D44" s="11">
        <v>3</v>
      </c>
      <c r="E44" s="11">
        <v>4</v>
      </c>
      <c r="F44" s="11">
        <v>5</v>
      </c>
      <c r="G44" s="11">
        <v>6</v>
      </c>
      <c r="H44" s="11">
        <v>7</v>
      </c>
      <c r="I44" s="11">
        <v>8</v>
      </c>
      <c r="J44" s="11">
        <v>9</v>
      </c>
      <c r="K44" s="11">
        <v>10</v>
      </c>
      <c r="L44" s="11">
        <v>11</v>
      </c>
      <c r="M44" s="11">
        <v>12</v>
      </c>
      <c r="N44" s="11">
        <v>13</v>
      </c>
      <c r="O44" s="11">
        <v>14</v>
      </c>
      <c r="P44" s="11">
        <v>15</v>
      </c>
      <c r="Q44" s="11">
        <v>16</v>
      </c>
      <c r="R44" s="11">
        <v>17</v>
      </c>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row>
    <row r="45" spans="1:107" s="7" customFormat="1">
      <c r="C45" s="12" t="s">
        <v>3</v>
      </c>
      <c r="D45" s="13"/>
      <c r="E45" s="13"/>
      <c r="F45" s="13"/>
      <c r="G45" s="13"/>
      <c r="H45" s="13"/>
      <c r="I45" s="14"/>
      <c r="J45" s="70"/>
      <c r="K45" s="297" t="s">
        <v>4</v>
      </c>
      <c r="L45" s="298"/>
      <c r="M45" s="298"/>
      <c r="N45" s="298"/>
      <c r="O45" s="298"/>
      <c r="P45" s="299"/>
      <c r="Q45" s="300" t="s">
        <v>5</v>
      </c>
      <c r="R45" s="301"/>
      <c r="S45" s="16"/>
      <c r="T45" s="17"/>
      <c r="U45" s="17"/>
      <c r="V45" s="17"/>
      <c r="W45" s="17"/>
      <c r="X45" s="17"/>
      <c r="Y45" s="17"/>
      <c r="Z45" s="18"/>
      <c r="AA45" s="19"/>
      <c r="AB45" s="17"/>
      <c r="AC45" s="17"/>
      <c r="AD45" s="17"/>
      <c r="AE45" s="17"/>
      <c r="AF45" s="17"/>
      <c r="AG45" s="20"/>
      <c r="AH45" s="20"/>
      <c r="AI45" s="20"/>
      <c r="AJ45" s="20"/>
      <c r="AK45" s="20"/>
      <c r="AL45" s="20"/>
      <c r="AM45" s="20"/>
      <c r="AN45" s="20"/>
      <c r="AO45" s="20"/>
      <c r="AP45" s="20"/>
      <c r="AQ45" s="20"/>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row>
    <row r="46" spans="1:107" s="7" customFormat="1" ht="38.25">
      <c r="A46" s="7" t="s">
        <v>304</v>
      </c>
      <c r="C46" s="71" t="s">
        <v>6</v>
      </c>
      <c r="D46" s="71" t="s">
        <v>7</v>
      </c>
      <c r="E46" s="71" t="s">
        <v>8</v>
      </c>
      <c r="F46" s="71" t="s">
        <v>9</v>
      </c>
      <c r="G46" s="71" t="s">
        <v>10</v>
      </c>
      <c r="H46" s="71" t="s">
        <v>11</v>
      </c>
      <c r="I46" s="72" t="s">
        <v>12</v>
      </c>
      <c r="J46" s="72" t="s">
        <v>13</v>
      </c>
      <c r="K46" s="72" t="s">
        <v>14</v>
      </c>
      <c r="L46" s="72" t="s">
        <v>15</v>
      </c>
      <c r="M46" s="72" t="s">
        <v>16</v>
      </c>
      <c r="N46" s="72" t="s">
        <v>17</v>
      </c>
      <c r="O46" s="72" t="s">
        <v>18</v>
      </c>
      <c r="P46" s="72" t="s">
        <v>19</v>
      </c>
      <c r="Q46" s="73" t="s">
        <v>20</v>
      </c>
      <c r="R46" s="72" t="s">
        <v>12</v>
      </c>
      <c r="S46" s="23"/>
      <c r="T46" s="23"/>
      <c r="U46" s="23"/>
      <c r="V46" s="23"/>
      <c r="W46" s="23"/>
      <c r="X46" s="23"/>
      <c r="Y46" s="23"/>
      <c r="Z46" s="23"/>
      <c r="AA46" s="23"/>
      <c r="AB46" s="23"/>
      <c r="AC46" s="23"/>
      <c r="AD46" s="23"/>
      <c r="AE46" s="23"/>
      <c r="AF46" s="23"/>
      <c r="AG46" s="20"/>
      <c r="AH46" s="20"/>
      <c r="AI46" s="20"/>
      <c r="AJ46" s="20"/>
      <c r="AK46" s="20"/>
      <c r="AL46" s="20"/>
      <c r="AM46" s="20"/>
      <c r="AN46" s="20"/>
      <c r="AO46" s="20"/>
      <c r="AP46" s="20"/>
      <c r="AQ46" s="20"/>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row>
    <row r="47" spans="1:107">
      <c r="A47" t="s">
        <v>296</v>
      </c>
      <c r="B47" s="109">
        <f>VLOOKUP(Composite!A47,'Pump Sizes'!$A$3:$C$10,3,FALSE)</f>
        <v>180</v>
      </c>
      <c r="C47" t="str">
        <f>VLOOKUP($B47,$B$8:$P$41,C$44,TRUE)</f>
        <v>Green Motors Program Rewind vs. Standard Practice:  Motor size 150HP</v>
      </c>
      <c r="D47" t="str">
        <f t="shared" ref="D47:P54" si="2">VLOOKUP($B47,$B$8:$P$41,D$44,TRUE)</f>
        <v>Green Motors Program Rewind vs. Standard Practice:  Motor size 150HP</v>
      </c>
      <c r="E47">
        <f>VLOOKUP($B47,$B$8:$P$41,E$44,TRUE)</f>
        <v>1375.738818122496</v>
      </c>
      <c r="F47">
        <f t="shared" si="2"/>
        <v>20</v>
      </c>
      <c r="G47">
        <f t="shared" si="2"/>
        <v>446.65133333333335</v>
      </c>
      <c r="H47">
        <f t="shared" si="2"/>
        <v>0</v>
      </c>
      <c r="I47" t="str">
        <f t="shared" si="2"/>
        <v>A-Irr-Irr-Irrigation-All-All-E</v>
      </c>
      <c r="J47">
        <f t="shared" si="2"/>
        <v>0</v>
      </c>
      <c r="K47">
        <f t="shared" si="2"/>
        <v>0</v>
      </c>
      <c r="L47">
        <f t="shared" si="2"/>
        <v>0</v>
      </c>
      <c r="M47">
        <f t="shared" si="2"/>
        <v>0</v>
      </c>
      <c r="N47">
        <f t="shared" si="2"/>
        <v>0</v>
      </c>
      <c r="O47">
        <f t="shared" si="2"/>
        <v>0</v>
      </c>
      <c r="P47">
        <f t="shared" si="2"/>
        <v>0</v>
      </c>
    </row>
    <row r="48" spans="1:107">
      <c r="A48" t="s">
        <v>297</v>
      </c>
      <c r="B48" s="109">
        <f>VLOOKUP(Composite!A48,'Pump Sizes'!$A$3:$C$10,3,FALSE)</f>
        <v>50</v>
      </c>
      <c r="C48" t="str">
        <f t="shared" ref="C48:C54" si="3">VLOOKUP($B48,$B$8:$P$41,C$44,TRUE)</f>
        <v>Green Motors Program Rewind vs. Standard Practice:  Motor size 50HP</v>
      </c>
      <c r="D48" t="str">
        <f t="shared" si="2"/>
        <v>Green Motors Program Rewind vs. Standard Practice:  Motor size 50HP</v>
      </c>
      <c r="E48">
        <f t="shared" si="2"/>
        <v>801.85271513185091</v>
      </c>
      <c r="F48">
        <f t="shared" si="2"/>
        <v>17</v>
      </c>
      <c r="G48">
        <f t="shared" si="2"/>
        <v>208.77266666666668</v>
      </c>
      <c r="H48">
        <f t="shared" si="2"/>
        <v>0</v>
      </c>
      <c r="I48" t="str">
        <f t="shared" si="2"/>
        <v>A-Irr-Irr-Irrigation-All-All-E</v>
      </c>
      <c r="J48">
        <f t="shared" si="2"/>
        <v>0</v>
      </c>
      <c r="K48">
        <f t="shared" si="2"/>
        <v>0</v>
      </c>
      <c r="L48">
        <f t="shared" si="2"/>
        <v>0</v>
      </c>
      <c r="M48">
        <f t="shared" si="2"/>
        <v>0</v>
      </c>
      <c r="N48">
        <f t="shared" si="2"/>
        <v>0</v>
      </c>
      <c r="O48">
        <f t="shared" si="2"/>
        <v>0</v>
      </c>
      <c r="P48">
        <f t="shared" si="2"/>
        <v>0</v>
      </c>
    </row>
    <row r="49" spans="1:16">
      <c r="A49" t="s">
        <v>298</v>
      </c>
      <c r="B49" s="109">
        <f>VLOOKUP(Composite!A49,'Pump Sizes'!$A$3:$C$10,3,FALSE)</f>
        <v>60</v>
      </c>
      <c r="C49" t="str">
        <f t="shared" si="3"/>
        <v>Green Motors Program Rewind vs. Standard Practice:  Motor size 60HP</v>
      </c>
      <c r="D49" t="str">
        <f t="shared" si="2"/>
        <v>Green Motors Program Rewind vs. Standard Practice:  Motor size 60HP</v>
      </c>
      <c r="E49">
        <f t="shared" si="2"/>
        <v>765.28971916213288</v>
      </c>
      <c r="F49">
        <f t="shared" si="2"/>
        <v>20</v>
      </c>
      <c r="G49">
        <f t="shared" si="2"/>
        <v>255.12666666666667</v>
      </c>
      <c r="H49">
        <f t="shared" si="2"/>
        <v>0</v>
      </c>
      <c r="I49" t="str">
        <f t="shared" si="2"/>
        <v>A-Irr-Irr-Irrigation-All-All-E</v>
      </c>
      <c r="J49">
        <f t="shared" si="2"/>
        <v>0</v>
      </c>
      <c r="K49">
        <f t="shared" si="2"/>
        <v>0</v>
      </c>
      <c r="L49">
        <f t="shared" si="2"/>
        <v>0</v>
      </c>
      <c r="M49">
        <f t="shared" si="2"/>
        <v>0</v>
      </c>
      <c r="N49">
        <f t="shared" si="2"/>
        <v>0</v>
      </c>
      <c r="O49">
        <f t="shared" si="2"/>
        <v>0</v>
      </c>
      <c r="P49">
        <f t="shared" si="2"/>
        <v>0</v>
      </c>
    </row>
    <row r="50" spans="1:16">
      <c r="A50" t="s">
        <v>299</v>
      </c>
      <c r="B50" s="109">
        <f>VLOOKUP(Composite!A50,'Pump Sizes'!$A$3:$C$10,3,FALSE)</f>
        <v>110</v>
      </c>
      <c r="C50" t="str">
        <f t="shared" si="3"/>
        <v>Green Motors Program Rewind vs. Standard Practice:  Motor size 100HP</v>
      </c>
      <c r="D50" t="str">
        <f t="shared" si="2"/>
        <v>Green Motors Program Rewind vs. Standard Practice:  Motor size 100HP</v>
      </c>
      <c r="E50">
        <f t="shared" si="2"/>
        <v>1039.5442662823673</v>
      </c>
      <c r="F50">
        <f t="shared" si="2"/>
        <v>20</v>
      </c>
      <c r="G50">
        <f t="shared" si="2"/>
        <v>333.10200000000003</v>
      </c>
      <c r="H50">
        <f t="shared" si="2"/>
        <v>0</v>
      </c>
      <c r="I50" t="str">
        <f t="shared" si="2"/>
        <v>A-Irr-Irr-Irrigation-All-All-E</v>
      </c>
      <c r="J50">
        <f t="shared" si="2"/>
        <v>0</v>
      </c>
      <c r="K50">
        <f t="shared" si="2"/>
        <v>0</v>
      </c>
      <c r="L50">
        <f t="shared" si="2"/>
        <v>0</v>
      </c>
      <c r="M50">
        <f t="shared" si="2"/>
        <v>0</v>
      </c>
      <c r="N50">
        <f t="shared" si="2"/>
        <v>0</v>
      </c>
      <c r="O50">
        <f t="shared" si="2"/>
        <v>0</v>
      </c>
      <c r="P50">
        <f t="shared" si="2"/>
        <v>0</v>
      </c>
    </row>
    <row r="51" spans="1:16">
      <c r="A51" t="s">
        <v>300</v>
      </c>
      <c r="B51" s="109">
        <f>VLOOKUP(Composite!A51,'Pump Sizes'!$A$3:$C$10,3,FALSE)</f>
        <v>70</v>
      </c>
      <c r="C51" t="str">
        <f t="shared" si="3"/>
        <v>Green Motors Program Rewind vs. Standard Practice:  Motor size 60HP</v>
      </c>
      <c r="D51" t="str">
        <f t="shared" si="2"/>
        <v>Green Motors Program Rewind vs. Standard Practice:  Motor size 60HP</v>
      </c>
      <c r="E51">
        <f t="shared" si="2"/>
        <v>765.28971916213288</v>
      </c>
      <c r="F51">
        <f t="shared" si="2"/>
        <v>20</v>
      </c>
      <c r="G51">
        <f t="shared" si="2"/>
        <v>255.12666666666667</v>
      </c>
      <c r="H51">
        <f t="shared" si="2"/>
        <v>0</v>
      </c>
      <c r="I51" t="str">
        <f t="shared" si="2"/>
        <v>A-Irr-Irr-Irrigation-All-All-E</v>
      </c>
      <c r="J51">
        <f t="shared" si="2"/>
        <v>0</v>
      </c>
      <c r="K51">
        <f t="shared" si="2"/>
        <v>0</v>
      </c>
      <c r="L51">
        <f t="shared" si="2"/>
        <v>0</v>
      </c>
      <c r="M51">
        <f t="shared" si="2"/>
        <v>0</v>
      </c>
      <c r="N51">
        <f t="shared" si="2"/>
        <v>0</v>
      </c>
      <c r="O51">
        <f t="shared" si="2"/>
        <v>0</v>
      </c>
      <c r="P51">
        <f t="shared" si="2"/>
        <v>0</v>
      </c>
    </row>
    <row r="52" spans="1:16">
      <c r="A52" t="s">
        <v>301</v>
      </c>
      <c r="B52" s="109">
        <f>VLOOKUP(Composite!A52,'Pump Sizes'!$A$3:$C$10,3,FALSE)</f>
        <v>40</v>
      </c>
      <c r="C52" t="str">
        <f t="shared" si="3"/>
        <v>Green Motors Program Rewind vs. Standard Practice:  Motor size 40HP</v>
      </c>
      <c r="D52" t="str">
        <f t="shared" si="2"/>
        <v>Green Motors Program Rewind vs. Standard Practice:  Motor size 40HP</v>
      </c>
      <c r="E52">
        <f t="shared" si="2"/>
        <v>745.77064709480817</v>
      </c>
      <c r="F52">
        <f t="shared" si="2"/>
        <v>17</v>
      </c>
      <c r="G52">
        <f t="shared" si="2"/>
        <v>190.08733333333336</v>
      </c>
      <c r="H52">
        <f t="shared" si="2"/>
        <v>0</v>
      </c>
      <c r="I52" t="str">
        <f t="shared" si="2"/>
        <v>A-Irr-Irr-Irrigation-All-All-E</v>
      </c>
      <c r="J52">
        <f t="shared" si="2"/>
        <v>0</v>
      </c>
      <c r="K52">
        <f t="shared" si="2"/>
        <v>0</v>
      </c>
      <c r="L52">
        <f t="shared" si="2"/>
        <v>0</v>
      </c>
      <c r="M52">
        <f t="shared" si="2"/>
        <v>0</v>
      </c>
      <c r="N52">
        <f t="shared" si="2"/>
        <v>0</v>
      </c>
      <c r="O52">
        <f t="shared" si="2"/>
        <v>0</v>
      </c>
      <c r="P52">
        <f t="shared" si="2"/>
        <v>0</v>
      </c>
    </row>
    <row r="53" spans="1:16">
      <c r="A53" t="s">
        <v>302</v>
      </c>
      <c r="B53" s="109">
        <f>VLOOKUP(Composite!A53,'Pump Sizes'!$A$3:$C$10,3,FALSE)</f>
        <v>50</v>
      </c>
      <c r="C53" t="str">
        <f t="shared" si="3"/>
        <v>Green Motors Program Rewind vs. Standard Practice:  Motor size 50HP</v>
      </c>
      <c r="D53" t="str">
        <f t="shared" si="2"/>
        <v>Green Motors Program Rewind vs. Standard Practice:  Motor size 50HP</v>
      </c>
      <c r="E53">
        <f t="shared" si="2"/>
        <v>801.85271513185091</v>
      </c>
      <c r="F53">
        <f t="shared" si="2"/>
        <v>17</v>
      </c>
      <c r="G53">
        <f t="shared" si="2"/>
        <v>208.77266666666668</v>
      </c>
      <c r="H53">
        <f t="shared" si="2"/>
        <v>0</v>
      </c>
      <c r="I53" t="str">
        <f t="shared" si="2"/>
        <v>A-Irr-Irr-Irrigation-All-All-E</v>
      </c>
      <c r="J53">
        <f t="shared" si="2"/>
        <v>0</v>
      </c>
      <c r="K53">
        <f t="shared" si="2"/>
        <v>0</v>
      </c>
      <c r="L53">
        <f t="shared" si="2"/>
        <v>0</v>
      </c>
      <c r="M53">
        <f t="shared" si="2"/>
        <v>0</v>
      </c>
      <c r="N53">
        <f t="shared" si="2"/>
        <v>0</v>
      </c>
      <c r="O53">
        <f t="shared" si="2"/>
        <v>0</v>
      </c>
      <c r="P53">
        <f t="shared" si="2"/>
        <v>0</v>
      </c>
    </row>
    <row r="54" spans="1:16">
      <c r="A54" t="s">
        <v>303</v>
      </c>
      <c r="B54" s="109">
        <f>VLOOKUP(Composite!A54,'Pump Sizes'!$A$3:$C$10,3,FALSE)</f>
        <v>80</v>
      </c>
      <c r="C54" t="str">
        <f t="shared" si="3"/>
        <v>Green Motors Program Rewind vs. Standard Practice:  Motor size 75HP</v>
      </c>
      <c r="D54" t="str">
        <f t="shared" si="2"/>
        <v>Green Motors Program Rewind vs. Standard Practice:  Motor size 75HP</v>
      </c>
      <c r="E54">
        <f t="shared" si="2"/>
        <v>787.56249081075168</v>
      </c>
      <c r="F54">
        <f t="shared" si="2"/>
        <v>20</v>
      </c>
      <c r="G54">
        <f t="shared" si="2"/>
        <v>282.43600000000004</v>
      </c>
      <c r="H54">
        <f t="shared" si="2"/>
        <v>0</v>
      </c>
      <c r="I54" t="str">
        <f t="shared" si="2"/>
        <v>A-Irr-Irr-Irrigation-All-All-E</v>
      </c>
      <c r="J54">
        <f t="shared" si="2"/>
        <v>0</v>
      </c>
      <c r="K54">
        <f t="shared" si="2"/>
        <v>0</v>
      </c>
      <c r="L54">
        <f t="shared" si="2"/>
        <v>0</v>
      </c>
      <c r="M54">
        <f t="shared" si="2"/>
        <v>0</v>
      </c>
      <c r="N54">
        <f t="shared" si="2"/>
        <v>0</v>
      </c>
      <c r="O54">
        <f t="shared" si="2"/>
        <v>0</v>
      </c>
      <c r="P54">
        <f t="shared" si="2"/>
        <v>0</v>
      </c>
    </row>
  </sheetData>
  <mergeCells count="4">
    <mergeCell ref="K6:P6"/>
    <mergeCell ref="Q6:R6"/>
    <mergeCell ref="K45:P45"/>
    <mergeCell ref="Q45:R45"/>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dimension ref="A2:C10"/>
  <sheetViews>
    <sheetView workbookViewId="0">
      <selection activeCell="C3" sqref="C3:C10"/>
    </sheetView>
  </sheetViews>
  <sheetFormatPr defaultRowHeight="12.75"/>
  <cols>
    <col min="1" max="1" width="16.28515625" bestFit="1" customWidth="1"/>
  </cols>
  <sheetData>
    <row r="2" spans="1:3">
      <c r="A2" t="s">
        <v>305</v>
      </c>
      <c r="B2" t="s">
        <v>306</v>
      </c>
      <c r="C2" t="s">
        <v>307</v>
      </c>
    </row>
    <row r="3" spans="1:3">
      <c r="A3" t="s">
        <v>296</v>
      </c>
      <c r="B3">
        <f>'[2]Depth of Wells'!$I33</f>
        <v>181</v>
      </c>
      <c r="C3">
        <f>ROUND(B3,-1)</f>
        <v>180</v>
      </c>
    </row>
    <row r="4" spans="1:3">
      <c r="A4" t="s">
        <v>297</v>
      </c>
      <c r="B4">
        <f>'[2]Depth of Wells'!$I34</f>
        <v>53</v>
      </c>
      <c r="C4">
        <f t="shared" ref="C4:C10" si="0">ROUND(B4,-1)</f>
        <v>50</v>
      </c>
    </row>
    <row r="5" spans="1:3">
      <c r="A5" t="s">
        <v>298</v>
      </c>
      <c r="B5">
        <f>'[2]Depth of Wells'!$I35</f>
        <v>56</v>
      </c>
      <c r="C5">
        <f t="shared" si="0"/>
        <v>60</v>
      </c>
    </row>
    <row r="6" spans="1:3">
      <c r="A6" t="s">
        <v>299</v>
      </c>
      <c r="B6">
        <f>'[2]Depth of Wells'!$I36</f>
        <v>110</v>
      </c>
      <c r="C6">
        <f t="shared" si="0"/>
        <v>110</v>
      </c>
    </row>
    <row r="7" spans="1:3">
      <c r="A7" t="s">
        <v>300</v>
      </c>
      <c r="B7" s="109">
        <f>'[2]Depth of Wells'!$Q22</f>
        <v>65.656287878787879</v>
      </c>
      <c r="C7">
        <f t="shared" si="0"/>
        <v>70</v>
      </c>
    </row>
    <row r="8" spans="1:3">
      <c r="A8" t="s">
        <v>301</v>
      </c>
      <c r="B8" s="109">
        <f>'[2]Depth of Wells'!$Q23</f>
        <v>38.556666666666665</v>
      </c>
      <c r="C8">
        <f t="shared" si="0"/>
        <v>40</v>
      </c>
    </row>
    <row r="9" spans="1:3">
      <c r="A9" t="s">
        <v>302</v>
      </c>
      <c r="B9" s="109">
        <f>'[2]Depth of Wells'!$Q24</f>
        <v>48.355151515151512</v>
      </c>
      <c r="C9">
        <f t="shared" si="0"/>
        <v>50</v>
      </c>
    </row>
    <row r="10" spans="1:3">
      <c r="A10" t="s">
        <v>303</v>
      </c>
      <c r="B10" s="109">
        <f>'[2]Depth of Wells'!$Q25</f>
        <v>82.12893939393939</v>
      </c>
      <c r="C10">
        <f t="shared" si="0"/>
        <v>80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Sheet10"/>
  <dimension ref="A1:DB187"/>
  <sheetViews>
    <sheetView topLeftCell="C6" workbookViewId="0">
      <selection activeCell="F8" sqref="F8"/>
    </sheetView>
  </sheetViews>
  <sheetFormatPr defaultRowHeight="12.75"/>
  <cols>
    <col min="1" max="1" width="29.85546875" customWidth="1"/>
    <col min="2" max="2" width="105.140625" customWidth="1"/>
    <col min="3" max="3" width="81.42578125" customWidth="1"/>
    <col min="6" max="6" width="10.28515625" bestFit="1" customWidth="1"/>
    <col min="16" max="16" width="9.85546875" customWidth="1"/>
  </cols>
  <sheetData>
    <row r="1" spans="1:106" s="67" customFormat="1" ht="14.25">
      <c r="B1" s="63" t="s">
        <v>0</v>
      </c>
      <c r="C1" s="64"/>
      <c r="D1" s="64"/>
      <c r="E1" s="64"/>
      <c r="F1" s="64"/>
      <c r="G1" s="64"/>
      <c r="H1" s="64"/>
      <c r="I1" s="64"/>
      <c r="J1" s="65"/>
      <c r="K1" s="65"/>
      <c r="L1" s="65"/>
      <c r="M1" s="65"/>
      <c r="N1" s="65"/>
      <c r="O1" s="66"/>
    </row>
    <row r="2" spans="1:106" s="67" customFormat="1">
      <c r="B2" s="68" t="s">
        <v>294</v>
      </c>
      <c r="C2" s="64"/>
      <c r="D2" s="64"/>
      <c r="E2" s="64"/>
      <c r="F2" s="64"/>
      <c r="G2" s="64"/>
      <c r="H2" s="64"/>
      <c r="I2" s="64"/>
      <c r="J2" s="65"/>
      <c r="K2" s="65"/>
      <c r="L2" s="65"/>
      <c r="M2" s="65"/>
      <c r="N2" s="65"/>
      <c r="O2" s="66"/>
      <c r="Q2" s="69"/>
    </row>
    <row r="3" spans="1:106" s="7" customFormat="1">
      <c r="B3" s="8" t="s">
        <v>2</v>
      </c>
      <c r="D3" s="8">
        <v>2012</v>
      </c>
      <c r="K3" s="9"/>
      <c r="L3" s="10"/>
      <c r="CP3" s="10"/>
      <c r="CQ3" s="10"/>
    </row>
    <row r="4" spans="1:106" s="7" customFormat="1"/>
    <row r="5" spans="1:106" s="7" customFormat="1">
      <c r="B5" s="11">
        <v>1</v>
      </c>
      <c r="C5" s="11">
        <v>2</v>
      </c>
      <c r="D5" s="11">
        <v>3</v>
      </c>
      <c r="E5" s="11">
        <v>4</v>
      </c>
      <c r="F5" s="11">
        <v>5</v>
      </c>
      <c r="G5" s="11">
        <v>6</v>
      </c>
      <c r="H5" s="11">
        <v>7</v>
      </c>
      <c r="I5" s="11">
        <v>8</v>
      </c>
      <c r="J5" s="11">
        <v>9</v>
      </c>
      <c r="K5" s="11">
        <v>10</v>
      </c>
      <c r="L5" s="11">
        <v>11</v>
      </c>
      <c r="M5" s="11">
        <v>12</v>
      </c>
      <c r="N5" s="11">
        <v>13</v>
      </c>
      <c r="O5" s="11">
        <v>14</v>
      </c>
      <c r="P5" s="11">
        <v>15</v>
      </c>
      <c r="Q5" s="11">
        <v>16</v>
      </c>
      <c r="R5" s="11">
        <v>17</v>
      </c>
      <c r="S5" s="11">
        <v>18</v>
      </c>
      <c r="T5" s="11">
        <v>19</v>
      </c>
      <c r="U5" s="11">
        <v>20</v>
      </c>
      <c r="V5" s="11">
        <v>21</v>
      </c>
      <c r="W5" s="11">
        <v>22</v>
      </c>
      <c r="X5" s="11">
        <v>23</v>
      </c>
      <c r="Y5" s="11">
        <v>24</v>
      </c>
      <c r="Z5" s="11">
        <v>25</v>
      </c>
      <c r="AA5" s="11">
        <v>26</v>
      </c>
      <c r="AB5" s="11">
        <v>27</v>
      </c>
      <c r="AC5" s="11">
        <v>28</v>
      </c>
      <c r="AD5" s="11">
        <v>29</v>
      </c>
      <c r="AE5" s="11">
        <v>30</v>
      </c>
      <c r="AF5" s="11">
        <v>31</v>
      </c>
      <c r="AG5" s="11">
        <v>32</v>
      </c>
      <c r="AH5" s="11">
        <v>33</v>
      </c>
      <c r="AI5" s="11">
        <v>34</v>
      </c>
      <c r="AJ5" s="11">
        <v>35</v>
      </c>
      <c r="AK5" s="11">
        <v>36</v>
      </c>
      <c r="AL5" s="11">
        <v>37</v>
      </c>
      <c r="AM5" s="11">
        <v>38</v>
      </c>
      <c r="AN5" s="11">
        <v>39</v>
      </c>
      <c r="AO5" s="11">
        <v>40</v>
      </c>
      <c r="AP5" s="11">
        <v>41</v>
      </c>
      <c r="AQ5" s="11">
        <v>42</v>
      </c>
      <c r="AR5" s="11">
        <v>43</v>
      </c>
      <c r="AS5" s="11">
        <v>44</v>
      </c>
      <c r="AT5" s="11">
        <v>45</v>
      </c>
      <c r="AU5" s="11">
        <v>46</v>
      </c>
      <c r="AV5" s="11">
        <v>47</v>
      </c>
      <c r="AW5" s="11">
        <v>48</v>
      </c>
      <c r="AX5" s="11">
        <v>49</v>
      </c>
      <c r="AY5" s="11">
        <v>50</v>
      </c>
      <c r="AZ5" s="11">
        <v>51</v>
      </c>
      <c r="BA5" s="11">
        <v>52</v>
      </c>
      <c r="BB5" s="11">
        <v>53</v>
      </c>
      <c r="BC5" s="11">
        <v>54</v>
      </c>
      <c r="BD5" s="11">
        <v>55</v>
      </c>
      <c r="BE5" s="11">
        <v>56</v>
      </c>
      <c r="BF5" s="11">
        <v>57</v>
      </c>
      <c r="BG5" s="11">
        <v>58</v>
      </c>
      <c r="BH5" s="11">
        <v>59</v>
      </c>
      <c r="BI5" s="11">
        <v>60</v>
      </c>
      <c r="BJ5" s="11">
        <v>61</v>
      </c>
      <c r="BK5" s="11">
        <v>62</v>
      </c>
      <c r="BL5" s="11">
        <v>63</v>
      </c>
      <c r="BM5" s="11">
        <v>64</v>
      </c>
      <c r="BN5" s="11">
        <v>65</v>
      </c>
      <c r="BO5" s="11">
        <v>66</v>
      </c>
      <c r="BP5" s="11">
        <v>67</v>
      </c>
      <c r="BQ5" s="11">
        <v>68</v>
      </c>
      <c r="BR5" s="11">
        <v>69</v>
      </c>
      <c r="BS5" s="11">
        <v>70</v>
      </c>
      <c r="BT5" s="11">
        <v>71</v>
      </c>
      <c r="BU5" s="11">
        <v>72</v>
      </c>
      <c r="BV5" s="11">
        <v>73</v>
      </c>
      <c r="BW5" s="11">
        <v>74</v>
      </c>
      <c r="BX5" s="11">
        <v>75</v>
      </c>
      <c r="BY5" s="11">
        <v>76</v>
      </c>
      <c r="BZ5" s="11">
        <v>77</v>
      </c>
      <c r="CA5" s="11">
        <v>78</v>
      </c>
      <c r="CB5" s="11">
        <v>79</v>
      </c>
      <c r="CC5" s="11">
        <v>80</v>
      </c>
      <c r="CD5" s="11">
        <v>81</v>
      </c>
      <c r="CE5" s="11">
        <v>82</v>
      </c>
      <c r="CF5" s="11">
        <v>83</v>
      </c>
      <c r="CG5" s="11">
        <v>84</v>
      </c>
      <c r="CH5" s="11">
        <v>85</v>
      </c>
      <c r="CI5" s="11">
        <v>86</v>
      </c>
      <c r="CJ5" s="11">
        <v>87</v>
      </c>
      <c r="CK5" s="11">
        <v>88</v>
      </c>
      <c r="CL5" s="11">
        <v>89</v>
      </c>
      <c r="CM5" s="11">
        <v>90</v>
      </c>
      <c r="CN5" s="11">
        <v>91</v>
      </c>
      <c r="CO5" s="11">
        <v>92</v>
      </c>
      <c r="CP5" s="11">
        <v>93</v>
      </c>
      <c r="CQ5" s="11">
        <v>94</v>
      </c>
      <c r="CR5" s="11">
        <v>95</v>
      </c>
      <c r="CS5" s="11">
        <v>96</v>
      </c>
      <c r="CT5" s="11">
        <v>97</v>
      </c>
      <c r="CU5" s="11">
        <v>98</v>
      </c>
      <c r="CV5" s="11">
        <v>99</v>
      </c>
      <c r="CW5" s="11">
        <v>100</v>
      </c>
      <c r="CX5" s="11">
        <v>101</v>
      </c>
      <c r="CY5" s="11">
        <v>102</v>
      </c>
      <c r="CZ5" s="11">
        <v>103</v>
      </c>
      <c r="DA5" s="11">
        <v>104</v>
      </c>
      <c r="DB5" s="11">
        <v>105</v>
      </c>
    </row>
    <row r="6" spans="1:106" s="7" customFormat="1">
      <c r="B6" s="12" t="s">
        <v>3</v>
      </c>
      <c r="C6" s="13"/>
      <c r="D6" s="13"/>
      <c r="E6" s="13"/>
      <c r="F6" s="13"/>
      <c r="G6" s="13"/>
      <c r="H6" s="14"/>
      <c r="I6" s="70"/>
      <c r="J6" s="297" t="s">
        <v>4</v>
      </c>
      <c r="K6" s="298"/>
      <c r="L6" s="298"/>
      <c r="M6" s="298"/>
      <c r="N6" s="298"/>
      <c r="O6" s="299"/>
      <c r="P6" s="300" t="s">
        <v>5</v>
      </c>
      <c r="Q6" s="301"/>
      <c r="R6" s="16"/>
      <c r="S6" s="17"/>
      <c r="T6" s="17"/>
      <c r="U6" s="17"/>
      <c r="V6" s="17"/>
      <c r="W6" s="17"/>
      <c r="X6" s="17"/>
      <c r="Y6" s="18"/>
      <c r="Z6" s="19"/>
      <c r="AA6" s="17"/>
      <c r="AB6" s="17"/>
      <c r="AC6" s="17"/>
      <c r="AD6" s="17"/>
      <c r="AE6" s="17"/>
      <c r="AF6" s="20"/>
      <c r="AG6" s="20"/>
      <c r="AH6" s="20"/>
      <c r="AI6" s="20"/>
      <c r="AJ6" s="20"/>
      <c r="AK6" s="20"/>
      <c r="AL6" s="20"/>
      <c r="AM6" s="20"/>
      <c r="AN6" s="20"/>
      <c r="AO6" s="20"/>
      <c r="AP6" s="20"/>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row>
    <row r="7" spans="1:106" s="7" customFormat="1" ht="39" thickBot="1">
      <c r="A7" s="7" t="s">
        <v>106</v>
      </c>
      <c r="B7" s="71" t="s">
        <v>6</v>
      </c>
      <c r="C7" s="71" t="s">
        <v>7</v>
      </c>
      <c r="D7" s="71" t="s">
        <v>8</v>
      </c>
      <c r="E7" s="71" t="s">
        <v>9</v>
      </c>
      <c r="F7" s="71" t="s">
        <v>10</v>
      </c>
      <c r="G7" s="71" t="s">
        <v>11</v>
      </c>
      <c r="H7" s="72" t="s">
        <v>12</v>
      </c>
      <c r="I7" s="72" t="s">
        <v>13</v>
      </c>
      <c r="J7" s="72" t="s">
        <v>14</v>
      </c>
      <c r="K7" s="72" t="s">
        <v>15</v>
      </c>
      <c r="L7" s="72" t="s">
        <v>16</v>
      </c>
      <c r="M7" s="72" t="s">
        <v>17</v>
      </c>
      <c r="N7" s="72" t="s">
        <v>18</v>
      </c>
      <c r="O7" s="72" t="s">
        <v>19</v>
      </c>
      <c r="P7" s="73" t="s">
        <v>20</v>
      </c>
      <c r="Q7" s="72" t="s">
        <v>12</v>
      </c>
      <c r="R7" s="23"/>
      <c r="S7" s="23"/>
      <c r="T7" s="23"/>
      <c r="U7" s="23"/>
      <c r="V7" s="23"/>
      <c r="W7" s="23"/>
      <c r="X7" s="23"/>
      <c r="Y7" s="23"/>
      <c r="Z7" s="23"/>
      <c r="AA7" s="23"/>
      <c r="AB7" s="23"/>
      <c r="AC7" s="23"/>
      <c r="AD7" s="23"/>
      <c r="AE7" s="23"/>
      <c r="AF7" s="20"/>
      <c r="AG7" s="20"/>
      <c r="AH7" s="20"/>
      <c r="AI7" s="20"/>
      <c r="AJ7" s="20"/>
      <c r="AK7" s="20"/>
      <c r="AL7" s="20"/>
      <c r="AM7" s="20"/>
      <c r="AN7" s="20"/>
      <c r="AO7" s="20"/>
      <c r="AP7" s="20"/>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row>
    <row r="8" spans="1:106" ht="13.5" thickBot="1">
      <c r="A8" t="str">
        <f>MID(B8,LEN(B8)-17,4)</f>
        <v>15HP</v>
      </c>
      <c r="B8" s="94" t="str">
        <f>C8</f>
        <v>Green Motors Program Rewind vs. Standard Practice:  Motor size 15HP, Agricultural</v>
      </c>
      <c r="C8" s="232" t="s">
        <v>256</v>
      </c>
      <c r="D8" s="101">
        <f>SavingsAnalysis!AI13</f>
        <v>317.20063698333979</v>
      </c>
      <c r="E8">
        <f>Life!D11</f>
        <v>18</v>
      </c>
      <c r="F8">
        <f>CostAnalysis!N11</f>
        <v>115.346</v>
      </c>
      <c r="G8" s="95"/>
      <c r="H8" t="s">
        <v>135</v>
      </c>
      <c r="J8" s="95"/>
      <c r="K8" s="95"/>
      <c r="P8" s="74"/>
    </row>
    <row r="9" spans="1:106" ht="13.5" thickBot="1">
      <c r="A9" t="str">
        <f t="shared" ref="A9:A15" si="0">MID(B9,LEN(B9)-17,4)</f>
        <v>20HP</v>
      </c>
      <c r="B9" s="94" t="str">
        <f t="shared" ref="B9:B41" si="1">C9</f>
        <v>Green Motors Program Rewind vs. Standard Practice:  Motor size 20HP, Agricultural</v>
      </c>
      <c r="C9" s="232" t="s">
        <v>257</v>
      </c>
      <c r="D9" s="101">
        <f>SavingsAnalysis!AI14</f>
        <v>424.74405122567379</v>
      </c>
      <c r="E9">
        <f>Life!D12</f>
        <v>18</v>
      </c>
      <c r="F9">
        <f>CostAnalysis!N12</f>
        <v>114.98666666666668</v>
      </c>
      <c r="G9" s="97"/>
      <c r="H9" s="97" t="s">
        <v>135</v>
      </c>
      <c r="J9" s="97"/>
      <c r="K9" s="97"/>
      <c r="P9" s="74"/>
    </row>
    <row r="10" spans="1:106" ht="13.5" thickBot="1">
      <c r="A10" t="str">
        <f t="shared" si="0"/>
        <v>25HP</v>
      </c>
      <c r="B10" s="94" t="str">
        <f t="shared" si="1"/>
        <v>Green Motors Program Rewind vs. Standard Practice:  Motor size 25HP, Agricultural</v>
      </c>
      <c r="C10" s="232" t="s">
        <v>258</v>
      </c>
      <c r="D10" s="101">
        <f>SavingsAnalysis!AI15</f>
        <v>594.72164703874898</v>
      </c>
      <c r="E10">
        <f>Life!D13</f>
        <v>17</v>
      </c>
      <c r="F10">
        <f>CostAnalysis!N13</f>
        <v>149.12333333333336</v>
      </c>
      <c r="G10" s="97"/>
      <c r="H10" s="97" t="s">
        <v>135</v>
      </c>
      <c r="J10" s="97"/>
      <c r="K10" s="97"/>
      <c r="P10" s="74"/>
    </row>
    <row r="11" spans="1:106" ht="13.5" thickBot="1">
      <c r="A11" t="str">
        <f t="shared" si="0"/>
        <v>30HP</v>
      </c>
      <c r="B11" s="94" t="str">
        <f t="shared" si="1"/>
        <v>Green Motors Program Rewind vs. Standard Practice:  Motor size 30HP, Agricultural</v>
      </c>
      <c r="C11" s="232" t="s">
        <v>259</v>
      </c>
      <c r="D11" s="101">
        <f>SavingsAnalysis!AI16</f>
        <v>640.45084575817361</v>
      </c>
      <c r="E11">
        <f>Life!D14</f>
        <v>17</v>
      </c>
      <c r="F11">
        <f>CostAnalysis!N14</f>
        <v>166.37133333333335</v>
      </c>
      <c r="G11" s="97"/>
      <c r="H11" s="97" t="s">
        <v>135</v>
      </c>
      <c r="J11" s="97"/>
      <c r="K11" s="97"/>
    </row>
    <row r="12" spans="1:106" ht="13.5" thickBot="1">
      <c r="A12" t="str">
        <f t="shared" si="0"/>
        <v>40HP</v>
      </c>
      <c r="B12" s="94" t="str">
        <f t="shared" si="1"/>
        <v>Green Motors Program Rewind vs. Standard Practice:  Motor size 40HP, Agricultural</v>
      </c>
      <c r="C12" s="232" t="s">
        <v>260</v>
      </c>
      <c r="D12" s="101">
        <f>SavingsAnalysis!AI17</f>
        <v>745.77064709480817</v>
      </c>
      <c r="E12">
        <f>Life!D15</f>
        <v>17</v>
      </c>
      <c r="F12">
        <f>CostAnalysis!N15</f>
        <v>190.08733333333336</v>
      </c>
      <c r="G12" s="97"/>
      <c r="H12" s="97" t="s">
        <v>135</v>
      </c>
      <c r="J12" s="97"/>
      <c r="K12" s="97"/>
    </row>
    <row r="13" spans="1:106" ht="13.5" thickBot="1">
      <c r="A13" t="str">
        <f t="shared" si="0"/>
        <v>50HP</v>
      </c>
      <c r="B13" s="94" t="str">
        <f t="shared" si="1"/>
        <v>Green Motors Program Rewind vs. Standard Practice:  Motor size 50HP, Agricultural</v>
      </c>
      <c r="C13" s="232" t="s">
        <v>261</v>
      </c>
      <c r="D13" s="101">
        <f>SavingsAnalysis!AI18</f>
        <v>801.85271513185091</v>
      </c>
      <c r="E13">
        <f>Life!D16</f>
        <v>17</v>
      </c>
      <c r="F13">
        <f>CostAnalysis!N16</f>
        <v>208.77266666666668</v>
      </c>
      <c r="G13" s="97"/>
      <c r="H13" s="97" t="s">
        <v>135</v>
      </c>
      <c r="J13" s="97"/>
      <c r="K13" s="97"/>
    </row>
    <row r="14" spans="1:106" ht="13.5" thickBot="1">
      <c r="A14" t="str">
        <f t="shared" si="0"/>
        <v>60HP</v>
      </c>
      <c r="B14" s="94" t="str">
        <f t="shared" si="1"/>
        <v>Green Motors Program Rewind vs. Standard Practice:  Motor size 60HP, Agricultural</v>
      </c>
      <c r="C14" s="232" t="s">
        <v>262</v>
      </c>
      <c r="D14" s="101">
        <f>SavingsAnalysis!AI19</f>
        <v>765.28971916213288</v>
      </c>
      <c r="E14">
        <f>Life!D17</f>
        <v>20</v>
      </c>
      <c r="F14">
        <f>CostAnalysis!N17</f>
        <v>255.12666666666667</v>
      </c>
      <c r="G14" s="97"/>
      <c r="H14" s="97" t="s">
        <v>135</v>
      </c>
      <c r="J14" s="97"/>
      <c r="K14" s="97"/>
    </row>
    <row r="15" spans="1:106" ht="13.5" thickBot="1">
      <c r="A15" t="str">
        <f t="shared" si="0"/>
        <v>75HP</v>
      </c>
      <c r="B15" s="94" t="str">
        <f t="shared" si="1"/>
        <v>Green Motors Program Rewind vs. Standard Practice:  Motor size 75HP, Agricultural</v>
      </c>
      <c r="C15" s="232" t="s">
        <v>263</v>
      </c>
      <c r="D15" s="101">
        <f>SavingsAnalysis!AI20</f>
        <v>787.56249081075168</v>
      </c>
      <c r="E15">
        <f>Life!D18</f>
        <v>20</v>
      </c>
      <c r="F15">
        <f>CostAnalysis!N18</f>
        <v>282.43600000000004</v>
      </c>
      <c r="G15" s="97"/>
      <c r="H15" s="97" t="s">
        <v>135</v>
      </c>
      <c r="J15" s="97"/>
      <c r="K15" s="97"/>
    </row>
    <row r="16" spans="1:106" ht="13.5" thickBot="1">
      <c r="A16" t="str">
        <f>MID(B16,LEN(B16)-18,5)</f>
        <v>100HP</v>
      </c>
      <c r="B16" s="94" t="str">
        <f t="shared" si="1"/>
        <v>Green Motors Program Rewind vs. Standard Practice:  Motor size 100HP, Agricultural</v>
      </c>
      <c r="C16" s="232" t="s">
        <v>264</v>
      </c>
      <c r="D16" s="101">
        <f>SavingsAnalysis!AI21</f>
        <v>1039.5442662823673</v>
      </c>
      <c r="E16">
        <f>Life!D19</f>
        <v>20</v>
      </c>
      <c r="F16">
        <f>CostAnalysis!N19</f>
        <v>333.10200000000003</v>
      </c>
      <c r="G16" s="97"/>
      <c r="H16" s="97" t="s">
        <v>135</v>
      </c>
      <c r="J16" s="97"/>
      <c r="K16" s="97"/>
    </row>
    <row r="17" spans="1:16" ht="13.5" thickBot="1">
      <c r="A17" t="str">
        <f t="shared" ref="A17:A29" si="2">MID(B17,LEN(B17)-18,5)</f>
        <v>125HP</v>
      </c>
      <c r="B17" s="94" t="str">
        <f t="shared" si="1"/>
        <v>Green Motors Program Rewind vs. Standard Practice:  Motor size 125HP, Agricultural</v>
      </c>
      <c r="C17" s="232" t="s">
        <v>265</v>
      </c>
      <c r="D17" s="101">
        <f>SavingsAnalysis!AI22</f>
        <v>1157.1149728950259</v>
      </c>
      <c r="E17">
        <f>Life!D20</f>
        <v>20</v>
      </c>
      <c r="F17">
        <f>CostAnalysis!N20</f>
        <v>360.05200000000002</v>
      </c>
      <c r="G17" s="97"/>
      <c r="H17" s="97" t="s">
        <v>135</v>
      </c>
      <c r="J17" s="97"/>
      <c r="K17" s="97"/>
    </row>
    <row r="18" spans="1:16" ht="13.5" thickBot="1">
      <c r="A18" t="str">
        <f t="shared" si="2"/>
        <v>150HP</v>
      </c>
      <c r="B18" s="94" t="str">
        <f t="shared" si="1"/>
        <v>Green Motors Program Rewind vs. Standard Practice:  Motor size 150HP, Agricultural</v>
      </c>
      <c r="C18" s="232" t="s">
        <v>266</v>
      </c>
      <c r="D18" s="101">
        <f>SavingsAnalysis!AI23</f>
        <v>1375.738818122496</v>
      </c>
      <c r="E18">
        <f>Life!D21</f>
        <v>20</v>
      </c>
      <c r="F18">
        <f>CostAnalysis!N21</f>
        <v>446.65133333333335</v>
      </c>
      <c r="G18" s="97"/>
      <c r="H18" s="97" t="s">
        <v>135</v>
      </c>
      <c r="J18" s="97"/>
      <c r="K18" s="97"/>
    </row>
    <row r="19" spans="1:16" ht="13.5" thickBot="1">
      <c r="A19" t="str">
        <f t="shared" si="2"/>
        <v>200HP</v>
      </c>
      <c r="B19" s="94" t="str">
        <f t="shared" si="1"/>
        <v>Green Motors Program Rewind vs. Standard Practice:  Motor size 200HP, Agricultural</v>
      </c>
      <c r="C19" s="232" t="s">
        <v>267</v>
      </c>
      <c r="D19" s="101">
        <f>SavingsAnalysis!AI24</f>
        <v>1820.5989174882707</v>
      </c>
      <c r="E19">
        <f>Life!D22</f>
        <v>20</v>
      </c>
      <c r="F19">
        <f>CostAnalysis!N22</f>
        <v>501.62933333333336</v>
      </c>
      <c r="G19" s="99"/>
      <c r="H19" s="99" t="s">
        <v>135</v>
      </c>
      <c r="J19" s="99"/>
      <c r="K19" s="99"/>
    </row>
    <row r="20" spans="1:16" ht="13.5" thickBot="1">
      <c r="A20" t="str">
        <f t="shared" si="2"/>
        <v>250HP</v>
      </c>
      <c r="B20" s="94" t="str">
        <f t="shared" si="1"/>
        <v>Green Motors Program Rewind vs. Standard Practice:  Motor size 250HP, Agricultural</v>
      </c>
      <c r="C20" s="232" t="s">
        <v>268</v>
      </c>
      <c r="D20" s="101">
        <f>SavingsAnalysis!AI25</f>
        <v>2822.9975622897232</v>
      </c>
      <c r="E20">
        <f>Life!D23</f>
        <v>19</v>
      </c>
      <c r="F20">
        <f>CostAnalysis!N23</f>
        <v>558.76333333333343</v>
      </c>
      <c r="G20" s="95"/>
      <c r="H20" t="s">
        <v>135</v>
      </c>
      <c r="J20" s="95"/>
      <c r="K20" s="95"/>
      <c r="P20" s="74"/>
    </row>
    <row r="21" spans="1:16" ht="13.5" thickBot="1">
      <c r="A21" t="str">
        <f t="shared" si="2"/>
        <v>300HP</v>
      </c>
      <c r="B21" s="94" t="str">
        <f t="shared" si="1"/>
        <v>Green Motors Program Rewind vs. Standard Practice:  Motor size 300HP, Agricultural</v>
      </c>
      <c r="C21" s="232" t="s">
        <v>269</v>
      </c>
      <c r="D21" s="101">
        <f>SavingsAnalysis!AI26</f>
        <v>3370.0326425555781</v>
      </c>
      <c r="E21">
        <f>Life!D24</f>
        <v>19</v>
      </c>
      <c r="F21">
        <f>CostAnalysis!N24</f>
        <v>672.67200000000003</v>
      </c>
      <c r="G21" s="97"/>
      <c r="H21" s="97" t="s">
        <v>135</v>
      </c>
      <c r="J21" s="97"/>
      <c r="K21" s="97"/>
      <c r="P21" s="74"/>
    </row>
    <row r="22" spans="1:16" ht="13.5" thickBot="1">
      <c r="A22" t="str">
        <f t="shared" si="2"/>
        <v>350HP</v>
      </c>
      <c r="B22" s="94" t="str">
        <f t="shared" si="1"/>
        <v>Green Motors Program Rewind vs. Standard Practice:  Motor size 350HP, Agricultural</v>
      </c>
      <c r="C22" s="232" t="s">
        <v>270</v>
      </c>
      <c r="D22" s="101">
        <f>SavingsAnalysis!AI27</f>
        <v>3928.7782271476267</v>
      </c>
      <c r="E22">
        <f>Life!D25</f>
        <v>19</v>
      </c>
      <c r="F22">
        <f>CostAnalysis!N25</f>
        <v>864.55600000000004</v>
      </c>
      <c r="G22" s="97"/>
      <c r="H22" s="97" t="s">
        <v>135</v>
      </c>
      <c r="J22" s="97"/>
      <c r="K22" s="97"/>
      <c r="P22" s="74"/>
    </row>
    <row r="23" spans="1:16" ht="13.5" thickBot="1">
      <c r="A23" t="str">
        <f t="shared" si="2"/>
        <v>400HP</v>
      </c>
      <c r="B23" s="94" t="str">
        <f t="shared" si="1"/>
        <v>Green Motors Program Rewind vs. Standard Practice:  Motor size 400HP, Agricultural</v>
      </c>
      <c r="C23" s="232" t="s">
        <v>271</v>
      </c>
      <c r="D23" s="101">
        <f>SavingsAnalysis!AI28</f>
        <v>4456.2927495024824</v>
      </c>
      <c r="E23">
        <f>Life!D26</f>
        <v>19</v>
      </c>
      <c r="F23">
        <f>CostAnalysis!N26</f>
        <v>873.89866666666671</v>
      </c>
      <c r="G23" s="97"/>
      <c r="H23" s="97" t="s">
        <v>135</v>
      </c>
      <c r="J23" s="97"/>
      <c r="K23" s="97"/>
    </row>
    <row r="24" spans="1:16" ht="13.5" thickBot="1">
      <c r="A24" t="str">
        <f t="shared" si="2"/>
        <v>450HP</v>
      </c>
      <c r="B24" s="94" t="str">
        <f t="shared" si="1"/>
        <v>Green Motors Program Rewind vs. Standard Practice:  Motor size 450HP, Agricultural</v>
      </c>
      <c r="C24" s="232" t="s">
        <v>272</v>
      </c>
      <c r="D24" s="101">
        <f>SavingsAnalysis!AI29</f>
        <v>5003.1640456837094</v>
      </c>
      <c r="E24">
        <f>Life!D27</f>
        <v>19</v>
      </c>
      <c r="F24">
        <f>CostAnalysis!N27</f>
        <v>915.94066666666663</v>
      </c>
      <c r="G24" s="97"/>
      <c r="H24" s="97" t="s">
        <v>135</v>
      </c>
      <c r="J24" s="97"/>
      <c r="K24" s="97"/>
    </row>
    <row r="25" spans="1:16" ht="13.5" thickBot="1">
      <c r="A25" t="str">
        <f t="shared" si="2"/>
        <v>500HP</v>
      </c>
      <c r="B25" s="94" t="str">
        <f t="shared" si="1"/>
        <v>Green Motors Program Rewind vs. Standard Practice:  Motor size 500HP, Agricultural</v>
      </c>
      <c r="C25" s="232" t="s">
        <v>273</v>
      </c>
      <c r="D25" s="101">
        <f>SavingsAnalysis!AI30</f>
        <v>5566.9154426317937</v>
      </c>
      <c r="E25">
        <f>Life!D28</f>
        <v>19</v>
      </c>
      <c r="F25">
        <f>CostAnalysis!N28</f>
        <v>1023.022</v>
      </c>
      <c r="G25" s="97"/>
      <c r="H25" s="97" t="s">
        <v>135</v>
      </c>
      <c r="J25" s="97"/>
      <c r="K25" s="97"/>
    </row>
    <row r="26" spans="1:16" ht="13.5" thickBot="1">
      <c r="A26" t="str">
        <f t="shared" si="2"/>
        <v>600HP</v>
      </c>
      <c r="B26" s="94" t="str">
        <f t="shared" si="1"/>
        <v>Green Motors Program Rewind vs. Standard Practice:  Motor size 600HP, Agricultural</v>
      </c>
      <c r="C26" s="232" t="s">
        <v>274</v>
      </c>
      <c r="D26" s="101">
        <f>SavingsAnalysis!AI31</f>
        <v>6193.2974868977908</v>
      </c>
      <c r="E26">
        <f>Life!D29</f>
        <v>20</v>
      </c>
      <c r="F26">
        <f>CostAnalysis!N29</f>
        <v>1118.2453333333333</v>
      </c>
      <c r="G26" s="97"/>
      <c r="H26" s="97" t="s">
        <v>135</v>
      </c>
      <c r="J26" s="97"/>
      <c r="K26" s="97"/>
    </row>
    <row r="27" spans="1:16" ht="13.5" thickBot="1">
      <c r="A27" t="str">
        <f t="shared" si="2"/>
        <v>700HP</v>
      </c>
      <c r="B27" s="94" t="str">
        <f t="shared" si="1"/>
        <v>Green Motors Program Rewind vs. Standard Practice:  Motor size 700HP, Agricultural</v>
      </c>
      <c r="C27" s="232" t="s">
        <v>275</v>
      </c>
      <c r="D27" s="101">
        <f>SavingsAnalysis!AI32</f>
        <v>7194.848242811393</v>
      </c>
      <c r="E27">
        <f>Life!D30</f>
        <v>20</v>
      </c>
      <c r="F27">
        <f>CostAnalysis!N30</f>
        <v>1208.0786666666668</v>
      </c>
      <c r="G27" s="97"/>
      <c r="H27" s="97" t="s">
        <v>135</v>
      </c>
      <c r="J27" s="97"/>
      <c r="K27" s="97"/>
    </row>
    <row r="28" spans="1:16" ht="13.5" thickBot="1">
      <c r="A28" t="str">
        <f t="shared" si="2"/>
        <v>800HP</v>
      </c>
      <c r="B28" s="94" t="str">
        <f t="shared" si="1"/>
        <v>Green Motors Program Rewind vs. Standard Practice:  Motor size 800HP, Agricultural</v>
      </c>
      <c r="C28" s="232" t="s">
        <v>276</v>
      </c>
      <c r="D28" s="101">
        <f>SavingsAnalysis!AI33</f>
        <v>8205.2441742653027</v>
      </c>
      <c r="E28">
        <f>Life!D31</f>
        <v>20</v>
      </c>
      <c r="F28">
        <f>CostAnalysis!N31</f>
        <v>1780.2609439999985</v>
      </c>
      <c r="G28" s="97"/>
      <c r="H28" s="97" t="s">
        <v>135</v>
      </c>
      <c r="J28" s="97"/>
      <c r="K28" s="97"/>
    </row>
    <row r="29" spans="1:16" ht="13.5" thickBot="1">
      <c r="A29" t="str">
        <f t="shared" si="2"/>
        <v>900HP</v>
      </c>
      <c r="B29" s="94" t="str">
        <f t="shared" si="1"/>
        <v>Green Motors Program Rewind vs. Standard Practice:  Motor size 900HP, Agricultural</v>
      </c>
      <c r="C29" s="232" t="s">
        <v>277</v>
      </c>
      <c r="D29" s="101">
        <f>SavingsAnalysis!AI34</f>
        <v>9211.3425733500626</v>
      </c>
      <c r="E29">
        <f>Life!D32</f>
        <v>20</v>
      </c>
      <c r="F29">
        <f>CostAnalysis!N32</f>
        <v>1942.2627839999993</v>
      </c>
      <c r="G29" s="97"/>
      <c r="H29" s="97" t="s">
        <v>135</v>
      </c>
      <c r="J29" s="97"/>
      <c r="K29" s="97"/>
    </row>
    <row r="30" spans="1:16" ht="13.5" thickBot="1">
      <c r="A30" t="str">
        <f>MID(B30,LEN(B30)-19,6)</f>
        <v>1000HP</v>
      </c>
      <c r="B30" s="94" t="str">
        <f t="shared" si="1"/>
        <v>Green Motors Program Rewind vs. Standard Practice:  Motor size 1000HP, Agricultural</v>
      </c>
      <c r="C30" s="232" t="s">
        <v>278</v>
      </c>
      <c r="D30" s="101">
        <f>SavingsAnalysis!AI35</f>
        <v>10191.571472676937</v>
      </c>
      <c r="E30">
        <f>Life!D33</f>
        <v>20</v>
      </c>
      <c r="F30">
        <f>CostAnalysis!N33</f>
        <v>2154.9909919999986</v>
      </c>
      <c r="G30" s="97"/>
      <c r="H30" s="97" t="s">
        <v>135</v>
      </c>
      <c r="J30" s="97"/>
      <c r="K30" s="97"/>
    </row>
    <row r="31" spans="1:16" ht="13.5" thickBot="1">
      <c r="A31" t="str">
        <f t="shared" ref="A31:A40" si="3">MID(B31,LEN(B31)-19,6)</f>
        <v>1250HP</v>
      </c>
      <c r="B31" s="94" t="str">
        <f t="shared" si="1"/>
        <v>Green Motors Program Rewind vs. Standard Practice:  Motor size 1250HP, Agricultural</v>
      </c>
      <c r="C31" s="232" t="s">
        <v>279</v>
      </c>
      <c r="D31" s="101">
        <f>SavingsAnalysis!AI36</f>
        <v>10589.834586466663</v>
      </c>
      <c r="E31">
        <f>Life!D34</f>
        <v>20</v>
      </c>
      <c r="F31">
        <f>CostAnalysis!N34</f>
        <v>2375.7826399999994</v>
      </c>
      <c r="G31" s="99"/>
      <c r="H31" s="99" t="s">
        <v>135</v>
      </c>
      <c r="J31" s="99"/>
      <c r="K31" s="99"/>
    </row>
    <row r="32" spans="1:16" ht="13.5" thickBot="1">
      <c r="A32" t="str">
        <f t="shared" si="3"/>
        <v>1500HP</v>
      </c>
      <c r="B32" s="94" t="str">
        <f t="shared" si="1"/>
        <v>Green Motors Program Rewind vs. Standard Practice:  Motor size 1500HP, Agricultural</v>
      </c>
      <c r="C32" s="232" t="s">
        <v>280</v>
      </c>
      <c r="D32" s="101">
        <f>SavingsAnalysis!AI37</f>
        <v>12681.019867814612</v>
      </c>
      <c r="E32">
        <f>Life!D35</f>
        <v>20</v>
      </c>
      <c r="F32">
        <f>CostAnalysis!N35</f>
        <v>2560.3621119999993</v>
      </c>
      <c r="G32" s="95"/>
      <c r="H32" s="95" t="s">
        <v>135</v>
      </c>
      <c r="J32" s="95"/>
      <c r="K32" s="95"/>
    </row>
    <row r="33" spans="1:11" ht="13.5" thickBot="1">
      <c r="A33" t="str">
        <f t="shared" si="3"/>
        <v>1750HP</v>
      </c>
      <c r="B33" s="94" t="str">
        <f t="shared" si="1"/>
        <v>Green Motors Program Rewind vs. Standard Practice:  Motor size 1750HP, Agricultural</v>
      </c>
      <c r="C33" s="232" t="s">
        <v>281</v>
      </c>
      <c r="D33" s="101">
        <f>SavingsAnalysis!AI38</f>
        <v>14732.328290408477</v>
      </c>
      <c r="E33">
        <f>Life!D36</f>
        <v>20</v>
      </c>
      <c r="F33">
        <f>CostAnalysis!N36</f>
        <v>3058.5360960000003</v>
      </c>
      <c r="G33" s="97"/>
      <c r="H33" s="97" t="s">
        <v>135</v>
      </c>
      <c r="J33" s="97"/>
      <c r="K33" s="97"/>
    </row>
    <row r="34" spans="1:11" ht="13.5" thickBot="1">
      <c r="A34" t="str">
        <f t="shared" si="3"/>
        <v>2000HP</v>
      </c>
      <c r="B34" s="94" t="str">
        <f t="shared" si="1"/>
        <v>Green Motors Program Rewind vs. Standard Practice:  Motor size 2000HP, Agricultural</v>
      </c>
      <c r="C34" s="232" t="s">
        <v>282</v>
      </c>
      <c r="D34" s="101">
        <f>SavingsAnalysis!AI39</f>
        <v>16766.314025902189</v>
      </c>
      <c r="E34">
        <f>Life!D37</f>
        <v>20</v>
      </c>
      <c r="F34">
        <f>CostAnalysis!N37</f>
        <v>3503.6379840000009</v>
      </c>
      <c r="G34" s="97"/>
      <c r="H34" s="97" t="s">
        <v>135</v>
      </c>
      <c r="J34" s="97"/>
      <c r="K34" s="97"/>
    </row>
    <row r="35" spans="1:11" ht="13.5" thickBot="1">
      <c r="A35" t="str">
        <f t="shared" si="3"/>
        <v>2250HP</v>
      </c>
      <c r="B35" s="94" t="str">
        <f t="shared" si="1"/>
        <v>Green Motors Program Rewind vs. Standard Practice:  Motor size 2250HP, Agricultural</v>
      </c>
      <c r="C35" s="232" t="s">
        <v>283</v>
      </c>
      <c r="D35" s="101">
        <f>SavingsAnalysis!AI40</f>
        <v>18743.845060209744</v>
      </c>
      <c r="E35">
        <f>Life!D38</f>
        <v>20</v>
      </c>
      <c r="F35">
        <f>CostAnalysis!N38</f>
        <v>3998.8798080000001</v>
      </c>
      <c r="G35" s="97"/>
      <c r="H35" s="97" t="s">
        <v>135</v>
      </c>
      <c r="J35" s="97"/>
      <c r="K35" s="97"/>
    </row>
    <row r="36" spans="1:11" ht="13.5" thickBot="1">
      <c r="A36" t="str">
        <f t="shared" si="3"/>
        <v>2500HP</v>
      </c>
      <c r="B36" s="94" t="str">
        <f t="shared" si="1"/>
        <v>Green Motors Program Rewind vs. Standard Practice:  Motor size 2500HP, Agricultural</v>
      </c>
      <c r="C36" s="232" t="s">
        <v>284</v>
      </c>
      <c r="D36" s="101">
        <f>SavingsAnalysis!AI41</f>
        <v>20782.969681468327</v>
      </c>
      <c r="E36">
        <f>Life!D39</f>
        <v>20</v>
      </c>
      <c r="F36">
        <f>CostAnalysis!N39</f>
        <v>4485.7649759999995</v>
      </c>
      <c r="G36" s="97"/>
      <c r="H36" s="97" t="s">
        <v>135</v>
      </c>
      <c r="J36" s="97"/>
      <c r="K36" s="97"/>
    </row>
    <row r="37" spans="1:11" ht="13.5" thickBot="1">
      <c r="A37" t="str">
        <f t="shared" si="3"/>
        <v>3000HP</v>
      </c>
      <c r="B37" s="94" t="str">
        <f t="shared" si="1"/>
        <v>Green Motors Program Rewind vs. Standard Practice:  Motor size 3000HP, Agricultural</v>
      </c>
      <c r="C37" s="232" t="s">
        <v>285</v>
      </c>
      <c r="D37" s="101">
        <f>SavingsAnalysis!AI42</f>
        <v>24783.852866611443</v>
      </c>
      <c r="E37">
        <f>Life!D40</f>
        <v>20</v>
      </c>
      <c r="F37">
        <f>CostAnalysis!N40</f>
        <v>4886.884463999997</v>
      </c>
      <c r="G37" s="97"/>
      <c r="H37" s="97" t="s">
        <v>135</v>
      </c>
      <c r="J37" s="97"/>
      <c r="K37" s="97"/>
    </row>
    <row r="38" spans="1:11" ht="13.5" thickBot="1">
      <c r="A38" t="str">
        <f t="shared" si="3"/>
        <v>3500HP</v>
      </c>
      <c r="B38" s="94" t="str">
        <f t="shared" si="1"/>
        <v>Green Motors Program Rewind vs. Standard Practice:  Motor size 3500HP, Agricultural</v>
      </c>
      <c r="C38" s="232" t="s">
        <v>286</v>
      </c>
      <c r="D38" s="101">
        <f>SavingsAnalysis!AI43</f>
        <v>28854.318771584891</v>
      </c>
      <c r="E38">
        <f>Life!D41</f>
        <v>20</v>
      </c>
      <c r="F38">
        <f>CostAnalysis!N41</f>
        <v>5346.6471519999959</v>
      </c>
      <c r="G38" s="97"/>
      <c r="H38" s="97" t="s">
        <v>135</v>
      </c>
      <c r="J38" s="97"/>
      <c r="K38" s="97"/>
    </row>
    <row r="39" spans="1:11" ht="13.5" thickBot="1">
      <c r="A39" t="str">
        <f t="shared" si="3"/>
        <v>4000HP</v>
      </c>
      <c r="B39" s="94" t="str">
        <f t="shared" si="1"/>
        <v>Green Motors Program Rewind vs. Standard Practice:  Motor size 4000HP, Agricultural</v>
      </c>
      <c r="C39" s="232" t="s">
        <v>287</v>
      </c>
      <c r="D39" s="101">
        <f>SavingsAnalysis!AI44</f>
        <v>32976.364310381934</v>
      </c>
      <c r="E39">
        <f>Life!D42</f>
        <v>20</v>
      </c>
      <c r="F39">
        <f>CostAnalysis!N42</f>
        <v>6251.2185119999949</v>
      </c>
      <c r="G39" s="97"/>
      <c r="H39" s="97" t="s">
        <v>135</v>
      </c>
      <c r="J39" s="97"/>
      <c r="K39" s="97"/>
    </row>
    <row r="40" spans="1:11" ht="13.5" thickBot="1">
      <c r="A40" t="str">
        <f t="shared" si="3"/>
        <v>4500HP</v>
      </c>
      <c r="B40" s="94" t="str">
        <f t="shared" si="1"/>
        <v>Green Motors Program Rewind vs. Standard Practice:  Motor size 4500HP, Agricultural</v>
      </c>
      <c r="C40" s="232" t="s">
        <v>288</v>
      </c>
      <c r="D40" s="101">
        <f>SavingsAnalysis!AI45</f>
        <v>37021.281677403487</v>
      </c>
      <c r="E40">
        <f>Life!D43</f>
        <v>20</v>
      </c>
      <c r="F40">
        <f>CostAnalysis!N43</f>
        <v>6907.8757439999954</v>
      </c>
      <c r="G40" s="97"/>
      <c r="H40" s="97" t="s">
        <v>135</v>
      </c>
      <c r="J40" s="97"/>
      <c r="K40" s="97"/>
    </row>
    <row r="41" spans="1:11">
      <c r="A41" t="str">
        <f>MID(B41,LEN(B41)-19,6)</f>
        <v>5000HP</v>
      </c>
      <c r="B41" s="94" t="str">
        <f t="shared" si="1"/>
        <v>Green Motors Program Rewind vs. Standard Practice:  Motor size 5000HP, Agricultural</v>
      </c>
      <c r="C41" s="232" t="s">
        <v>289</v>
      </c>
      <c r="D41" s="101">
        <f>SavingsAnalysis!AI46</f>
        <v>41049.32642487064</v>
      </c>
      <c r="E41">
        <f>Life!D44</f>
        <v>20</v>
      </c>
      <c r="F41">
        <f>CostAnalysis!N44</f>
        <v>7712.3138399999989</v>
      </c>
      <c r="G41" s="97"/>
      <c r="H41" s="97" t="s">
        <v>135</v>
      </c>
      <c r="J41" s="97"/>
      <c r="K41" s="97"/>
    </row>
    <row r="42" spans="1:11">
      <c r="B42" s="96"/>
      <c r="C42" s="97"/>
      <c r="D42" s="102"/>
      <c r="E42" s="97"/>
      <c r="F42" s="105"/>
      <c r="G42" s="97"/>
      <c r="H42" s="97"/>
      <c r="I42" s="107"/>
      <c r="J42" s="97"/>
      <c r="K42" s="97"/>
    </row>
    <row r="43" spans="1:11" ht="13.5" thickBot="1">
      <c r="B43" s="98"/>
      <c r="C43" s="99"/>
      <c r="D43" s="103"/>
      <c r="E43" s="99"/>
      <c r="F43" s="106"/>
      <c r="G43" s="99"/>
      <c r="H43" s="99"/>
      <c r="I43" s="108"/>
      <c r="J43" s="99"/>
      <c r="K43" s="99"/>
    </row>
    <row r="44" spans="1:11">
      <c r="B44" s="94"/>
      <c r="C44" s="95"/>
      <c r="D44" s="101"/>
      <c r="E44" s="95"/>
      <c r="F44" s="104"/>
      <c r="G44" s="95"/>
      <c r="H44" s="95"/>
      <c r="I44" s="100"/>
      <c r="J44" s="95"/>
      <c r="K44" s="95"/>
    </row>
    <row r="45" spans="1:11">
      <c r="B45" s="96"/>
      <c r="C45" s="97"/>
      <c r="D45" s="102"/>
      <c r="E45" s="97"/>
      <c r="F45" s="105"/>
      <c r="G45" s="97"/>
      <c r="H45" s="97"/>
      <c r="I45" s="107"/>
      <c r="J45" s="97"/>
      <c r="K45" s="97"/>
    </row>
    <row r="46" spans="1:11">
      <c r="B46" s="96"/>
      <c r="C46" s="97"/>
      <c r="D46" s="102"/>
      <c r="E46" s="97"/>
      <c r="F46" s="105"/>
      <c r="G46" s="97"/>
      <c r="H46" s="97"/>
      <c r="I46" s="107"/>
      <c r="J46" s="97"/>
      <c r="K46" s="97"/>
    </row>
    <row r="47" spans="1:11">
      <c r="B47" s="96"/>
      <c r="C47" s="97"/>
      <c r="D47" s="102"/>
      <c r="E47" s="97"/>
      <c r="F47" s="105"/>
      <c r="G47" s="97"/>
      <c r="H47" s="97"/>
      <c r="I47" s="107"/>
      <c r="J47" s="97"/>
      <c r="K47" s="97"/>
    </row>
    <row r="48" spans="1:11">
      <c r="B48" s="96"/>
      <c r="C48" s="97"/>
      <c r="D48" s="102"/>
      <c r="E48" s="97"/>
      <c r="F48" s="105"/>
      <c r="G48" s="97"/>
      <c r="H48" s="97"/>
      <c r="I48" s="107"/>
      <c r="J48" s="97"/>
      <c r="K48" s="97"/>
    </row>
    <row r="49" spans="2:11">
      <c r="B49" s="96"/>
      <c r="C49" s="97"/>
      <c r="D49" s="102"/>
      <c r="E49" s="97"/>
      <c r="F49" s="105"/>
      <c r="G49" s="97"/>
      <c r="H49" s="97"/>
      <c r="I49" s="107"/>
      <c r="J49" s="97"/>
      <c r="K49" s="97"/>
    </row>
    <row r="50" spans="2:11">
      <c r="B50" s="96"/>
      <c r="C50" s="97"/>
      <c r="D50" s="102"/>
      <c r="E50" s="97"/>
      <c r="F50" s="105"/>
      <c r="G50" s="97"/>
      <c r="H50" s="97"/>
      <c r="I50" s="107"/>
      <c r="J50" s="97"/>
      <c r="K50" s="97"/>
    </row>
    <row r="51" spans="2:11">
      <c r="B51" s="96"/>
      <c r="C51" s="97"/>
      <c r="D51" s="102"/>
      <c r="E51" s="97"/>
      <c r="F51" s="105"/>
      <c r="G51" s="97"/>
      <c r="H51" s="97"/>
      <c r="I51" s="107"/>
      <c r="J51" s="97"/>
      <c r="K51" s="97"/>
    </row>
    <row r="52" spans="2:11">
      <c r="B52" s="96"/>
      <c r="C52" s="97"/>
      <c r="D52" s="102"/>
      <c r="E52" s="97"/>
      <c r="F52" s="105"/>
      <c r="G52" s="97"/>
      <c r="H52" s="97"/>
      <c r="I52" s="107"/>
      <c r="J52" s="97"/>
      <c r="K52" s="97"/>
    </row>
    <row r="53" spans="2:11">
      <c r="B53" s="96"/>
      <c r="C53" s="97"/>
      <c r="D53" s="102"/>
      <c r="E53" s="97"/>
      <c r="F53" s="105"/>
      <c r="G53" s="97"/>
      <c r="H53" s="97"/>
      <c r="I53" s="107"/>
      <c r="J53" s="97"/>
      <c r="K53" s="97"/>
    </row>
    <row r="54" spans="2:11">
      <c r="B54" s="96"/>
      <c r="C54" s="97"/>
      <c r="D54" s="102"/>
      <c r="E54" s="97"/>
      <c r="F54" s="105"/>
      <c r="G54" s="97"/>
      <c r="H54" s="97"/>
      <c r="I54" s="107"/>
      <c r="J54" s="97"/>
      <c r="K54" s="97"/>
    </row>
    <row r="55" spans="2:11" ht="13.5" thickBot="1">
      <c r="B55" s="98"/>
      <c r="C55" s="99"/>
      <c r="D55" s="103"/>
      <c r="E55" s="99"/>
      <c r="F55" s="106"/>
      <c r="G55" s="99"/>
      <c r="H55" s="99"/>
      <c r="I55" s="108"/>
      <c r="J55" s="99"/>
      <c r="K55" s="99"/>
    </row>
    <row r="56" spans="2:11">
      <c r="B56" s="94"/>
      <c r="C56" s="95"/>
      <c r="D56" s="101"/>
      <c r="E56" s="95"/>
      <c r="F56" s="104"/>
      <c r="G56" s="95"/>
      <c r="H56" s="95"/>
      <c r="I56" s="100"/>
      <c r="J56" s="95"/>
      <c r="K56" s="95"/>
    </row>
    <row r="57" spans="2:11">
      <c r="B57" s="96"/>
      <c r="C57" s="97"/>
      <c r="D57" s="102"/>
      <c r="E57" s="97"/>
      <c r="F57" s="105"/>
      <c r="G57" s="97"/>
      <c r="H57" s="97"/>
      <c r="I57" s="107"/>
      <c r="J57" s="97"/>
      <c r="K57" s="97"/>
    </row>
    <row r="58" spans="2:11">
      <c r="B58" s="96"/>
      <c r="C58" s="97"/>
      <c r="D58" s="102"/>
      <c r="E58" s="97"/>
      <c r="F58" s="105"/>
      <c r="G58" s="97"/>
      <c r="H58" s="97"/>
      <c r="I58" s="107"/>
      <c r="J58" s="97"/>
      <c r="K58" s="97"/>
    </row>
    <row r="59" spans="2:11">
      <c r="B59" s="96"/>
      <c r="C59" s="97"/>
      <c r="D59" s="102"/>
      <c r="E59" s="97"/>
      <c r="F59" s="105"/>
      <c r="G59" s="97"/>
      <c r="H59" s="97"/>
      <c r="I59" s="107"/>
      <c r="J59" s="97"/>
      <c r="K59" s="97"/>
    </row>
    <row r="60" spans="2:11">
      <c r="B60" s="96"/>
      <c r="C60" s="97"/>
      <c r="D60" s="102"/>
      <c r="E60" s="97"/>
      <c r="F60" s="105"/>
      <c r="G60" s="97"/>
      <c r="H60" s="97"/>
      <c r="I60" s="107"/>
      <c r="J60" s="97"/>
      <c r="K60" s="97"/>
    </row>
    <row r="61" spans="2:11">
      <c r="B61" s="96"/>
      <c r="C61" s="97"/>
      <c r="D61" s="102"/>
      <c r="E61" s="97"/>
      <c r="F61" s="105"/>
      <c r="G61" s="97"/>
      <c r="H61" s="97"/>
      <c r="I61" s="107"/>
      <c r="J61" s="97"/>
      <c r="K61" s="97"/>
    </row>
    <row r="62" spans="2:11">
      <c r="B62" s="96"/>
      <c r="C62" s="97"/>
      <c r="D62" s="102"/>
      <c r="E62" s="97"/>
      <c r="F62" s="105"/>
      <c r="G62" s="97"/>
      <c r="H62" s="97"/>
      <c r="I62" s="107"/>
      <c r="J62" s="97"/>
      <c r="K62" s="97"/>
    </row>
    <row r="63" spans="2:11">
      <c r="B63" s="96"/>
      <c r="C63" s="97"/>
      <c r="D63" s="102"/>
      <c r="E63" s="97"/>
      <c r="F63" s="105"/>
      <c r="G63" s="97"/>
      <c r="H63" s="97"/>
      <c r="I63" s="107"/>
      <c r="J63" s="97"/>
      <c r="K63" s="97"/>
    </row>
    <row r="64" spans="2:11">
      <c r="B64" s="96"/>
      <c r="C64" s="97"/>
      <c r="D64" s="102"/>
      <c r="E64" s="97"/>
      <c r="F64" s="105"/>
      <c r="G64" s="97"/>
      <c r="H64" s="97"/>
      <c r="I64" s="107"/>
      <c r="J64" s="97"/>
      <c r="K64" s="97"/>
    </row>
    <row r="65" spans="2:11">
      <c r="B65" s="96"/>
      <c r="C65" s="97"/>
      <c r="D65" s="102"/>
      <c r="E65" s="97"/>
      <c r="F65" s="105"/>
      <c r="G65" s="97"/>
      <c r="H65" s="97"/>
      <c r="I65" s="107"/>
      <c r="J65" s="97"/>
      <c r="K65" s="97"/>
    </row>
    <row r="66" spans="2:11">
      <c r="B66" s="96"/>
      <c r="C66" s="97"/>
      <c r="D66" s="102"/>
      <c r="E66" s="97"/>
      <c r="F66" s="105"/>
      <c r="G66" s="97"/>
      <c r="H66" s="97"/>
      <c r="I66" s="107"/>
      <c r="J66" s="97"/>
      <c r="K66" s="97"/>
    </row>
    <row r="67" spans="2:11" ht="13.5" thickBot="1">
      <c r="B67" s="98"/>
      <c r="C67" s="99"/>
      <c r="D67" s="103"/>
      <c r="E67" s="99"/>
      <c r="F67" s="106"/>
      <c r="G67" s="99"/>
      <c r="H67" s="99"/>
      <c r="I67" s="108"/>
      <c r="J67" s="99"/>
      <c r="K67" s="99"/>
    </row>
    <row r="68" spans="2:11">
      <c r="B68" s="94"/>
      <c r="C68" s="95"/>
      <c r="D68" s="101"/>
      <c r="E68" s="95"/>
      <c r="F68" s="104"/>
      <c r="G68" s="95"/>
      <c r="H68" s="95"/>
      <c r="I68" s="100"/>
      <c r="J68" s="95"/>
      <c r="K68" s="95"/>
    </row>
    <row r="69" spans="2:11">
      <c r="B69" s="96"/>
      <c r="C69" s="97"/>
      <c r="D69" s="102"/>
      <c r="E69" s="97"/>
      <c r="F69" s="105"/>
      <c r="G69" s="97"/>
      <c r="H69" s="97"/>
      <c r="I69" s="107"/>
      <c r="J69" s="97"/>
      <c r="K69" s="97"/>
    </row>
    <row r="70" spans="2:11">
      <c r="B70" s="96"/>
      <c r="C70" s="97"/>
      <c r="D70" s="102"/>
      <c r="E70" s="97"/>
      <c r="F70" s="105"/>
      <c r="G70" s="97"/>
      <c r="H70" s="97"/>
      <c r="I70" s="107"/>
      <c r="J70" s="97"/>
      <c r="K70" s="97"/>
    </row>
    <row r="71" spans="2:11">
      <c r="B71" s="96"/>
      <c r="C71" s="97"/>
      <c r="D71" s="102"/>
      <c r="E71" s="97"/>
      <c r="F71" s="105"/>
      <c r="G71" s="97"/>
      <c r="H71" s="97"/>
      <c r="I71" s="107"/>
      <c r="J71" s="97"/>
      <c r="K71" s="97"/>
    </row>
    <row r="72" spans="2:11">
      <c r="B72" s="96"/>
      <c r="C72" s="97"/>
      <c r="D72" s="102"/>
      <c r="E72" s="97"/>
      <c r="F72" s="105"/>
      <c r="G72" s="97"/>
      <c r="H72" s="97"/>
      <c r="I72" s="107"/>
      <c r="J72" s="97"/>
      <c r="K72" s="97"/>
    </row>
    <row r="73" spans="2:11">
      <c r="B73" s="96"/>
      <c r="C73" s="97"/>
      <c r="D73" s="102"/>
      <c r="E73" s="97"/>
      <c r="F73" s="105"/>
      <c r="G73" s="97"/>
      <c r="H73" s="97"/>
      <c r="I73" s="107"/>
      <c r="J73" s="97"/>
      <c r="K73" s="97"/>
    </row>
    <row r="74" spans="2:11">
      <c r="B74" s="96"/>
      <c r="C74" s="97"/>
      <c r="D74" s="102"/>
      <c r="E74" s="97"/>
      <c r="F74" s="105"/>
      <c r="G74" s="97"/>
      <c r="H74" s="97"/>
      <c r="I74" s="107"/>
      <c r="J74" s="97"/>
      <c r="K74" s="97"/>
    </row>
    <row r="75" spans="2:11">
      <c r="B75" s="96"/>
      <c r="C75" s="97"/>
      <c r="D75" s="102"/>
      <c r="E75" s="97"/>
      <c r="F75" s="105"/>
      <c r="G75" s="97"/>
      <c r="H75" s="97"/>
      <c r="I75" s="107"/>
      <c r="J75" s="97"/>
      <c r="K75" s="97"/>
    </row>
    <row r="76" spans="2:11">
      <c r="B76" s="96"/>
      <c r="C76" s="97"/>
      <c r="D76" s="102"/>
      <c r="E76" s="97"/>
      <c r="F76" s="105"/>
      <c r="G76" s="97"/>
      <c r="H76" s="97"/>
      <c r="I76" s="107"/>
      <c r="J76" s="97"/>
      <c r="K76" s="97"/>
    </row>
    <row r="77" spans="2:11">
      <c r="B77" s="96"/>
      <c r="C77" s="97"/>
      <c r="D77" s="102"/>
      <c r="E77" s="97"/>
      <c r="F77" s="105"/>
      <c r="G77" s="97"/>
      <c r="H77" s="97"/>
      <c r="I77" s="107"/>
      <c r="J77" s="97"/>
      <c r="K77" s="97"/>
    </row>
    <row r="78" spans="2:11">
      <c r="B78" s="96"/>
      <c r="C78" s="97"/>
      <c r="D78" s="102"/>
      <c r="E78" s="97"/>
      <c r="F78" s="105"/>
      <c r="G78" s="97"/>
      <c r="H78" s="97"/>
      <c r="I78" s="107"/>
      <c r="J78" s="97"/>
      <c r="K78" s="97"/>
    </row>
    <row r="79" spans="2:11" ht="13.5" thickBot="1">
      <c r="B79" s="98"/>
      <c r="C79" s="99"/>
      <c r="D79" s="103"/>
      <c r="E79" s="99"/>
      <c r="F79" s="106"/>
      <c r="G79" s="99"/>
      <c r="H79" s="99"/>
      <c r="I79" s="108"/>
      <c r="J79" s="99"/>
      <c r="K79" s="99"/>
    </row>
    <row r="80" spans="2:11">
      <c r="B80" s="94"/>
      <c r="C80" s="95"/>
      <c r="D80" s="101"/>
      <c r="E80" s="95"/>
      <c r="F80" s="104"/>
      <c r="G80" s="95"/>
      <c r="H80" s="95"/>
      <c r="I80" s="100"/>
      <c r="J80" s="95"/>
      <c r="K80" s="95"/>
    </row>
    <row r="81" spans="2:11">
      <c r="B81" s="96"/>
      <c r="C81" s="97"/>
      <c r="D81" s="102"/>
      <c r="E81" s="97"/>
      <c r="F81" s="105"/>
      <c r="G81" s="97"/>
      <c r="H81" s="97"/>
      <c r="I81" s="107"/>
      <c r="J81" s="97"/>
      <c r="K81" s="97"/>
    </row>
    <row r="82" spans="2:11">
      <c r="B82" s="96"/>
      <c r="C82" s="97"/>
      <c r="D82" s="102"/>
      <c r="E82" s="97"/>
      <c r="F82" s="105"/>
      <c r="G82" s="97"/>
      <c r="H82" s="97"/>
      <c r="I82" s="107"/>
      <c r="J82" s="97"/>
      <c r="K82" s="97"/>
    </row>
    <row r="83" spans="2:11">
      <c r="B83" s="96"/>
      <c r="C83" s="97"/>
      <c r="D83" s="102"/>
      <c r="E83" s="97"/>
      <c r="F83" s="105"/>
      <c r="G83" s="97"/>
      <c r="H83" s="97"/>
      <c r="I83" s="107"/>
      <c r="J83" s="97"/>
      <c r="K83" s="97"/>
    </row>
    <row r="84" spans="2:11">
      <c r="B84" s="96"/>
      <c r="C84" s="97"/>
      <c r="D84" s="102"/>
      <c r="E84" s="97"/>
      <c r="F84" s="105"/>
      <c r="G84" s="97"/>
      <c r="H84" s="97"/>
      <c r="I84" s="107"/>
      <c r="J84" s="97"/>
      <c r="K84" s="97"/>
    </row>
    <row r="85" spans="2:11">
      <c r="B85" s="96"/>
      <c r="C85" s="97"/>
      <c r="D85" s="102"/>
      <c r="E85" s="97"/>
      <c r="F85" s="105"/>
      <c r="G85" s="97"/>
      <c r="H85" s="97"/>
      <c r="I85" s="97"/>
      <c r="J85" s="97"/>
      <c r="K85" s="97"/>
    </row>
    <row r="86" spans="2:11">
      <c r="B86" s="96"/>
      <c r="C86" s="97"/>
      <c r="D86" s="102"/>
      <c r="E86" s="97"/>
      <c r="F86" s="105"/>
      <c r="G86" s="97"/>
      <c r="H86" s="97"/>
      <c r="I86" s="97"/>
      <c r="J86" s="97"/>
      <c r="K86" s="97"/>
    </row>
    <row r="87" spans="2:11">
      <c r="B87" s="96"/>
      <c r="C87" s="97"/>
      <c r="D87" s="102"/>
      <c r="E87" s="97"/>
      <c r="F87" s="105"/>
      <c r="G87" s="97"/>
      <c r="H87" s="97"/>
      <c r="I87" s="97"/>
      <c r="J87" s="97"/>
      <c r="K87" s="97"/>
    </row>
    <row r="88" spans="2:11">
      <c r="B88" s="96"/>
      <c r="C88" s="97"/>
      <c r="D88" s="102"/>
      <c r="E88" s="97"/>
      <c r="F88" s="105"/>
      <c r="G88" s="97"/>
      <c r="H88" s="97"/>
      <c r="I88" s="97"/>
      <c r="J88" s="97"/>
      <c r="K88" s="97"/>
    </row>
    <row r="89" spans="2:11">
      <c r="B89" s="96"/>
      <c r="C89" s="97"/>
      <c r="D89" s="102"/>
      <c r="E89" s="97"/>
      <c r="F89" s="105"/>
      <c r="G89" s="97"/>
      <c r="H89" s="97"/>
      <c r="I89" s="97"/>
      <c r="J89" s="97"/>
      <c r="K89" s="97"/>
    </row>
    <row r="90" spans="2:11">
      <c r="B90" s="96"/>
      <c r="C90" s="97"/>
      <c r="D90" s="102"/>
      <c r="E90" s="97"/>
      <c r="F90" s="105"/>
      <c r="G90" s="97"/>
      <c r="H90" s="97"/>
      <c r="I90" s="97"/>
      <c r="J90" s="97"/>
      <c r="K90" s="97"/>
    </row>
    <row r="91" spans="2:11" ht="13.5" thickBot="1">
      <c r="B91" s="98"/>
      <c r="C91" s="99"/>
      <c r="D91" s="103"/>
      <c r="E91" s="99"/>
      <c r="F91" s="106"/>
      <c r="G91" s="99"/>
      <c r="H91" s="99"/>
      <c r="I91" s="99"/>
      <c r="J91" s="99"/>
      <c r="K91" s="99"/>
    </row>
    <row r="92" spans="2:11">
      <c r="B92" s="94"/>
      <c r="C92" s="95"/>
      <c r="D92" s="101"/>
      <c r="E92" s="95"/>
      <c r="F92" s="104"/>
      <c r="G92" s="95"/>
      <c r="H92" s="95"/>
      <c r="I92" s="95"/>
      <c r="J92" s="95"/>
      <c r="K92" s="95"/>
    </row>
    <row r="93" spans="2:11">
      <c r="B93" s="96"/>
      <c r="C93" s="97"/>
      <c r="D93" s="102"/>
      <c r="E93" s="97"/>
      <c r="F93" s="105"/>
      <c r="G93" s="97"/>
      <c r="H93" s="97"/>
      <c r="I93" s="97"/>
      <c r="J93" s="97"/>
      <c r="K93" s="97"/>
    </row>
    <row r="94" spans="2:11">
      <c r="B94" s="96"/>
      <c r="C94" s="97"/>
      <c r="D94" s="102"/>
      <c r="E94" s="97"/>
      <c r="F94" s="105"/>
      <c r="G94" s="97"/>
      <c r="H94" s="97"/>
      <c r="I94" s="97"/>
      <c r="J94" s="97"/>
      <c r="K94" s="97"/>
    </row>
    <row r="95" spans="2:11">
      <c r="B95" s="96"/>
      <c r="C95" s="97"/>
      <c r="D95" s="102"/>
      <c r="E95" s="97"/>
      <c r="F95" s="105"/>
      <c r="G95" s="97"/>
      <c r="H95" s="97"/>
      <c r="I95" s="97"/>
      <c r="J95" s="97"/>
      <c r="K95" s="97"/>
    </row>
    <row r="96" spans="2:11">
      <c r="B96" s="96"/>
      <c r="C96" s="97"/>
      <c r="D96" s="102"/>
      <c r="E96" s="97"/>
      <c r="F96" s="105"/>
      <c r="G96" s="97"/>
      <c r="H96" s="97"/>
      <c r="I96" s="97"/>
      <c r="J96" s="97"/>
      <c r="K96" s="97"/>
    </row>
    <row r="97" spans="2:11">
      <c r="B97" s="96"/>
      <c r="C97" s="97"/>
      <c r="D97" s="102"/>
      <c r="E97" s="97"/>
      <c r="F97" s="105"/>
      <c r="G97" s="97"/>
      <c r="H97" s="97"/>
      <c r="I97" s="97"/>
      <c r="J97" s="97"/>
      <c r="K97" s="97"/>
    </row>
    <row r="98" spans="2:11">
      <c r="B98" s="96"/>
      <c r="C98" s="97"/>
      <c r="D98" s="102"/>
      <c r="E98" s="97"/>
      <c r="F98" s="105"/>
      <c r="G98" s="97"/>
      <c r="H98" s="97"/>
      <c r="I98" s="97"/>
      <c r="J98" s="97"/>
      <c r="K98" s="97"/>
    </row>
    <row r="99" spans="2:11">
      <c r="B99" s="96"/>
      <c r="C99" s="97"/>
      <c r="D99" s="102"/>
      <c r="E99" s="97"/>
      <c r="F99" s="105"/>
      <c r="G99" s="97"/>
      <c r="H99" s="97"/>
      <c r="I99" s="97"/>
      <c r="J99" s="97"/>
      <c r="K99" s="97"/>
    </row>
    <row r="100" spans="2:11">
      <c r="B100" s="96"/>
      <c r="C100" s="97"/>
      <c r="D100" s="102"/>
      <c r="E100" s="97"/>
      <c r="F100" s="105"/>
      <c r="G100" s="97"/>
      <c r="H100" s="97"/>
      <c r="I100" s="97"/>
      <c r="J100" s="97"/>
      <c r="K100" s="97"/>
    </row>
    <row r="101" spans="2:11">
      <c r="B101" s="96"/>
      <c r="C101" s="97"/>
      <c r="D101" s="102"/>
      <c r="E101" s="97"/>
      <c r="F101" s="105"/>
      <c r="G101" s="97"/>
      <c r="H101" s="97"/>
      <c r="I101" s="97"/>
      <c r="J101" s="97"/>
      <c r="K101" s="97"/>
    </row>
    <row r="102" spans="2:11">
      <c r="B102" s="96"/>
      <c r="C102" s="97"/>
      <c r="D102" s="102"/>
      <c r="E102" s="97"/>
      <c r="F102" s="105"/>
      <c r="G102" s="97"/>
      <c r="H102" s="97"/>
      <c r="I102" s="97"/>
      <c r="J102" s="97"/>
      <c r="K102" s="97"/>
    </row>
    <row r="103" spans="2:11" ht="13.5" thickBot="1">
      <c r="B103" s="98"/>
      <c r="C103" s="99"/>
      <c r="D103" s="103"/>
      <c r="E103" s="99"/>
      <c r="F103" s="106"/>
      <c r="G103" s="99"/>
      <c r="H103" s="99"/>
      <c r="I103" s="99"/>
      <c r="J103" s="99"/>
      <c r="K103" s="99"/>
    </row>
    <row r="104" spans="2:11">
      <c r="B104" s="94"/>
      <c r="C104" s="95"/>
      <c r="D104" s="101"/>
      <c r="E104" s="95"/>
      <c r="F104" s="104"/>
      <c r="G104" s="95"/>
      <c r="H104" s="95"/>
      <c r="I104" s="95"/>
      <c r="J104" s="95"/>
      <c r="K104" s="95"/>
    </row>
    <row r="105" spans="2:11">
      <c r="B105" s="96"/>
      <c r="C105" s="97"/>
      <c r="D105" s="102"/>
      <c r="E105" s="97"/>
      <c r="F105" s="105"/>
      <c r="G105" s="97"/>
      <c r="H105" s="97"/>
      <c r="I105" s="97"/>
      <c r="J105" s="97"/>
      <c r="K105" s="97"/>
    </row>
    <row r="106" spans="2:11">
      <c r="B106" s="96"/>
      <c r="C106" s="97"/>
      <c r="D106" s="102"/>
      <c r="E106" s="97"/>
      <c r="F106" s="105"/>
      <c r="G106" s="97"/>
      <c r="H106" s="97"/>
      <c r="I106" s="97"/>
      <c r="J106" s="97"/>
      <c r="K106" s="97"/>
    </row>
    <row r="107" spans="2:11">
      <c r="B107" s="96"/>
      <c r="C107" s="97"/>
      <c r="D107" s="102"/>
      <c r="E107" s="97"/>
      <c r="F107" s="105"/>
      <c r="G107" s="97"/>
      <c r="H107" s="97"/>
      <c r="I107" s="97"/>
      <c r="J107" s="97"/>
      <c r="K107" s="97"/>
    </row>
    <row r="108" spans="2:11">
      <c r="B108" s="96"/>
      <c r="C108" s="97"/>
      <c r="D108" s="102"/>
      <c r="E108" s="97"/>
      <c r="F108" s="105"/>
      <c r="G108" s="97"/>
      <c r="H108" s="97"/>
      <c r="I108" s="97"/>
      <c r="J108" s="97"/>
      <c r="K108" s="97"/>
    </row>
    <row r="109" spans="2:11">
      <c r="B109" s="96"/>
      <c r="C109" s="97"/>
      <c r="D109" s="102"/>
      <c r="E109" s="97"/>
      <c r="F109" s="105"/>
      <c r="G109" s="97"/>
      <c r="H109" s="97"/>
      <c r="I109" s="97"/>
      <c r="J109" s="97"/>
      <c r="K109" s="97"/>
    </row>
    <row r="110" spans="2:11">
      <c r="B110" s="96"/>
      <c r="C110" s="97"/>
      <c r="D110" s="102"/>
      <c r="E110" s="97"/>
      <c r="F110" s="105"/>
      <c r="G110" s="97"/>
      <c r="H110" s="97"/>
      <c r="I110" s="97"/>
      <c r="J110" s="97"/>
      <c r="K110" s="97"/>
    </row>
    <row r="111" spans="2:11">
      <c r="B111" s="96"/>
      <c r="C111" s="97"/>
      <c r="D111" s="102"/>
      <c r="E111" s="97"/>
      <c r="F111" s="105"/>
      <c r="G111" s="97"/>
      <c r="H111" s="97"/>
      <c r="I111" s="97"/>
      <c r="J111" s="97"/>
      <c r="K111" s="97"/>
    </row>
    <row r="112" spans="2:11">
      <c r="B112" s="96"/>
      <c r="C112" s="97"/>
      <c r="D112" s="102"/>
      <c r="E112" s="97"/>
      <c r="F112" s="105"/>
      <c r="G112" s="97"/>
      <c r="H112" s="97"/>
      <c r="I112" s="97"/>
      <c r="J112" s="97"/>
      <c r="K112" s="97"/>
    </row>
    <row r="113" spans="2:11">
      <c r="B113" s="96"/>
      <c r="C113" s="97"/>
      <c r="D113" s="102"/>
      <c r="E113" s="97"/>
      <c r="F113" s="105"/>
      <c r="G113" s="97"/>
      <c r="H113" s="97"/>
      <c r="I113" s="97"/>
      <c r="J113" s="97"/>
      <c r="K113" s="97"/>
    </row>
    <row r="114" spans="2:11">
      <c r="B114" s="96"/>
      <c r="C114" s="97"/>
      <c r="D114" s="102"/>
      <c r="E114" s="97"/>
      <c r="F114" s="105"/>
      <c r="G114" s="97"/>
      <c r="H114" s="97"/>
      <c r="I114" s="97"/>
      <c r="J114" s="97"/>
      <c r="K114" s="97"/>
    </row>
    <row r="115" spans="2:11" ht="13.5" thickBot="1">
      <c r="B115" s="98"/>
      <c r="C115" s="99"/>
      <c r="D115" s="103"/>
      <c r="E115" s="99"/>
      <c r="F115" s="106"/>
      <c r="G115" s="99"/>
      <c r="H115" s="99"/>
      <c r="I115" s="99"/>
      <c r="J115" s="99"/>
      <c r="K115" s="99"/>
    </row>
    <row r="116" spans="2:11">
      <c r="B116" s="94"/>
      <c r="C116" s="95"/>
      <c r="D116" s="101"/>
      <c r="E116" s="95"/>
      <c r="F116" s="104"/>
      <c r="G116" s="95"/>
      <c r="H116" s="95"/>
      <c r="I116" s="95"/>
      <c r="J116" s="95"/>
      <c r="K116" s="95"/>
    </row>
    <row r="117" spans="2:11">
      <c r="B117" s="96"/>
      <c r="C117" s="97"/>
      <c r="D117" s="102"/>
      <c r="E117" s="97"/>
      <c r="F117" s="105"/>
      <c r="G117" s="97"/>
      <c r="H117" s="97"/>
      <c r="I117" s="97"/>
      <c r="J117" s="97"/>
      <c r="K117" s="97"/>
    </row>
    <row r="118" spans="2:11">
      <c r="B118" s="96"/>
      <c r="C118" s="97"/>
      <c r="D118" s="102"/>
      <c r="E118" s="97"/>
      <c r="F118" s="105"/>
      <c r="G118" s="97"/>
      <c r="H118" s="97"/>
      <c r="I118" s="97"/>
      <c r="J118" s="97"/>
      <c r="K118" s="97"/>
    </row>
    <row r="119" spans="2:11">
      <c r="B119" s="96"/>
      <c r="C119" s="97"/>
      <c r="D119" s="102"/>
      <c r="E119" s="97"/>
      <c r="F119" s="105"/>
      <c r="G119" s="97"/>
      <c r="H119" s="97"/>
      <c r="I119" s="97"/>
      <c r="J119" s="97"/>
      <c r="K119" s="97"/>
    </row>
    <row r="120" spans="2:11">
      <c r="B120" s="96"/>
      <c r="C120" s="97"/>
      <c r="D120" s="102"/>
      <c r="E120" s="97"/>
      <c r="F120" s="105"/>
      <c r="G120" s="97"/>
      <c r="H120" s="97"/>
      <c r="I120" s="97"/>
      <c r="J120" s="97"/>
      <c r="K120" s="97"/>
    </row>
    <row r="121" spans="2:11">
      <c r="B121" s="96"/>
      <c r="C121" s="97"/>
      <c r="D121" s="102"/>
      <c r="E121" s="97"/>
      <c r="F121" s="105"/>
      <c r="G121" s="97"/>
      <c r="H121" s="97"/>
      <c r="I121" s="97"/>
      <c r="J121" s="97"/>
      <c r="K121" s="97"/>
    </row>
    <row r="122" spans="2:11">
      <c r="B122" s="96"/>
      <c r="C122" s="97"/>
      <c r="D122" s="102"/>
      <c r="E122" s="97"/>
      <c r="F122" s="105"/>
      <c r="G122" s="97"/>
      <c r="H122" s="97"/>
      <c r="I122" s="97"/>
      <c r="J122" s="97"/>
      <c r="K122" s="97"/>
    </row>
    <row r="123" spans="2:11">
      <c r="B123" s="96"/>
      <c r="C123" s="97"/>
      <c r="D123" s="102"/>
      <c r="E123" s="97"/>
      <c r="F123" s="105"/>
      <c r="G123" s="97"/>
      <c r="H123" s="97"/>
      <c r="I123" s="97"/>
      <c r="J123" s="97"/>
      <c r="K123" s="97"/>
    </row>
    <row r="124" spans="2:11">
      <c r="B124" s="96"/>
      <c r="C124" s="97"/>
      <c r="D124" s="102"/>
      <c r="E124" s="97"/>
      <c r="F124" s="105"/>
      <c r="G124" s="97"/>
      <c r="H124" s="97"/>
      <c r="I124" s="97"/>
      <c r="J124" s="97"/>
      <c r="K124" s="97"/>
    </row>
    <row r="125" spans="2:11">
      <c r="B125" s="96"/>
      <c r="C125" s="97"/>
      <c r="D125" s="102"/>
      <c r="E125" s="97"/>
      <c r="F125" s="105"/>
      <c r="G125" s="97"/>
      <c r="H125" s="97"/>
      <c r="I125" s="97"/>
      <c r="J125" s="97"/>
      <c r="K125" s="97"/>
    </row>
    <row r="126" spans="2:11">
      <c r="B126" s="96"/>
      <c r="C126" s="97"/>
      <c r="D126" s="102"/>
      <c r="E126" s="97"/>
      <c r="F126" s="105"/>
      <c r="G126" s="97"/>
      <c r="H126" s="97"/>
      <c r="I126" s="97"/>
      <c r="J126" s="97"/>
      <c r="K126" s="97"/>
    </row>
    <row r="127" spans="2:11" ht="13.5" thickBot="1">
      <c r="B127" s="98"/>
      <c r="C127" s="99"/>
      <c r="D127" s="103"/>
      <c r="E127" s="99"/>
      <c r="F127" s="106"/>
      <c r="G127" s="99"/>
      <c r="H127" s="99"/>
      <c r="I127" s="99"/>
      <c r="J127" s="99"/>
      <c r="K127" s="99"/>
    </row>
    <row r="128" spans="2:11">
      <c r="B128" s="94"/>
      <c r="C128" s="95"/>
      <c r="D128" s="101"/>
      <c r="E128" s="95"/>
      <c r="F128" s="104"/>
      <c r="G128" s="95"/>
      <c r="H128" s="95"/>
      <c r="I128" s="95"/>
      <c r="J128" s="95"/>
      <c r="K128" s="95"/>
    </row>
    <row r="129" spans="2:11">
      <c r="B129" s="96"/>
      <c r="C129" s="97"/>
      <c r="D129" s="102"/>
      <c r="E129" s="97"/>
      <c r="F129" s="105"/>
      <c r="G129" s="97"/>
      <c r="H129" s="97"/>
      <c r="I129" s="97"/>
      <c r="J129" s="97"/>
      <c r="K129" s="97"/>
    </row>
    <row r="130" spans="2:11">
      <c r="B130" s="96"/>
      <c r="C130" s="97"/>
      <c r="D130" s="102"/>
      <c r="E130" s="97"/>
      <c r="F130" s="105"/>
      <c r="G130" s="97"/>
      <c r="H130" s="97"/>
      <c r="I130" s="97"/>
      <c r="J130" s="97"/>
      <c r="K130" s="97"/>
    </row>
    <row r="131" spans="2:11">
      <c r="B131" s="96"/>
      <c r="C131" s="97"/>
      <c r="D131" s="102"/>
      <c r="E131" s="97"/>
      <c r="F131" s="105"/>
      <c r="G131" s="97"/>
      <c r="H131" s="97"/>
      <c r="I131" s="97"/>
      <c r="J131" s="97"/>
      <c r="K131" s="97"/>
    </row>
    <row r="132" spans="2:11">
      <c r="B132" s="96"/>
      <c r="C132" s="97"/>
      <c r="D132" s="102"/>
      <c r="E132" s="97"/>
      <c r="F132" s="105"/>
      <c r="G132" s="97"/>
      <c r="H132" s="97"/>
      <c r="I132" s="97"/>
      <c r="J132" s="97"/>
      <c r="K132" s="97"/>
    </row>
    <row r="133" spans="2:11">
      <c r="B133" s="96"/>
      <c r="C133" s="97"/>
      <c r="D133" s="102"/>
      <c r="E133" s="97"/>
      <c r="F133" s="105"/>
      <c r="G133" s="97"/>
      <c r="H133" s="97"/>
      <c r="I133" s="97"/>
      <c r="J133" s="97"/>
      <c r="K133" s="97"/>
    </row>
    <row r="134" spans="2:11">
      <c r="B134" s="96"/>
      <c r="C134" s="97"/>
      <c r="D134" s="102"/>
      <c r="E134" s="97"/>
      <c r="F134" s="105"/>
      <c r="G134" s="97"/>
      <c r="H134" s="97"/>
      <c r="I134" s="97"/>
      <c r="J134" s="97"/>
      <c r="K134" s="97"/>
    </row>
    <row r="135" spans="2:11">
      <c r="B135" s="96"/>
      <c r="C135" s="97"/>
      <c r="D135" s="102"/>
      <c r="E135" s="97"/>
      <c r="F135" s="105"/>
      <c r="G135" s="97"/>
      <c r="H135" s="97"/>
      <c r="I135" s="97"/>
      <c r="J135" s="97"/>
      <c r="K135" s="97"/>
    </row>
    <row r="136" spans="2:11">
      <c r="B136" s="96"/>
      <c r="C136" s="97"/>
      <c r="D136" s="102"/>
      <c r="E136" s="97"/>
      <c r="F136" s="105"/>
      <c r="G136" s="97"/>
      <c r="H136" s="97"/>
      <c r="I136" s="97"/>
      <c r="J136" s="97"/>
      <c r="K136" s="97"/>
    </row>
    <row r="137" spans="2:11">
      <c r="B137" s="96"/>
      <c r="C137" s="97"/>
      <c r="D137" s="102"/>
      <c r="E137" s="97"/>
      <c r="F137" s="105"/>
      <c r="G137" s="97"/>
      <c r="H137" s="97"/>
      <c r="I137" s="97"/>
      <c r="J137" s="97"/>
      <c r="K137" s="97"/>
    </row>
    <row r="138" spans="2:11">
      <c r="B138" s="96"/>
      <c r="C138" s="97"/>
      <c r="D138" s="102"/>
      <c r="E138" s="97"/>
      <c r="F138" s="105"/>
      <c r="G138" s="97"/>
      <c r="H138" s="97"/>
      <c r="I138" s="97"/>
      <c r="J138" s="97"/>
      <c r="K138" s="97"/>
    </row>
    <row r="139" spans="2:11" ht="13.5" thickBot="1">
      <c r="B139" s="98"/>
      <c r="C139" s="99"/>
      <c r="D139" s="103"/>
      <c r="E139" s="99"/>
      <c r="F139" s="106"/>
      <c r="G139" s="99"/>
      <c r="H139" s="99"/>
      <c r="I139" s="99"/>
      <c r="J139" s="99"/>
      <c r="K139" s="99"/>
    </row>
    <row r="140" spans="2:11">
      <c r="B140" s="94"/>
      <c r="C140" s="95"/>
      <c r="D140" s="101"/>
      <c r="E140" s="95"/>
      <c r="F140" s="104"/>
      <c r="G140" s="95"/>
      <c r="H140" s="95"/>
      <c r="I140" s="95"/>
      <c r="J140" s="95"/>
      <c r="K140" s="95"/>
    </row>
    <row r="141" spans="2:11">
      <c r="B141" s="96"/>
      <c r="C141" s="97"/>
      <c r="D141" s="102"/>
      <c r="E141" s="97"/>
      <c r="F141" s="105"/>
      <c r="G141" s="97"/>
      <c r="H141" s="97"/>
      <c r="I141" s="97"/>
      <c r="J141" s="97"/>
      <c r="K141" s="97"/>
    </row>
    <row r="142" spans="2:11">
      <c r="B142" s="96"/>
      <c r="C142" s="97"/>
      <c r="D142" s="102"/>
      <c r="E142" s="97"/>
      <c r="F142" s="105"/>
      <c r="G142" s="97"/>
      <c r="H142" s="97"/>
      <c r="I142" s="97"/>
      <c r="J142" s="97"/>
      <c r="K142" s="97"/>
    </row>
    <row r="143" spans="2:11">
      <c r="B143" s="96"/>
      <c r="C143" s="97"/>
      <c r="D143" s="102"/>
      <c r="E143" s="97"/>
      <c r="F143" s="105"/>
      <c r="G143" s="97"/>
      <c r="H143" s="97"/>
      <c r="I143" s="97"/>
      <c r="J143" s="97"/>
      <c r="K143" s="97"/>
    </row>
    <row r="144" spans="2:11">
      <c r="B144" s="96"/>
      <c r="C144" s="97"/>
      <c r="D144" s="102"/>
      <c r="E144" s="97"/>
      <c r="F144" s="105"/>
      <c r="G144" s="97"/>
      <c r="H144" s="97"/>
      <c r="I144" s="97"/>
      <c r="J144" s="97"/>
      <c r="K144" s="97"/>
    </row>
    <row r="145" spans="2:11">
      <c r="B145" s="96"/>
      <c r="C145" s="97"/>
      <c r="D145" s="102"/>
      <c r="E145" s="97"/>
      <c r="F145" s="105"/>
      <c r="G145" s="97"/>
      <c r="H145" s="97"/>
      <c r="I145" s="97"/>
      <c r="J145" s="97"/>
      <c r="K145" s="97"/>
    </row>
    <row r="146" spans="2:11">
      <c r="B146" s="96"/>
      <c r="C146" s="97"/>
      <c r="D146" s="102"/>
      <c r="E146" s="97"/>
      <c r="F146" s="105"/>
      <c r="G146" s="97"/>
      <c r="H146" s="97"/>
      <c r="I146" s="97"/>
      <c r="J146" s="97"/>
      <c r="K146" s="97"/>
    </row>
    <row r="147" spans="2:11">
      <c r="B147" s="96"/>
      <c r="C147" s="97"/>
      <c r="D147" s="102"/>
      <c r="E147" s="97"/>
      <c r="F147" s="105"/>
      <c r="G147" s="97"/>
      <c r="H147" s="97"/>
      <c r="I147" s="97"/>
      <c r="J147" s="97"/>
      <c r="K147" s="97"/>
    </row>
    <row r="148" spans="2:11">
      <c r="B148" s="96"/>
      <c r="C148" s="97"/>
      <c r="D148" s="102"/>
      <c r="E148" s="97"/>
      <c r="F148" s="105"/>
      <c r="G148" s="97"/>
      <c r="H148" s="97"/>
      <c r="I148" s="97"/>
      <c r="J148" s="97"/>
      <c r="K148" s="97"/>
    </row>
    <row r="149" spans="2:11">
      <c r="B149" s="96"/>
      <c r="C149" s="97"/>
      <c r="D149" s="102"/>
      <c r="E149" s="97"/>
      <c r="F149" s="105"/>
      <c r="G149" s="97"/>
      <c r="H149" s="97"/>
      <c r="I149" s="97"/>
      <c r="J149" s="97"/>
      <c r="K149" s="97"/>
    </row>
    <row r="150" spans="2:11">
      <c r="B150" s="96"/>
      <c r="C150" s="97"/>
      <c r="D150" s="102"/>
      <c r="E150" s="97"/>
      <c r="F150" s="105"/>
      <c r="G150" s="97"/>
      <c r="H150" s="97"/>
      <c r="I150" s="97"/>
      <c r="J150" s="97"/>
      <c r="K150" s="97"/>
    </row>
    <row r="151" spans="2:11" ht="13.5" thickBot="1">
      <c r="B151" s="98"/>
      <c r="C151" s="99"/>
      <c r="D151" s="103"/>
      <c r="E151" s="99"/>
      <c r="F151" s="106"/>
      <c r="G151" s="99"/>
      <c r="H151" s="99"/>
      <c r="I151" s="99"/>
      <c r="J151" s="99"/>
      <c r="K151" s="99"/>
    </row>
    <row r="152" spans="2:11">
      <c r="B152" s="94"/>
      <c r="C152" s="95"/>
      <c r="D152" s="101"/>
      <c r="E152" s="95"/>
      <c r="F152" s="104"/>
      <c r="G152" s="95"/>
      <c r="H152" s="95"/>
      <c r="I152" s="95"/>
      <c r="J152" s="95"/>
      <c r="K152" s="95"/>
    </row>
    <row r="153" spans="2:11">
      <c r="B153" s="96"/>
      <c r="C153" s="97"/>
      <c r="D153" s="102"/>
      <c r="E153" s="97"/>
      <c r="F153" s="105"/>
      <c r="G153" s="97"/>
      <c r="H153" s="97"/>
      <c r="I153" s="97"/>
      <c r="J153" s="97"/>
      <c r="K153" s="97"/>
    </row>
    <row r="154" spans="2:11">
      <c r="B154" s="96"/>
      <c r="C154" s="97"/>
      <c r="D154" s="102"/>
      <c r="E154" s="97"/>
      <c r="F154" s="105"/>
      <c r="G154" s="97"/>
      <c r="H154" s="97"/>
      <c r="I154" s="97"/>
      <c r="J154" s="97"/>
      <c r="K154" s="97"/>
    </row>
    <row r="155" spans="2:11">
      <c r="B155" s="96"/>
      <c r="C155" s="97"/>
      <c r="D155" s="102"/>
      <c r="E155" s="97"/>
      <c r="F155" s="105"/>
      <c r="G155" s="97"/>
      <c r="H155" s="97"/>
      <c r="I155" s="97"/>
      <c r="J155" s="97"/>
      <c r="K155" s="97"/>
    </row>
    <row r="156" spans="2:11">
      <c r="B156" s="96"/>
      <c r="C156" s="97"/>
      <c r="D156" s="102"/>
      <c r="E156" s="97"/>
      <c r="F156" s="105"/>
      <c r="G156" s="97"/>
      <c r="H156" s="97"/>
      <c r="I156" s="97"/>
      <c r="J156" s="97"/>
      <c r="K156" s="97"/>
    </row>
    <row r="157" spans="2:11">
      <c r="B157" s="96"/>
      <c r="C157" s="97"/>
      <c r="D157" s="102"/>
      <c r="E157" s="97"/>
      <c r="F157" s="105"/>
      <c r="G157" s="97"/>
      <c r="H157" s="97"/>
      <c r="I157" s="97"/>
      <c r="J157" s="97"/>
      <c r="K157" s="97"/>
    </row>
    <row r="158" spans="2:11">
      <c r="B158" s="96"/>
      <c r="C158" s="97"/>
      <c r="D158" s="102"/>
      <c r="E158" s="97"/>
      <c r="F158" s="105"/>
      <c r="G158" s="97"/>
      <c r="H158" s="97"/>
      <c r="I158" s="97"/>
      <c r="J158" s="97"/>
      <c r="K158" s="97"/>
    </row>
    <row r="159" spans="2:11">
      <c r="B159" s="96"/>
      <c r="C159" s="97"/>
      <c r="D159" s="102"/>
      <c r="E159" s="97"/>
      <c r="F159" s="105"/>
      <c r="G159" s="97"/>
      <c r="H159" s="97"/>
      <c r="I159" s="97"/>
      <c r="J159" s="97"/>
      <c r="K159" s="97"/>
    </row>
    <row r="160" spans="2:11">
      <c r="B160" s="96"/>
      <c r="C160" s="97"/>
      <c r="D160" s="102"/>
      <c r="E160" s="97"/>
      <c r="F160" s="105"/>
      <c r="G160" s="97"/>
      <c r="H160" s="97"/>
      <c r="I160" s="97"/>
      <c r="J160" s="97"/>
      <c r="K160" s="97"/>
    </row>
    <row r="161" spans="2:11">
      <c r="B161" s="96"/>
      <c r="C161" s="97"/>
      <c r="D161" s="102"/>
      <c r="E161" s="97"/>
      <c r="F161" s="105"/>
      <c r="G161" s="97"/>
      <c r="H161" s="97"/>
      <c r="I161" s="97"/>
      <c r="J161" s="97"/>
      <c r="K161" s="97"/>
    </row>
    <row r="162" spans="2:11">
      <c r="B162" s="96"/>
      <c r="C162" s="97"/>
      <c r="D162" s="102"/>
      <c r="E162" s="97"/>
      <c r="F162" s="105"/>
      <c r="G162" s="97"/>
      <c r="H162" s="97"/>
      <c r="I162" s="97"/>
      <c r="J162" s="97"/>
      <c r="K162" s="97"/>
    </row>
    <row r="163" spans="2:11" ht="13.5" thickBot="1">
      <c r="B163" s="98"/>
      <c r="C163" s="99"/>
      <c r="D163" s="103"/>
      <c r="E163" s="99"/>
      <c r="F163" s="106"/>
      <c r="G163" s="99"/>
      <c r="H163" s="99"/>
      <c r="I163" s="99"/>
      <c r="J163" s="99"/>
      <c r="K163" s="99"/>
    </row>
    <row r="164" spans="2:11">
      <c r="B164" s="94"/>
      <c r="C164" s="95"/>
      <c r="D164" s="101"/>
      <c r="E164" s="95"/>
      <c r="F164" s="104"/>
      <c r="G164" s="95"/>
      <c r="H164" s="95"/>
      <c r="I164" s="95"/>
      <c r="J164" s="95"/>
      <c r="K164" s="95"/>
    </row>
    <row r="165" spans="2:11">
      <c r="B165" s="96"/>
      <c r="C165" s="97"/>
      <c r="D165" s="102"/>
      <c r="E165" s="97"/>
      <c r="F165" s="105"/>
      <c r="G165" s="97"/>
      <c r="H165" s="97"/>
      <c r="I165" s="97"/>
      <c r="J165" s="97"/>
      <c r="K165" s="97"/>
    </row>
    <row r="166" spans="2:11">
      <c r="B166" s="96"/>
      <c r="C166" s="97"/>
      <c r="D166" s="102"/>
      <c r="E166" s="97"/>
      <c r="F166" s="105"/>
      <c r="G166" s="97"/>
      <c r="H166" s="97"/>
      <c r="I166" s="97"/>
      <c r="J166" s="97"/>
      <c r="K166" s="97"/>
    </row>
    <row r="167" spans="2:11">
      <c r="B167" s="96"/>
      <c r="C167" s="97"/>
      <c r="D167" s="102"/>
      <c r="E167" s="97"/>
      <c r="F167" s="105"/>
      <c r="G167" s="97"/>
      <c r="H167" s="97"/>
      <c r="I167" s="97"/>
      <c r="J167" s="97"/>
      <c r="K167" s="97"/>
    </row>
    <row r="168" spans="2:11">
      <c r="B168" s="96"/>
      <c r="C168" s="97"/>
      <c r="D168" s="102"/>
      <c r="E168" s="97"/>
      <c r="F168" s="105"/>
      <c r="G168" s="97"/>
      <c r="H168" s="97"/>
      <c r="I168" s="97"/>
      <c r="J168" s="97"/>
      <c r="K168" s="97"/>
    </row>
    <row r="169" spans="2:11">
      <c r="B169" s="96"/>
      <c r="C169" s="97"/>
      <c r="D169" s="102"/>
      <c r="E169" s="97"/>
      <c r="F169" s="105"/>
      <c r="G169" s="97"/>
      <c r="H169" s="97"/>
      <c r="I169" s="97"/>
      <c r="J169" s="97"/>
      <c r="K169" s="97"/>
    </row>
    <row r="170" spans="2:11">
      <c r="B170" s="96"/>
      <c r="C170" s="97"/>
      <c r="D170" s="102"/>
      <c r="E170" s="97"/>
      <c r="F170" s="105"/>
      <c r="G170" s="97"/>
      <c r="H170" s="97"/>
      <c r="I170" s="97"/>
      <c r="J170" s="97"/>
      <c r="K170" s="97"/>
    </row>
    <row r="171" spans="2:11">
      <c r="B171" s="96"/>
      <c r="C171" s="97"/>
      <c r="D171" s="102"/>
      <c r="E171" s="97"/>
      <c r="F171" s="105"/>
      <c r="G171" s="97"/>
      <c r="H171" s="97"/>
      <c r="I171" s="97"/>
      <c r="J171" s="97"/>
      <c r="K171" s="97"/>
    </row>
    <row r="172" spans="2:11">
      <c r="B172" s="96"/>
      <c r="C172" s="97"/>
      <c r="D172" s="102"/>
      <c r="E172" s="97"/>
      <c r="F172" s="105"/>
      <c r="G172" s="97"/>
      <c r="H172" s="97"/>
      <c r="I172" s="97"/>
      <c r="J172" s="97"/>
      <c r="K172" s="97"/>
    </row>
    <row r="173" spans="2:11">
      <c r="B173" s="96"/>
      <c r="C173" s="97"/>
      <c r="D173" s="102"/>
      <c r="E173" s="97"/>
      <c r="F173" s="105"/>
      <c r="G173" s="97"/>
      <c r="H173" s="97"/>
      <c r="I173" s="97"/>
      <c r="J173" s="97"/>
      <c r="K173" s="97"/>
    </row>
    <row r="174" spans="2:11">
      <c r="B174" s="96"/>
      <c r="C174" s="97"/>
      <c r="D174" s="102"/>
      <c r="E174" s="97"/>
      <c r="F174" s="105"/>
      <c r="G174" s="97"/>
      <c r="H174" s="97"/>
      <c r="I174" s="97"/>
      <c r="J174" s="97"/>
      <c r="K174" s="97"/>
    </row>
    <row r="175" spans="2:11" ht="13.5" thickBot="1">
      <c r="B175" s="98"/>
      <c r="C175" s="99"/>
      <c r="D175" s="103"/>
      <c r="E175" s="99"/>
      <c r="F175" s="106"/>
      <c r="G175" s="99"/>
      <c r="H175" s="99"/>
      <c r="I175" s="99"/>
      <c r="J175" s="99"/>
      <c r="K175" s="99"/>
    </row>
    <row r="176" spans="2:11">
      <c r="B176" s="94"/>
      <c r="C176" s="95"/>
      <c r="D176" s="111"/>
      <c r="E176" s="112"/>
      <c r="F176" s="113"/>
      <c r="G176" s="114"/>
      <c r="H176" s="95"/>
      <c r="I176" s="114"/>
      <c r="J176" s="114"/>
      <c r="K176" s="114"/>
    </row>
    <row r="177" spans="2:3">
      <c r="B177" s="96"/>
      <c r="C177" s="110"/>
    </row>
    <row r="178" spans="2:3">
      <c r="B178" s="96"/>
      <c r="C178" s="97"/>
    </row>
    <row r="179" spans="2:3">
      <c r="B179" s="96"/>
      <c r="C179" s="97"/>
    </row>
    <row r="180" spans="2:3">
      <c r="B180" s="96"/>
      <c r="C180" s="97"/>
    </row>
    <row r="181" spans="2:3">
      <c r="B181" s="96"/>
      <c r="C181" s="97"/>
    </row>
    <row r="182" spans="2:3">
      <c r="B182" s="96"/>
      <c r="C182" s="97"/>
    </row>
    <row r="183" spans="2:3">
      <c r="B183" s="96"/>
      <c r="C183" s="97"/>
    </row>
    <row r="184" spans="2:3">
      <c r="B184" s="96"/>
      <c r="C184" s="97"/>
    </row>
    <row r="185" spans="2:3">
      <c r="B185" s="96"/>
      <c r="C185" s="97"/>
    </row>
    <row r="186" spans="2:3">
      <c r="B186" s="96"/>
      <c r="C186" s="97"/>
    </row>
    <row r="187" spans="2:3" ht="13.5" thickBot="1">
      <c r="B187" s="98"/>
      <c r="C187" s="99"/>
    </row>
  </sheetData>
  <mergeCells count="2">
    <mergeCell ref="J6:O6"/>
    <mergeCell ref="P6:Q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7PSourceSummary</vt:lpstr>
      <vt:lpstr>forRPM</vt:lpstr>
      <vt:lpstr>SC-Retro</vt:lpstr>
      <vt:lpstr>Accomplishments</vt:lpstr>
      <vt:lpstr>M_Input_Out</vt:lpstr>
      <vt:lpstr>M_Input</vt:lpstr>
      <vt:lpstr>Composite</vt:lpstr>
      <vt:lpstr>Pump Sizes</vt:lpstr>
      <vt:lpstr>Raw</vt:lpstr>
      <vt:lpstr>SavingsAnalysis</vt:lpstr>
      <vt:lpstr>CostAnalysis</vt:lpstr>
      <vt:lpstr>Life</vt:lpstr>
      <vt:lpstr>Deflator</vt:lpstr>
      <vt:lpstr>MeasureOutput</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Jayaweera</dc:creator>
  <cp:lastModifiedBy>Tina Jayaweera</cp:lastModifiedBy>
  <dcterms:created xsi:type="dcterms:W3CDTF">2014-08-11T21:52:53Z</dcterms:created>
  <dcterms:modified xsi:type="dcterms:W3CDTF">2015-03-16T23:22:09Z</dcterms:modified>
</cp:coreProperties>
</file>