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10" yWindow="840" windowWidth="20730" windowHeight="10125" activeTab="11"/>
  </bookViews>
  <sheets>
    <sheet name="Overview" sheetId="24" r:id="rId1"/>
    <sheet name="Update Log" sheetId="58" r:id="rId2"/>
    <sheet name="MLIST" sheetId="56" r:id="rId3"/>
    <sheet name="FILES" sheetId="20" r:id="rId4"/>
    <sheet name="APPLIC" sheetId="59" r:id="rId5"/>
    <sheet name="FEAS" sheetId="1" r:id="rId6"/>
    <sheet name="BASE" sheetId="19" r:id="rId7"/>
    <sheet name="STOCK" sheetId="3" r:id="rId8"/>
    <sheet name="TURN" sheetId="4" r:id="rId9"/>
    <sheet name="ACHIEV" sheetId="55" r:id="rId10"/>
    <sheet name="CODE" sheetId="37" r:id="rId11"/>
    <sheet name="SATS" sheetId="7" r:id="rId12"/>
    <sheet name="Water Applied by Crop" sheetId="61" r:id="rId13"/>
    <sheet name="Water Use by Sprinklers" sheetId="62" r:id="rId14"/>
    <sheet name="Energy Expense" sheetId="63" r:id="rId15"/>
    <sheet name="Depth of Wells" sheetId="65" r:id="rId16"/>
    <sheet name="Water Use by All Methods" sheetId="64" r:id="rId17"/>
    <sheet name="Applic Acres" sheetId="57" r:id="rId18"/>
    <sheet name="Vars" sheetId="9" r:id="rId19"/>
    <sheet name="Labels" sheetId="11" r:id="rId20"/>
    <sheet name="Lookup" sheetId="12" r:id="rId21"/>
    <sheet name="UEC" sheetId="13" r:id="rId22"/>
    <sheet name="Tracking Status" sheetId="60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9" hidden="1">ACHIEV!$A$18:$AC$18</definedName>
    <definedName name="_xlnm._FilterDatabase" localSheetId="5" hidden="1">FEAS!$A$8:$F$67</definedName>
    <definedName name="_xlnm._FilterDatabase" localSheetId="3" hidden="1">FILES!$A$9:$N$102</definedName>
    <definedName name="_xlnm._FilterDatabase" localSheetId="2" hidden="1">MLIST!$A$9:$F$9</definedName>
    <definedName name="_xlnm._FilterDatabase" localSheetId="7" hidden="1">STOCK!$A$8:$H$102</definedName>
    <definedName name="_xlnm._FilterDatabase" localSheetId="22" hidden="1">'Tracking Status'!$A$1:$I$47</definedName>
    <definedName name="_xlnm._FilterDatabase" localSheetId="8" hidden="1">TURN!$A$8:$G$44</definedName>
    <definedName name="_Key1" localSheetId="15" hidden="1">#REF!</definedName>
    <definedName name="_Key1" localSheetId="14" hidden="1">#REF!</definedName>
    <definedName name="_Key1" localSheetId="19" hidden="1">[1]ProData!$O$27</definedName>
    <definedName name="_Key1" localSheetId="12" hidden="1">#REF!</definedName>
    <definedName name="_Key1" localSheetId="16" hidden="1">#REF!</definedName>
    <definedName name="_Key1" localSheetId="13" hidden="1">#REF!</definedName>
    <definedName name="_Key1" hidden="1">#REF!</definedName>
    <definedName name="_Key1old" hidden="1">#REF!</definedName>
    <definedName name="_Order1" hidden="1">255</definedName>
    <definedName name="_Sort" localSheetId="15" hidden="1">#REF!</definedName>
    <definedName name="_Sort" localSheetId="14" hidden="1">#REF!</definedName>
    <definedName name="_Sort" localSheetId="19" hidden="1">[1]ProData!$A$28:$CD$34</definedName>
    <definedName name="_Sort" localSheetId="12" hidden="1">#REF!</definedName>
    <definedName name="_Sort" localSheetId="16" hidden="1">#REF!</definedName>
    <definedName name="_Sort" localSheetId="13" hidden="1">#REF!</definedName>
    <definedName name="_Sort" hidden="1">#REF!</definedName>
    <definedName name="_SortOld" hidden="1">#REF!</definedName>
    <definedName name="aaaa">[0]!aaaa</definedName>
    <definedName name="Achiev">ACHIEV!$B$18:$X$137</definedName>
    <definedName name="anscount" hidden="1">1</definedName>
    <definedName name="atest">"a15:c19"</definedName>
    <definedName name="CBWorkbookPriority" hidden="1">-738590518</definedName>
    <definedName name="limcount" hidden="1">1</definedName>
    <definedName name="MeasureOutput">#REF!</definedName>
    <definedName name="PC_Main" localSheetId="15">'Depth of Wells'!PC_Main</definedName>
    <definedName name="PC_Main" localSheetId="14">#N/A</definedName>
    <definedName name="PC_Main" localSheetId="16">#N/A</definedName>
    <definedName name="PC_Main" localSheetId="13">#N/A</definedName>
    <definedName name="PC_Main">#N/A</definedName>
    <definedName name="POST2015Sat">SATS!$B$88:$F$153</definedName>
    <definedName name="PRE2015Sat">SATS!$B$10:$F$85</definedName>
    <definedName name="_xlnm.Print_Area" localSheetId="5">FEAS!$B$1:$F$66</definedName>
    <definedName name="_xlnm.Print_Area" localSheetId="11">SATS!$A$1:$F$194</definedName>
    <definedName name="sencount" hidden="1">1</definedName>
    <definedName name="sort" hidden="1">#REF!</definedName>
    <definedName name="TestMeasure" localSheetId="15">'Depth of Wells'!TestMeasure</definedName>
    <definedName name="TestMeasure" localSheetId="14">#N/A</definedName>
    <definedName name="TestMeasure" localSheetId="16">#N/A</definedName>
    <definedName name="TestMeasure" localSheetId="13">#N/A</definedName>
    <definedName name="TestMeasure">#N/A</definedName>
    <definedName name="VSTOCK">Lookup!$C$4:$D$20</definedName>
  </definedNames>
  <calcPr calcId="125725"/>
</workbook>
</file>

<file path=xl/calcChain.xml><?xml version="1.0" encoding="utf-8"?>
<calcChain xmlns="http://schemas.openxmlformats.org/spreadsheetml/2006/main">
  <c r="D21" i="7"/>
  <c r="D20"/>
  <c r="D19"/>
  <c r="D18"/>
  <c r="D17"/>
  <c r="D16"/>
  <c r="D15"/>
  <c r="D14"/>
  <c r="D13"/>
  <c r="D12"/>
  <c r="D11"/>
  <c r="H8" i="64"/>
  <c r="G8"/>
  <c r="E8"/>
  <c r="D8"/>
  <c r="B8"/>
  <c r="O33" i="7"/>
  <c r="O35" s="1"/>
  <c r="H11" i="20" l="1"/>
  <c r="H12" l="1"/>
  <c r="H13" l="1"/>
  <c r="H14" l="1"/>
  <c r="H15" l="1"/>
  <c r="B46" i="63"/>
  <c r="B45"/>
  <c r="B44"/>
  <c r="B43"/>
  <c r="F36" i="19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A10" i="59" l="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9"/>
  <c r="W25" i="5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W24" l="1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D23" l="1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Y9" l="1"/>
  <c r="Y10"/>
  <c r="Y11"/>
  <c r="W22" l="1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41" i="59" l="1"/>
  <c r="D41"/>
  <c r="E41"/>
  <c r="F41"/>
  <c r="C37"/>
  <c r="D37"/>
  <c r="E37"/>
  <c r="F37"/>
  <c r="C38"/>
  <c r="D38"/>
  <c r="E38"/>
  <c r="F38"/>
  <c r="C39"/>
  <c r="D39"/>
  <c r="E39"/>
  <c r="F39"/>
  <c r="C40"/>
  <c r="D40"/>
  <c r="E40"/>
  <c r="F40"/>
  <c r="B38" i="19"/>
  <c r="B39"/>
  <c r="B40"/>
  <c r="B41"/>
  <c r="B38" i="1"/>
  <c r="B39"/>
  <c r="B40"/>
  <c r="B41"/>
  <c r="B42"/>
  <c r="B43"/>
  <c r="B41" i="59"/>
  <c r="B38"/>
  <c r="B39"/>
  <c r="B40"/>
  <c r="D38" i="56"/>
  <c r="D39"/>
  <c r="D40"/>
  <c r="D41"/>
  <c r="D42"/>
  <c r="D21" i="55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D30" i="59" l="1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C36"/>
  <c r="C35"/>
  <c r="C34"/>
  <c r="C33"/>
  <c r="C32"/>
  <c r="C31"/>
  <c r="C30"/>
  <c r="B36" i="4"/>
  <c r="B31"/>
  <c r="B32"/>
  <c r="B33"/>
  <c r="B34"/>
  <c r="B35"/>
  <c r="B37" i="19"/>
  <c r="B36"/>
  <c r="B31"/>
  <c r="B32"/>
  <c r="B33"/>
  <c r="B34"/>
  <c r="B35"/>
  <c r="B31" i="1"/>
  <c r="B32"/>
  <c r="B33"/>
  <c r="B34"/>
  <c r="B35"/>
  <c r="B36"/>
  <c r="B37"/>
  <c r="B35" i="59"/>
  <c r="B36"/>
  <c r="B37"/>
  <c r="B30"/>
  <c r="B31"/>
  <c r="B32"/>
  <c r="B33"/>
  <c r="B34"/>
  <c r="D31" i="56"/>
  <c r="D32"/>
  <c r="D33"/>
  <c r="D34"/>
  <c r="D35"/>
  <c r="D36"/>
  <c r="D37"/>
  <c r="W20" i="55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Q23" i="65"/>
  <c r="Q24"/>
  <c r="Q25"/>
  <c r="Q22"/>
  <c r="B29" i="4"/>
  <c r="B30"/>
  <c r="B29" i="19"/>
  <c r="B30"/>
  <c r="B29" i="1"/>
  <c r="B30"/>
  <c r="B29" i="59"/>
  <c r="Y14" i="55"/>
  <c r="Y15"/>
  <c r="Y13"/>
  <c r="Y12"/>
  <c r="Z12" s="1"/>
  <c r="Y7"/>
  <c r="Y4"/>
  <c r="AA4" s="1"/>
  <c r="Y3"/>
  <c r="Z3" s="1"/>
  <c r="Y2"/>
  <c r="Y1"/>
  <c r="Z1" s="1"/>
  <c r="AA1"/>
  <c r="H36" i="63"/>
  <c r="J36" s="1"/>
  <c r="K36" s="1"/>
  <c r="H35"/>
  <c r="J35" s="1"/>
  <c r="K35" s="1"/>
  <c r="H34"/>
  <c r="J34" s="1"/>
  <c r="K34" s="1"/>
  <c r="H33"/>
  <c r="J33" s="1"/>
  <c r="K33" s="1"/>
  <c r="X27" i="62"/>
  <c r="W27"/>
  <c r="U27"/>
  <c r="T27"/>
  <c r="N27"/>
  <c r="O27"/>
  <c r="K27"/>
  <c r="L27"/>
  <c r="I27"/>
  <c r="H27"/>
  <c r="E27"/>
  <c r="F27"/>
  <c r="C27"/>
  <c r="B27"/>
  <c r="B47" i="63"/>
  <c r="D9" i="1"/>
  <c r="K33" i="65"/>
  <c r="I33" i="63"/>
  <c r="I36"/>
  <c r="I35"/>
  <c r="I34"/>
  <c r="F34"/>
  <c r="F35"/>
  <c r="F36"/>
  <c r="F33"/>
  <c r="C33"/>
  <c r="C34"/>
  <c r="C35"/>
  <c r="C36"/>
  <c r="B34"/>
  <c r="B35"/>
  <c r="B36"/>
  <c r="B33"/>
  <c r="AC27" i="62"/>
  <c r="AC26"/>
  <c r="AC25"/>
  <c r="AC24"/>
  <c r="AC23"/>
  <c r="F11" i="7"/>
  <c r="E11"/>
  <c r="C11"/>
  <c r="L10" i="65"/>
  <c r="M10"/>
  <c r="N10"/>
  <c r="O10"/>
  <c r="L11"/>
  <c r="M11"/>
  <c r="N11"/>
  <c r="O11"/>
  <c r="L12"/>
  <c r="M12"/>
  <c r="N12"/>
  <c r="O12"/>
  <c r="L13"/>
  <c r="M13"/>
  <c r="N13"/>
  <c r="O13"/>
  <c r="B14"/>
  <c r="C14"/>
  <c r="D14"/>
  <c r="E14"/>
  <c r="F14"/>
  <c r="G14"/>
  <c r="N14"/>
  <c r="O14"/>
  <c r="H14"/>
  <c r="I14"/>
  <c r="J14"/>
  <c r="K14"/>
  <c r="M14"/>
  <c r="O22"/>
  <c r="O25"/>
  <c r="B26"/>
  <c r="C26"/>
  <c r="O23"/>
  <c r="B37"/>
  <c r="C37"/>
  <c r="K35"/>
  <c r="K37"/>
  <c r="B11" i="64"/>
  <c r="D11"/>
  <c r="E11"/>
  <c r="G11" i="7" s="1"/>
  <c r="G11" i="64"/>
  <c r="H11"/>
  <c r="J11"/>
  <c r="K11"/>
  <c r="B16"/>
  <c r="D16"/>
  <c r="E16"/>
  <c r="G16"/>
  <c r="H16"/>
  <c r="J16"/>
  <c r="K16"/>
  <c r="L16"/>
  <c r="B17"/>
  <c r="D17"/>
  <c r="D20" s="1"/>
  <c r="E17"/>
  <c r="E20" s="1"/>
  <c r="G17"/>
  <c r="H17"/>
  <c r="J17"/>
  <c r="J20"/>
  <c r="K17"/>
  <c r="B18"/>
  <c r="D18"/>
  <c r="E18"/>
  <c r="G18"/>
  <c r="H18"/>
  <c r="J18"/>
  <c r="K18"/>
  <c r="L18"/>
  <c r="B19"/>
  <c r="D19"/>
  <c r="E19"/>
  <c r="G19"/>
  <c r="H19"/>
  <c r="J19"/>
  <c r="K19"/>
  <c r="L19"/>
  <c r="G20"/>
  <c r="K20"/>
  <c r="L20"/>
  <c r="D9" i="63"/>
  <c r="D33"/>
  <c r="H9"/>
  <c r="P9"/>
  <c r="R9"/>
  <c r="D10"/>
  <c r="D34"/>
  <c r="H10"/>
  <c r="R10"/>
  <c r="D11"/>
  <c r="D35"/>
  <c r="H11"/>
  <c r="R11"/>
  <c r="D12"/>
  <c r="D36"/>
  <c r="H12"/>
  <c r="Q12"/>
  <c r="R12"/>
  <c r="B13"/>
  <c r="C13"/>
  <c r="D13"/>
  <c r="E13"/>
  <c r="P10"/>
  <c r="F13"/>
  <c r="Q9"/>
  <c r="G13"/>
  <c r="I13"/>
  <c r="J13"/>
  <c r="K13"/>
  <c r="L13"/>
  <c r="M13"/>
  <c r="N13"/>
  <c r="O13"/>
  <c r="Q13"/>
  <c r="D22"/>
  <c r="D23"/>
  <c r="D24"/>
  <c r="D25"/>
  <c r="B26"/>
  <c r="C26"/>
  <c r="D8" i="62"/>
  <c r="M8"/>
  <c r="P8"/>
  <c r="Y8"/>
  <c r="AB8"/>
  <c r="AC8"/>
  <c r="J9"/>
  <c r="M9"/>
  <c r="V9"/>
  <c r="Y9"/>
  <c r="AC9"/>
  <c r="D10"/>
  <c r="M10"/>
  <c r="P10"/>
  <c r="Y10"/>
  <c r="AB10"/>
  <c r="AC10"/>
  <c r="J11"/>
  <c r="M11"/>
  <c r="V11"/>
  <c r="Y11"/>
  <c r="AC11"/>
  <c r="B12"/>
  <c r="C12"/>
  <c r="AC12"/>
  <c r="E12"/>
  <c r="F12"/>
  <c r="G9"/>
  <c r="H12"/>
  <c r="I12"/>
  <c r="J8"/>
  <c r="J12"/>
  <c r="K12"/>
  <c r="L12"/>
  <c r="M12"/>
  <c r="N12"/>
  <c r="O12"/>
  <c r="P9"/>
  <c r="Q12"/>
  <c r="R12"/>
  <c r="S9"/>
  <c r="T12"/>
  <c r="U12"/>
  <c r="V8"/>
  <c r="V12"/>
  <c r="W12"/>
  <c r="X12"/>
  <c r="Y12"/>
  <c r="Z12"/>
  <c r="AA12"/>
  <c r="AB9"/>
  <c r="N9" i="61"/>
  <c r="O9"/>
  <c r="N10"/>
  <c r="O10"/>
  <c r="Q10"/>
  <c r="N11"/>
  <c r="P11"/>
  <c r="O11"/>
  <c r="Q11"/>
  <c r="N12"/>
  <c r="O12"/>
  <c r="Q12"/>
  <c r="B13"/>
  <c r="C13"/>
  <c r="E13"/>
  <c r="F13"/>
  <c r="G13"/>
  <c r="R12"/>
  <c r="J13"/>
  <c r="K13"/>
  <c r="M13"/>
  <c r="B24"/>
  <c r="C24"/>
  <c r="D24"/>
  <c r="F24"/>
  <c r="G24"/>
  <c r="H24"/>
  <c r="J24"/>
  <c r="K24"/>
  <c r="L24"/>
  <c r="B35"/>
  <c r="C35"/>
  <c r="D35"/>
  <c r="F35"/>
  <c r="G35"/>
  <c r="H35"/>
  <c r="J35"/>
  <c r="K35"/>
  <c r="L35"/>
  <c r="B46"/>
  <c r="C46"/>
  <c r="D46"/>
  <c r="F46"/>
  <c r="G46"/>
  <c r="H46"/>
  <c r="J46"/>
  <c r="K46"/>
  <c r="L46"/>
  <c r="N46"/>
  <c r="O46"/>
  <c r="P46"/>
  <c r="B57"/>
  <c r="C57"/>
  <c r="D57"/>
  <c r="F57"/>
  <c r="G57"/>
  <c r="H57"/>
  <c r="J57"/>
  <c r="K57"/>
  <c r="L57"/>
  <c r="N57"/>
  <c r="O57"/>
  <c r="P57"/>
  <c r="G17" i="7"/>
  <c r="F17"/>
  <c r="E17"/>
  <c r="C17"/>
  <c r="B16"/>
  <c r="B17"/>
  <c r="G36" i="63"/>
  <c r="E36"/>
  <c r="H13"/>
  <c r="P13"/>
  <c r="P12"/>
  <c r="Q11"/>
  <c r="E35"/>
  <c r="G35"/>
  <c r="E34"/>
  <c r="G34"/>
  <c r="E33"/>
  <c r="G33"/>
  <c r="D26"/>
  <c r="E26" i="65"/>
  <c r="D37"/>
  <c r="L14"/>
  <c r="I37"/>
  <c r="E37"/>
  <c r="K36"/>
  <c r="O26"/>
  <c r="D26"/>
  <c r="O24"/>
  <c r="G26"/>
  <c r="G37"/>
  <c r="K34"/>
  <c r="H37"/>
  <c r="L17" i="64"/>
  <c r="H20"/>
  <c r="I16" s="1"/>
  <c r="R13" i="63"/>
  <c r="P11"/>
  <c r="Q10"/>
  <c r="N13" i="61"/>
  <c r="P12"/>
  <c r="G12" i="62"/>
  <c r="S10"/>
  <c r="G10"/>
  <c r="G8"/>
  <c r="O13" i="61"/>
  <c r="Q13"/>
  <c r="P10"/>
  <c r="AB12" i="62"/>
  <c r="P12"/>
  <c r="D12"/>
  <c r="AB11"/>
  <c r="P11"/>
  <c r="D11"/>
  <c r="V10"/>
  <c r="J10"/>
  <c r="D9"/>
  <c r="Q9" i="61"/>
  <c r="S12" i="62"/>
  <c r="S8"/>
  <c r="S11"/>
  <c r="G11"/>
  <c r="R10" i="61"/>
  <c r="L13"/>
  <c r="D13"/>
  <c r="R11"/>
  <c r="P9"/>
  <c r="C18" i="7"/>
  <c r="Q57" i="61"/>
  <c r="M57"/>
  <c r="I57"/>
  <c r="E57"/>
  <c r="Q46"/>
  <c r="M46"/>
  <c r="I46"/>
  <c r="E46"/>
  <c r="M35"/>
  <c r="I35"/>
  <c r="E35"/>
  <c r="M24"/>
  <c r="I24"/>
  <c r="E24"/>
  <c r="R13"/>
  <c r="R9"/>
  <c r="H13"/>
  <c r="I13"/>
  <c r="C16" i="59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B15" i="1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10" i="19"/>
  <c r="B18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D30" i="56"/>
  <c r="D27"/>
  <c r="B26" i="19"/>
  <c r="D28" i="56"/>
  <c r="D29"/>
  <c r="D11"/>
  <c r="D12"/>
  <c r="B11" i="19"/>
  <c r="D13" i="56"/>
  <c r="B12" i="19"/>
  <c r="D14" i="56"/>
  <c r="B13" i="19"/>
  <c r="D15" i="56"/>
  <c r="B14" i="1"/>
  <c r="D16" i="56"/>
  <c r="D17"/>
  <c r="B16" i="4"/>
  <c r="D18" i="56"/>
  <c r="B17" i="19"/>
  <c r="D19" i="56"/>
  <c r="B18" i="4"/>
  <c r="D20" i="56"/>
  <c r="D21"/>
  <c r="B20" i="59"/>
  <c r="D22" i="56"/>
  <c r="B21" i="19"/>
  <c r="D23" i="56"/>
  <c r="B22" i="4"/>
  <c r="D24" i="56"/>
  <c r="D25"/>
  <c r="B24" i="4"/>
  <c r="D26" i="56"/>
  <c r="B25" i="19"/>
  <c r="D10" i="56"/>
  <c r="G12" i="7"/>
  <c r="F12"/>
  <c r="E12"/>
  <c r="C12"/>
  <c r="B12"/>
  <c r="G16"/>
  <c r="F16"/>
  <c r="E16"/>
  <c r="C16"/>
  <c r="C19"/>
  <c r="G21"/>
  <c r="F21"/>
  <c r="E21"/>
  <c r="C21"/>
  <c r="B28" i="4"/>
  <c r="B28" i="59"/>
  <c r="B28" i="1"/>
  <c r="B28" i="19"/>
  <c r="B19" i="4"/>
  <c r="B26" i="59"/>
  <c r="B26" i="1"/>
  <c r="B26" i="4"/>
  <c r="B27" i="1"/>
  <c r="B27" i="59"/>
  <c r="B27" i="19"/>
  <c r="B27" i="4"/>
  <c r="B19" i="19"/>
  <c r="B19" i="1"/>
  <c r="B23" i="4"/>
  <c r="B22" i="19"/>
  <c r="B14"/>
  <c r="B23" i="1"/>
  <c r="B23" i="19"/>
  <c r="B15"/>
  <c r="B24" i="59"/>
  <c r="B20" i="1"/>
  <c r="B21" i="59"/>
  <c r="B20" i="4"/>
  <c r="B24" i="19"/>
  <c r="B20"/>
  <c r="B16"/>
  <c r="B25" i="1"/>
  <c r="B21"/>
  <c r="B17"/>
  <c r="B22" i="59"/>
  <c r="B25" i="4"/>
  <c r="B21"/>
  <c r="B17"/>
  <c r="B24" i="1"/>
  <c r="B16"/>
  <c r="B25" i="59"/>
  <c r="B22" i="1"/>
  <c r="B18"/>
  <c r="B23" i="59"/>
  <c r="B19"/>
  <c r="F37" i="65"/>
  <c r="J37"/>
  <c r="F26"/>
  <c r="P13" i="61"/>
  <c r="G18" i="7"/>
  <c r="G20"/>
  <c r="F20"/>
  <c r="E20"/>
  <c r="C20"/>
  <c r="G14"/>
  <c r="F14"/>
  <c r="E14"/>
  <c r="C14"/>
  <c r="G13"/>
  <c r="G15"/>
  <c r="F13"/>
  <c r="E13"/>
  <c r="C13"/>
  <c r="C15"/>
  <c r="F15"/>
  <c r="E15"/>
  <c r="B10" i="4"/>
  <c r="B11"/>
  <c r="B12"/>
  <c r="B13"/>
  <c r="B14"/>
  <c r="B15"/>
  <c r="B10" i="1"/>
  <c r="B11"/>
  <c r="B12"/>
  <c r="B13"/>
  <c r="B10" i="59"/>
  <c r="B11"/>
  <c r="B12"/>
  <c r="B13"/>
  <c r="B14"/>
  <c r="B15"/>
  <c r="B16"/>
  <c r="B17"/>
  <c r="B18"/>
  <c r="B125" i="7"/>
  <c r="B48"/>
  <c r="B131"/>
  <c r="B132"/>
  <c r="B133"/>
  <c r="B134"/>
  <c r="B135"/>
  <c r="B136"/>
  <c r="B137"/>
  <c r="B138"/>
  <c r="B139"/>
  <c r="B140"/>
  <c r="B141"/>
  <c r="B142"/>
  <c r="B143"/>
  <c r="B144"/>
  <c r="B145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6"/>
  <c r="B127"/>
  <c r="B128"/>
  <c r="B129"/>
  <c r="B130"/>
  <c r="B89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C37" i="9"/>
  <c r="C36"/>
  <c r="C35"/>
  <c r="C34"/>
  <c r="C33"/>
  <c r="C32"/>
  <c r="B13" i="7"/>
  <c r="B14"/>
  <c r="B15"/>
  <c r="C48" i="9"/>
  <c r="B11" i="7"/>
  <c r="F15" i="59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D1" i="1"/>
  <c r="F7" i="59"/>
  <c r="E7"/>
  <c r="D7"/>
  <c r="C7"/>
  <c r="B7"/>
  <c r="D1"/>
  <c r="E19" i="55"/>
  <c r="C62" i="9"/>
  <c r="C29"/>
  <c r="C30"/>
  <c r="C39"/>
  <c r="C40"/>
  <c r="C41"/>
  <c r="C42"/>
  <c r="C44"/>
  <c r="C45"/>
  <c r="C47"/>
  <c r="C50"/>
  <c r="C51"/>
  <c r="C52"/>
  <c r="C53"/>
  <c r="C54"/>
  <c r="C55"/>
  <c r="C56"/>
  <c r="C57"/>
  <c r="C58"/>
  <c r="C59"/>
  <c r="C60"/>
  <c r="C61"/>
  <c r="B9" i="19"/>
  <c r="W19" i="55"/>
  <c r="V19"/>
  <c r="U19"/>
  <c r="T19"/>
  <c r="S19"/>
  <c r="R19"/>
  <c r="Q19"/>
  <c r="P19"/>
  <c r="O19"/>
  <c r="N19"/>
  <c r="M19"/>
  <c r="L19"/>
  <c r="K19"/>
  <c r="J19"/>
  <c r="I19"/>
  <c r="H19"/>
  <c r="G19"/>
  <c r="F19"/>
  <c r="D19"/>
  <c r="D88" i="7"/>
  <c r="E88"/>
  <c r="F88"/>
  <c r="C88"/>
  <c r="B4" i="13"/>
  <c r="B4" i="20"/>
  <c r="A7"/>
  <c r="B2" i="4"/>
  <c r="C2"/>
  <c r="D2"/>
  <c r="E2"/>
  <c r="F2"/>
  <c r="G2"/>
  <c r="A2"/>
  <c r="C8" i="9"/>
  <c r="C9"/>
  <c r="C10"/>
  <c r="C11"/>
  <c r="C14"/>
  <c r="C15"/>
  <c r="C16"/>
  <c r="C17"/>
  <c r="C18"/>
  <c r="C19"/>
  <c r="C20"/>
  <c r="C21"/>
  <c r="C25"/>
  <c r="C26"/>
  <c r="C27"/>
  <c r="C28"/>
  <c r="C6"/>
  <c r="A3" i="13"/>
  <c r="A4"/>
  <c r="B9" i="37"/>
  <c r="B7" i="1"/>
  <c r="C7"/>
  <c r="D7"/>
  <c r="E7"/>
  <c r="F7"/>
  <c r="J6" i="20"/>
  <c r="I6"/>
  <c r="E20" i="4"/>
  <c r="F27"/>
  <c r="F22"/>
  <c r="C16"/>
  <c r="E23"/>
  <c r="E21"/>
  <c r="F25"/>
  <c r="F29"/>
  <c r="B9" i="1"/>
  <c r="B9" i="59"/>
  <c r="F11" i="4"/>
  <c r="E12"/>
  <c r="B9"/>
  <c r="D10"/>
  <c r="D29"/>
  <c r="C21"/>
  <c r="D28"/>
  <c r="C28"/>
  <c r="E28"/>
  <c r="F24"/>
  <c r="E24"/>
  <c r="C24"/>
  <c r="F21"/>
  <c r="D21"/>
  <c r="E10"/>
  <c r="D25"/>
  <c r="D22"/>
  <c r="F16"/>
  <c r="F23"/>
  <c r="E25"/>
  <c r="C25"/>
  <c r="D27"/>
  <c r="C11"/>
  <c r="F20"/>
  <c r="D11"/>
  <c r="E27"/>
  <c r="D16"/>
  <c r="C10"/>
  <c r="C27"/>
  <c r="E22"/>
  <c r="E16"/>
  <c r="E11"/>
  <c r="C23"/>
  <c r="C22"/>
  <c r="D23"/>
  <c r="F12"/>
  <c r="F10"/>
  <c r="D20"/>
  <c r="C20"/>
  <c r="D24"/>
  <c r="F28"/>
  <c r="D12"/>
  <c r="E29"/>
  <c r="C12"/>
  <c r="C29"/>
  <c r="C9"/>
  <c r="E9"/>
  <c r="F9"/>
  <c r="D9"/>
  <c r="F26"/>
  <c r="D26"/>
  <c r="C26"/>
  <c r="E26"/>
  <c r="F13"/>
  <c r="D13"/>
  <c r="C13"/>
  <c r="E13"/>
  <c r="F14"/>
  <c r="D14"/>
  <c r="C14"/>
  <c r="E14"/>
  <c r="F30"/>
  <c r="D30"/>
  <c r="C30"/>
  <c r="E30"/>
  <c r="F18"/>
  <c r="D18"/>
  <c r="C18"/>
  <c r="E18"/>
  <c r="C17"/>
  <c r="E17"/>
  <c r="F17"/>
  <c r="D17"/>
  <c r="C15"/>
  <c r="E15"/>
  <c r="F15"/>
  <c r="D15"/>
  <c r="F19"/>
  <c r="D19"/>
  <c r="E19"/>
  <c r="C19"/>
  <c r="F18" i="7"/>
  <c r="E18"/>
  <c r="F19"/>
  <c r="E19"/>
  <c r="G19"/>
  <c r="F16" i="64" l="1"/>
  <c r="F18"/>
  <c r="F17"/>
  <c r="I20"/>
  <c r="I18"/>
  <c r="I17"/>
  <c r="I19"/>
  <c r="F20"/>
  <c r="F19"/>
  <c r="B20"/>
  <c r="C17" s="1"/>
  <c r="AA3" i="55"/>
  <c r="Z13"/>
  <c r="Z2"/>
  <c r="Z7"/>
  <c r="Z4"/>
  <c r="Z15"/>
  <c r="AA2"/>
  <c r="C19" i="64" l="1"/>
  <c r="C16"/>
  <c r="C20"/>
  <c r="C18"/>
  <c r="H16" i="20" l="1"/>
  <c r="H10" l="1"/>
  <c r="H6" s="1"/>
</calcChain>
</file>

<file path=xl/comments1.xml><?xml version="1.0" encoding="utf-8"?>
<comments xmlns="http://schemas.openxmlformats.org/spreadsheetml/2006/main">
  <authors>
    <author>Tina Jayaweera</author>
  </authors>
  <commentList>
    <comment ref="N13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Only including those west or partially west of divide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From 2012 Census of Ag, County Level data, Table 10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NEEA 2010 ENERGY STAR New Homes database</t>
        </r>
      </text>
    </comment>
    <comment ref="D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Ecotope analysis of MF Home Builder practices(2000), used in 6PP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Ecotope/ODOE eval of New MF Homes in PNW, ~2002 used in 6PP</t>
        </r>
      </text>
    </comment>
  </commentList>
</comments>
</file>

<file path=xl/comments2.xml><?xml version="1.0" encoding="utf-8"?>
<comments xmlns="http://schemas.openxmlformats.org/spreadsheetml/2006/main">
  <authors>
    <author>Tina Jayaweera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From \\nas2\Q\SeventhPlan\Conservation Analysis\Ag\Irrigation load FE2015 loads sent to TJ Dec 10 2014</t>
        </r>
      </text>
    </comment>
  </commentList>
</comments>
</file>

<file path=xl/sharedStrings.xml><?xml version="1.0" encoding="utf-8"?>
<sst xmlns="http://schemas.openxmlformats.org/spreadsheetml/2006/main" count="1104" uniqueCount="428">
  <si>
    <t>Enter New Characteristics on the "VARS" tab.</t>
  </si>
  <si>
    <t>FORECAST</t>
  </si>
  <si>
    <t>Descriptive Name</t>
  </si>
  <si>
    <t>Adjustments Made to Conservation Assessment for Code conditions</t>
  </si>
  <si>
    <t>File Link</t>
  </si>
  <si>
    <t>Lost Opp</t>
  </si>
  <si>
    <t>Data Source</t>
  </si>
  <si>
    <t>ACHIEV</t>
  </si>
  <si>
    <t>Fraction of Applicable Measure Available by Year</t>
  </si>
  <si>
    <t>Natural Replacement (NR) Rate, Fraction of Applicable Measure-Specific Equipment in Existing Stock that is Replaced Annually, making the measure applicable at incremental costs and savings similar to New applications.</t>
  </si>
  <si>
    <t>Non-Building Stock</t>
  </si>
  <si>
    <t>Source</t>
  </si>
  <si>
    <t>CODE</t>
  </si>
  <si>
    <t>MLIST</t>
  </si>
  <si>
    <t>MEAS ID</t>
  </si>
  <si>
    <t>FILES</t>
  </si>
  <si>
    <t>M BUNDLE ID</t>
  </si>
  <si>
    <t>This column linked to Attributes Sheets</t>
  </si>
  <si>
    <t>Master Measure List, Bundled Measures</t>
  </si>
  <si>
    <t>Measure Bundle Description</t>
  </si>
  <si>
    <t>Number of Measures in Bundle</t>
  </si>
  <si>
    <t>Lookup Value</t>
  </si>
  <si>
    <t>Vintage Cohort for floorspace stock to which measure characteristics are applicable</t>
  </si>
  <si>
    <t>Supply Curve Worksheet</t>
  </si>
  <si>
    <t>Status</t>
  </si>
  <si>
    <t>Row</t>
  </si>
  <si>
    <t>End Use</t>
  </si>
  <si>
    <t>VCohort</t>
  </si>
  <si>
    <t>Other</t>
  </si>
  <si>
    <t>BLDGTYPE</t>
  </si>
  <si>
    <t>Base Measure Name</t>
  </si>
  <si>
    <t>Measure Index Name</t>
  </si>
  <si>
    <t>Variable Name</t>
  </si>
  <si>
    <t>VARS</t>
  </si>
  <si>
    <t>Definition</t>
  </si>
  <si>
    <t>STOCK NAME</t>
  </si>
  <si>
    <t>LINK</t>
  </si>
  <si>
    <t>APPLIC</t>
  </si>
  <si>
    <t>BASE</t>
  </si>
  <si>
    <t>Use this Syntax for lookup</t>
  </si>
  <si>
    <t>Map to Supporting Files</t>
  </si>
  <si>
    <t>TURN</t>
  </si>
  <si>
    <t>Variable Names used in Characteristics data</t>
  </si>
  <si>
    <t>Lookup</t>
  </si>
  <si>
    <t>Look up table for vintage cohort group</t>
  </si>
  <si>
    <t>Fraction of Annual Applicable Measure Stock Achievable</t>
  </si>
  <si>
    <t>Overview Sources Status</t>
  </si>
  <si>
    <t>Report Year</t>
  </si>
  <si>
    <t>Ramp</t>
  </si>
  <si>
    <t>Forecast File</t>
  </si>
  <si>
    <t>ComMaster Version</t>
  </si>
  <si>
    <t>Develop Monthy</t>
  </si>
  <si>
    <t>Run on Final Plan Elec &amp; Gas Price with No Carbon</t>
  </si>
  <si>
    <t>Most Recent Substantive Update</t>
  </si>
  <si>
    <t>Lighting</t>
  </si>
  <si>
    <t>Refrigeration</t>
  </si>
  <si>
    <t>Post2014</t>
  </si>
  <si>
    <t>Vars</t>
  </si>
  <si>
    <t>Baseline Measure Life</t>
  </si>
  <si>
    <t>EE Measure Life</t>
  </si>
  <si>
    <t>Pre2014</t>
  </si>
  <si>
    <t>UEC</t>
  </si>
  <si>
    <t xml:space="preserve">USE FOR ROUGH APPROXIMATION ONLY. </t>
  </si>
  <si>
    <t xml:space="preserve">ESTIMATE OF 2012 ELECTRIC UEC (kWh/bldg) BY BUILDING TYPE AND SPACE HEAT FUEL. </t>
  </si>
  <si>
    <t xml:space="preserve">Update Log:  Log for updates to Draft 7th Plan Assessment </t>
  </si>
  <si>
    <t>Current Saturation of Measure</t>
  </si>
  <si>
    <t>Post2015</t>
  </si>
  <si>
    <t>PRE2015</t>
  </si>
  <si>
    <t>Fraction of units where measure is technically feasible</t>
  </si>
  <si>
    <t>Product of Feasibility &amp; (1-Baseline Saturation)</t>
  </si>
  <si>
    <t>Measure Saturations by Buiding Type</t>
  </si>
  <si>
    <t>Measure Details</t>
  </si>
  <si>
    <t>Baseline</t>
  </si>
  <si>
    <t>Water Heating</t>
  </si>
  <si>
    <t>Vintage</t>
  </si>
  <si>
    <t>Equip/Disc</t>
  </si>
  <si>
    <t>Savings Notes</t>
  </si>
  <si>
    <t>Savings Sources</t>
  </si>
  <si>
    <t>Baseline Saturation</t>
  </si>
  <si>
    <t>Baseline Notes</t>
  </si>
  <si>
    <t>Cost Source</t>
  </si>
  <si>
    <t>Cost Notes</t>
  </si>
  <si>
    <t>x</t>
  </si>
  <si>
    <t>New from 6PP?</t>
  </si>
  <si>
    <t>REGION</t>
  </si>
  <si>
    <t>Category Name</t>
  </si>
  <si>
    <t>Water Heaters</t>
  </si>
  <si>
    <t>Motors/Drives</t>
  </si>
  <si>
    <t>Heat Recovery Improvements</t>
  </si>
  <si>
    <t>Heat Pump Water Heaters</t>
  </si>
  <si>
    <t>Motors/Drives Controls</t>
  </si>
  <si>
    <t>Motors/Drives Control Improvements (VFD)</t>
  </si>
  <si>
    <t>Measure Name</t>
  </si>
  <si>
    <t>All</t>
  </si>
  <si>
    <t>Existing</t>
  </si>
  <si>
    <t>Irrigation</t>
  </si>
  <si>
    <t>Hardware</t>
  </si>
  <si>
    <t>Wheel/hand line systems: Replace worn nozzle with new flow controlling type nozzle for impact sprinklers</t>
  </si>
  <si>
    <t>Wheel/hand line systems: Replace worn nozzle with new nozzle</t>
  </si>
  <si>
    <t>Wheel/hand line systems: Rebuild or replace leaking impact sprinkler with new or rebuilt impact sprinkler</t>
  </si>
  <si>
    <t>Wheel/hand line systems: Replace leaking gasket with new gasket</t>
  </si>
  <si>
    <t>Wheel/hand line systems: Replace leaking drain with new drain</t>
  </si>
  <si>
    <t>Wheel/hand line systems: Cut and pipe press repair of leaking hand-lines, wheel-lines, and portable main-lines</t>
  </si>
  <si>
    <t>Thunderbird wheel line systems: Replace leaking hub with new hub</t>
  </si>
  <si>
    <t>Wheel line systems: Rebuild or replace leaking or malfunctioning leveler with new or rebuilt leveler.</t>
  </si>
  <si>
    <t>Center pivot/linear move systems: Install new sprinkler package on an existing system.</t>
  </si>
  <si>
    <t>Center pivot/linear move systems: New gooseneck elbows</t>
  </si>
  <si>
    <t>Center pivot/linear move systems: New drop tubes (3 feet minimum)</t>
  </si>
  <si>
    <t>Center pivot/linear move systems: Replace leaking pivot boot gasket with new pivot boot gasket</t>
  </si>
  <si>
    <t>Center pivot/linear move systems: Replace leaking tower gasket with new tower gasket</t>
  </si>
  <si>
    <t>Region</t>
  </si>
  <si>
    <t>Eastern &amp; Southern ID, Western ID, Western WA and OR, Eastern WA and OR, MT</t>
  </si>
  <si>
    <t>Nozzle Replacement</t>
  </si>
  <si>
    <t>Sprinkler Replacement</t>
  </si>
  <si>
    <t>Gasket Replacement</t>
  </si>
  <si>
    <t>Drain Replacement</t>
  </si>
  <si>
    <t>Line Repairs</t>
  </si>
  <si>
    <t>Hub Replacement</t>
  </si>
  <si>
    <t>Leveler Rebuild</t>
  </si>
  <si>
    <t>Goose Necks</t>
  </si>
  <si>
    <t>Drop Tube/Hose Extension</t>
  </si>
  <si>
    <t>Install Plate Milk Pre-Cooler at Tie Stall Dairy</t>
  </si>
  <si>
    <t>Install VSD - Vacuum Pump at Tie Stall Dairy</t>
  </si>
  <si>
    <t>Install Heat Recovery Refrigeration at Tie Stall Dairy</t>
  </si>
  <si>
    <t>Install Plate Milk Pre-cooler at Free Stall Dairy</t>
  </si>
  <si>
    <t>Install VSD - Vacuum Pump at Free Stall Dairy</t>
  </si>
  <si>
    <t>Install Energy Efficient Lighting at Tie Stall Dairy</t>
  </si>
  <si>
    <t>Install Energy Efficient Lighting at Free Stall Dairy</t>
  </si>
  <si>
    <t>Lamps/Ballasts/Fixtures</t>
  </si>
  <si>
    <t>Dairy System Improvements</t>
  </si>
  <si>
    <t>Plate Milk Pre-cooler</t>
  </si>
  <si>
    <t>Motor Rewind</t>
  </si>
  <si>
    <t>Motors</t>
  </si>
  <si>
    <t>Freeze Resistant Stock Water Tanks/Fountains</t>
  </si>
  <si>
    <t>Process Loads</t>
  </si>
  <si>
    <t>Livestock Tanks</t>
  </si>
  <si>
    <t>Freeze Resistant Stock Tanks</t>
  </si>
  <si>
    <t>Variable Frequency Drive on Spud or Onion Shed Ventilation Fan</t>
  </si>
  <si>
    <t>Irrigation Water Management</t>
  </si>
  <si>
    <t>Irrigation Scheduling</t>
  </si>
  <si>
    <t>Alfalfa</t>
  </si>
  <si>
    <t>Mint</t>
  </si>
  <si>
    <t>Onions</t>
  </si>
  <si>
    <t>Orchard</t>
  </si>
  <si>
    <t>Field Corn</t>
  </si>
  <si>
    <t>Vineyard</t>
  </si>
  <si>
    <t>Late Potatoes</t>
  </si>
  <si>
    <t>Grain</t>
  </si>
  <si>
    <t>Early Potatoes</t>
  </si>
  <si>
    <t>High Volume, Low Speed Fans</t>
  </si>
  <si>
    <t xml:space="preserve">HVAC </t>
  </si>
  <si>
    <t>HVAC System Improvements</t>
  </si>
  <si>
    <t>Ventilation System Improvements</t>
  </si>
  <si>
    <t>Beans</t>
  </si>
  <si>
    <t>Sweet Corn</t>
  </si>
  <si>
    <t>Peas-Dry</t>
  </si>
  <si>
    <t>14Grass Seed</t>
  </si>
  <si>
    <t>Columbia Basin GWMA</t>
  </si>
  <si>
    <t>Install VSD on Irrigation Pump</t>
  </si>
  <si>
    <t>Convert Medium Pressure Center Pivot to Low pressure system</t>
  </si>
  <si>
    <t>Convert High Pressure Center Pivot to Low pressure system</t>
  </si>
  <si>
    <t>Center Pivot System and Equipment</t>
  </si>
  <si>
    <t>Center Pivot Conversions</t>
  </si>
  <si>
    <t>Convert wheel line systems to low pressure systems on alfalfa acreage</t>
  </si>
  <si>
    <t>Convert hand line systems to low pressure systems on alfalfa acreage</t>
  </si>
  <si>
    <t>Montana</t>
  </si>
  <si>
    <t>Measure</t>
  </si>
  <si>
    <t>Applicable Acres</t>
  </si>
  <si>
    <t>Center Pivot, 30-59 PSI</t>
  </si>
  <si>
    <t>Center Pivot, 60+ PSI</t>
  </si>
  <si>
    <t>Sprinkler Systems, wheel or hand move</t>
  </si>
  <si>
    <t>Sprinkler Systems, Center Pivot</t>
  </si>
  <si>
    <t>Sprinler system, % hand line, alfalfa only</t>
  </si>
  <si>
    <t>Sprinkler system, % Wheel line (mechanical move), alfalfa only</t>
  </si>
  <si>
    <t>Acres of land w/ Pumped wells</t>
  </si>
  <si>
    <t>State</t>
  </si>
  <si>
    <t>Idaho</t>
  </si>
  <si>
    <t>Oregon</t>
  </si>
  <si>
    <t>Washington</t>
  </si>
  <si>
    <t>Acres w Sprinklers</t>
  </si>
  <si>
    <t>Acres Center Pivot</t>
  </si>
  <si>
    <t>Pumped Acres</t>
  </si>
  <si>
    <t>SIS</t>
  </si>
  <si>
    <t>LEPA</t>
  </si>
  <si>
    <t>Center Pivot, LEPA crops</t>
  </si>
  <si>
    <t>Center Pivot, SIS crops</t>
  </si>
  <si>
    <t>CenterPivot High P</t>
  </si>
  <si>
    <t>CenterPivot Med P</t>
  </si>
  <si>
    <t>Wheel/hand line</t>
  </si>
  <si>
    <t>CenterPivot</t>
  </si>
  <si>
    <t>Alfalfa Wheel line</t>
  </si>
  <si>
    <t>Alfalfa Hand line</t>
  </si>
  <si>
    <t xml:space="preserve">Sprinkler Systems, wheel </t>
  </si>
  <si>
    <t>Wheel line</t>
  </si>
  <si>
    <t>PNW</t>
  </si>
  <si>
    <t>-</t>
  </si>
  <si>
    <t>Average Acre-feet Applied/Acre</t>
  </si>
  <si>
    <t>Average yeild per acre (tons, dry)</t>
  </si>
  <si>
    <t>Irrigated Acres Harvested</t>
  </si>
  <si>
    <t>Farms</t>
  </si>
  <si>
    <t>Average yield per acre (bushels)</t>
  </si>
  <si>
    <t>Low-flow irrigation (drip, trickle, or micro sprinklers)</t>
  </si>
  <si>
    <t>Gravity flow only</t>
  </si>
  <si>
    <t>Sprinkler systems only</t>
  </si>
  <si>
    <t>Method of distribution</t>
  </si>
  <si>
    <t>Potatoes, excluding sweet potatoes</t>
  </si>
  <si>
    <t>Sweet corn</t>
  </si>
  <si>
    <t>Corn for silage or greenchop</t>
  </si>
  <si>
    <t>Corn for grain or seed</t>
  </si>
  <si>
    <t>Irrigated Acres Harvested %</t>
  </si>
  <si>
    <t>Hand Line (%)</t>
  </si>
  <si>
    <t>Wheel Line (%)</t>
  </si>
  <si>
    <t>Hand Line (Acreage)</t>
  </si>
  <si>
    <t>Wheel Line (Acreage)</t>
  </si>
  <si>
    <t>Alfalfa and alfalfa mixtures for hay or dehydrating</t>
  </si>
  <si>
    <t>fris_p149_t0136</t>
  </si>
  <si>
    <t>Table 36.  Estimated Quantity of Water Applied and Primary Method of Distribution by Selected Crops Harvested in the Open:  2013 and 2008 (continued)</t>
  </si>
  <si>
    <t>2013 Farm and Ranch Irrigation Survey (FRIS): Released November 13, 2014, by the National Agricultural Statistics Service (NASS), Agricultural Statistics Board, U.S. Department of Agriculture.</t>
  </si>
  <si>
    <t>State Avg. Field Size (Acres)</t>
  </si>
  <si>
    <t>Share of Acreage</t>
  </si>
  <si>
    <t>Acres</t>
  </si>
  <si>
    <t>Under 30 PSI</t>
  </si>
  <si>
    <t>30 to 59 PSI</t>
  </si>
  <si>
    <t>60 PSI or greater</t>
  </si>
  <si>
    <t>Traveler or Big Gun</t>
  </si>
  <si>
    <t>Solid Set or Permanent</t>
  </si>
  <si>
    <t>Hand Move</t>
  </si>
  <si>
    <t>All Other Mechanical Move (side roll, wheel move, or other)</t>
  </si>
  <si>
    <t>Linear and Wheel Move</t>
  </si>
  <si>
    <t>Low Pressure</t>
  </si>
  <si>
    <t>Medium Pressure</t>
  </si>
  <si>
    <t>High Pressure</t>
  </si>
  <si>
    <t>Total</t>
  </si>
  <si>
    <t>Center Pivot</t>
  </si>
  <si>
    <t>2013 Data</t>
  </si>
  <si>
    <t>fris_p109_t0096</t>
  </si>
  <si>
    <t>Table 29.  Land Irrigated in the Open by Sprinkler Systems:  2013 and 2008</t>
  </si>
  <si>
    <t>Acres Irrigated w/Surface Water</t>
  </si>
  <si>
    <t>Acres Irrigated w/Wells</t>
  </si>
  <si>
    <t>&gt;$50000</t>
  </si>
  <si>
    <t>$20000 to</t>
  </si>
  <si>
    <t>$10000 to</t>
  </si>
  <si>
    <t>$5000 to</t>
  </si>
  <si>
    <t>$2000 to</t>
  </si>
  <si>
    <t>$1000 to</t>
  </si>
  <si>
    <t>&lt;$1000</t>
  </si>
  <si>
    <t>% Irrigated by Wells</t>
  </si>
  <si>
    <t>Share of Acreage Irrigated w/Surface Water</t>
  </si>
  <si>
    <t>Share of Acreage Irrigated w/Wells</t>
  </si>
  <si>
    <t>Farms with Energy Expenses of</t>
  </si>
  <si>
    <t>Expenses per Acre Irrigated</t>
  </si>
  <si>
    <t>Expenses ($1,000)</t>
  </si>
  <si>
    <t>Acres Irrigated</t>
  </si>
  <si>
    <t>Pumps Powered</t>
  </si>
  <si>
    <t>Electricity Expenses for Pumping</t>
  </si>
  <si>
    <t>fris_p042_t0029</t>
  </si>
  <si>
    <t>Table 12.  On-Farm Energy Expense for Pumping Irrigation Water by Water Source and Type of Energy:  2013</t>
  </si>
  <si>
    <t>Only drip or trickle systems</t>
  </si>
  <si>
    <t>Only gravity flow systems</t>
  </si>
  <si>
    <t>Only sprinkler systems</t>
  </si>
  <si>
    <t>Water Applied by all methods</t>
  </si>
  <si>
    <t>fris_p021_t0008</t>
  </si>
  <si>
    <t>Table 28.  Land Irrigated in the Open by Method of Water Distribution:  2013 and 2008</t>
  </si>
  <si>
    <t>Share of Wells</t>
  </si>
  <si>
    <t>Average hours of operation</t>
  </si>
  <si>
    <t>Average engine size (HP)</t>
  </si>
  <si>
    <t>Average operating pressure (psi)</t>
  </si>
  <si>
    <t>Average pumping capacity (GPM)</t>
  </si>
  <si>
    <t>Average depth to bowls (ft)</t>
  </si>
  <si>
    <t>Average depth to water (ft)</t>
  </si>
  <si>
    <t>Average well depth (ft)</t>
  </si>
  <si>
    <t>Number</t>
  </si>
  <si>
    <t>Pumped Wells</t>
  </si>
  <si>
    <t>fris_p031_t0018</t>
  </si>
  <si>
    <t>Table 8.  Characteristics of Irrigation Wells Used on Farms:  2013 (continued)</t>
  </si>
  <si>
    <t>Share of pumps</t>
  </si>
  <si>
    <r>
      <rPr>
        <sz val="10"/>
        <color indexed="8"/>
        <rFont val="Arial"/>
        <family val="2"/>
      </rPr>
      <t xml:space="preserve">Average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</si>
  <si>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>3,000 or more gpm</t>
    </r>
  </si>
  <si>
    <r>
      <t xml:space="preserve"> </t>
    </r>
    <r>
      <rPr>
        <sz val="10"/>
        <color indexed="8"/>
        <rFont val="Arial"/>
        <family val="2"/>
      </rPr>
      <t xml:space="preserve">2,000 to 2,999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</si>
  <si>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1,500 to 1,999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</si>
  <si>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1,000 to 1,499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</si>
  <si>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500 to 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</si>
  <si>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Less than 500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</si>
  <si>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Pumps by discharge capacity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</si>
  <si>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discharge capacity (gpm)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</si>
  <si>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operating pressure (psi)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</si>
  <si>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pumping lift (feet)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</si>
  <si>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Pumps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</si>
  <si>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Farms </t>
    </r>
    <r>
      <rPr>
        <sz val="10"/>
        <rFont val="Arial"/>
        <family val="2"/>
      </rPr>
      <t xml:space="preserve"> </t>
    </r>
  </si>
  <si>
    <t xml:space="preserve"> Pumps to discharge water from ponds, lakes, reservoirs, and rivers  </t>
  </si>
  <si>
    <t>fris_p039_t0026</t>
  </si>
  <si>
    <t>Table 11.  Irrigation Pumps on Farms Other Than for Wells:  2013 (continued)</t>
  </si>
  <si>
    <t>Bin Mid-point</t>
  </si>
  <si>
    <t>Share of Wells =&gt;300 ft</t>
  </si>
  <si>
    <t>Share of Wells &lt;300 ft</t>
  </si>
  <si>
    <t>Average depth of wells 300 feet or greater in depth</t>
  </si>
  <si>
    <t>Average depth of wells less than 300 feet</t>
  </si>
  <si>
    <t>500 feet</t>
  </si>
  <si>
    <t>300 to 499 ft</t>
  </si>
  <si>
    <t>200 to 299 ft</t>
  </si>
  <si>
    <t>100 to 199 ft</t>
  </si>
  <si>
    <t>50 to 99 ft</t>
  </si>
  <si>
    <t>Under 50 ft</t>
  </si>
  <si>
    <t>For farms with three wells</t>
  </si>
  <si>
    <t>For farms with two wells</t>
  </si>
  <si>
    <t>For farms with one well</t>
  </si>
  <si>
    <t>For all pumped wells (feet)</t>
  </si>
  <si>
    <t>Number of wells for farms with an average pumping depth of -</t>
  </si>
  <si>
    <t>Average well depth 1/</t>
  </si>
  <si>
    <t>fris_p033_t0020</t>
  </si>
  <si>
    <t xml:space="preserve">Wheel/hand line systems: Replace worn nozzle with new flow controlling type nozzle for impact sprinklers </t>
  </si>
  <si>
    <t xml:space="preserve">Wheel/hand line systems: Replace worn nozzle with new nozzle </t>
  </si>
  <si>
    <t xml:space="preserve">Wheel/hand line systems: Rebuild or replace leaking impact sprinkler with new or rebuilt impact sprinkler </t>
  </si>
  <si>
    <t xml:space="preserve">Wheel/hand line systems: Replace leaking gasket with new gasket </t>
  </si>
  <si>
    <t xml:space="preserve">Wheel/hand line systems: Replace leaking drain with new drain </t>
  </si>
  <si>
    <t xml:space="preserve">Wheel/hand line systems: Cut and pipe press repair of leaking hand-lines, wheel-lines, and portable main-lines </t>
  </si>
  <si>
    <t xml:space="preserve">Thunderbird wheel line systems: Replace leaking hub with new hub </t>
  </si>
  <si>
    <t xml:space="preserve">Wheel line systems: Rebuild or replace leaking or malfunctioning leveler with new or rebuilt leveler. </t>
  </si>
  <si>
    <t xml:space="preserve">Center pivot/linear move systems: Install new sprinkler package on an existing system. </t>
  </si>
  <si>
    <t xml:space="preserve">Center pivot/linear move systems: New gooseneck elbows </t>
  </si>
  <si>
    <t xml:space="preserve">Center pivot/linear move systems: New drop tubes (3 feet minimum) </t>
  </si>
  <si>
    <t xml:space="preserve">Center pivot/linear move systems: Replace leaking pivot boot gasket with new pivot boot gasket </t>
  </si>
  <si>
    <t xml:space="preserve">Center pivot/linear move systems: Replace leaking tower gasket with new tower gasket </t>
  </si>
  <si>
    <t>All Other Mechanical Move</t>
  </si>
  <si>
    <t>Average acre-feet /acre</t>
  </si>
  <si>
    <t>fris_p117_t0104</t>
  </si>
  <si>
    <t>and</t>
  </si>
  <si>
    <t>Table 32.  Estimated Quantity of Water Applied in the Open Using Only One Method of Distribution:  2013 and 2008</t>
  </si>
  <si>
    <t>Electricity Use for Irrigation</t>
  </si>
  <si>
    <t>Acres Irrigated/Farm</t>
  </si>
  <si>
    <t>Estimate Annual Irrigation Use (aMW)</t>
  </si>
  <si>
    <t>Avg. Acre Ft/Acre</t>
  </si>
  <si>
    <t>Annual Electricity Use (kWh/acre/yr)</t>
  </si>
  <si>
    <t>Avg. Use (kWh/Acre.- Ft.</t>
  </si>
  <si>
    <t>MWA</t>
  </si>
  <si>
    <t>WMT</t>
  </si>
  <si>
    <t>WA</t>
  </si>
  <si>
    <t>OR</t>
  </si>
  <si>
    <t>ID</t>
  </si>
  <si>
    <t>Table 33 Estimated Quantity of Water Applied in the Open Using Only Sprinkler Systems to Distribute Water:  2013 and 2008</t>
  </si>
  <si>
    <t>Using same assumptions as 6P</t>
  </si>
  <si>
    <t>Irrigation Sales (aMW)</t>
  </si>
  <si>
    <t>LESA</t>
  </si>
  <si>
    <t>Estimate</t>
  </si>
  <si>
    <t>Sprinkler Systems, Center Pivot, Potatoes</t>
  </si>
  <si>
    <t>Sprinkler Systems, Center Pivot, WA GWMA</t>
  </si>
  <si>
    <t>HP estimate, using friction loss of 20ft</t>
  </si>
  <si>
    <t>estimate</t>
  </si>
  <si>
    <t>Dairy - Retro</t>
  </si>
  <si>
    <t>VSD - Vacuum Pump</t>
  </si>
  <si>
    <t>Energy Efficient Lighting</t>
  </si>
  <si>
    <t>Heat Recovery Refrigeration</t>
  </si>
  <si>
    <t>Plate Milk Pre-Cooler</t>
  </si>
  <si>
    <t>FreeStall</t>
  </si>
  <si>
    <t>TieStall</t>
  </si>
  <si>
    <t>35-44W LED fixture &amp; NEW Photocell_Replacing_175W MH fixture</t>
  </si>
  <si>
    <t>35-44W LED fixture &amp; NEW Photocell_Replacing_150W HID fixture</t>
  </si>
  <si>
    <t>35-44W LED fixture &amp; NEW Photocell_Replacing_100W HID fixture</t>
  </si>
  <si>
    <t>35-44W LED fixture &amp; NEW Photocell_Replacing_175W MV fixture</t>
  </si>
  <si>
    <t>35-44W LED fixture &amp; NEW Photocell_Replacing_200W HID fixture</t>
  </si>
  <si>
    <t>distribution of existing fixtures unknown, assume equal</t>
  </si>
  <si>
    <t>Lighting - Retro</t>
  </si>
  <si>
    <t>Estimate that free stall dairies have widely adopted VSD pumps (from Tom Osborn)</t>
  </si>
  <si>
    <t>Estimate, consistent w/ assumption for non-urban streetlighting LED penetration</t>
  </si>
  <si>
    <t>Increasing baseline saturation given recent program activity</t>
  </si>
  <si>
    <t>Retro12Med</t>
  </si>
  <si>
    <t>Retro50Fast</t>
  </si>
  <si>
    <t>Retro20Fast</t>
  </si>
  <si>
    <t>RetroEven20</t>
  </si>
  <si>
    <t>RetroMax60</t>
  </si>
  <si>
    <t>LO12Med</t>
  </si>
  <si>
    <t>LO50Fast</t>
  </si>
  <si>
    <t>LO20Fast</t>
  </si>
  <si>
    <t>LOEven20</t>
  </si>
  <si>
    <t>LOMax60</t>
  </si>
  <si>
    <t>Irrigation Pressure - Retro</t>
  </si>
  <si>
    <t>larger farms use different milking system, VSDs as defined by RTF not applicable</t>
  </si>
  <si>
    <t>In CA, these are standard practice for large farms, likely low potential</t>
  </si>
  <si>
    <t>Irrigation Hardware - Retro</t>
  </si>
  <si>
    <t>Irrigation hardware</t>
  </si>
  <si>
    <t>Irrigation Convert P</t>
  </si>
  <si>
    <t>Irrigation Motor Rewind</t>
  </si>
  <si>
    <t>Ag Area Lights</t>
  </si>
  <si>
    <t>Dairy Eff</t>
  </si>
  <si>
    <t>Cumulative Technically  Achievable Savings in 2035 in MWa</t>
  </si>
  <si>
    <t>Future Savings to Remove from 7P Forecast</t>
  </si>
  <si>
    <t>Comparable Estimate for 6th Plan</t>
  </si>
  <si>
    <t>LO1Slow</t>
  </si>
  <si>
    <t>Retro1Slow</t>
  </si>
  <si>
    <t>LO5Med</t>
  </si>
  <si>
    <t>Retro5Med</t>
  </si>
  <si>
    <t>LO3Slow</t>
  </si>
  <si>
    <t>Retro3Slow</t>
  </si>
  <si>
    <t>Compressed Air</t>
  </si>
  <si>
    <t>HVAC</t>
  </si>
  <si>
    <t xml:space="preserve">Utility Distribution System </t>
  </si>
  <si>
    <t>Whole Bldg/Meter Level</t>
  </si>
  <si>
    <t>EndUse_Name</t>
  </si>
  <si>
    <t>End use</t>
  </si>
  <si>
    <t>Irrigation Water Mgmt - NR</t>
  </si>
  <si>
    <t>\\nas2\Q\SeventhPlan\Conservation Analysis\Global EE Inputs\Units Forecasts\[7P Forecasts D2.xlsx]</t>
  </si>
  <si>
    <t>NEEA report on Evaluation of Key ACE Model Assumptions for Motor Rewinds, Section 4.5.1</t>
  </si>
  <si>
    <t>Irrigation Motor - Retro</t>
  </si>
  <si>
    <t>Irrigation Efficiency - Retro</t>
  </si>
  <si>
    <t>Ag-Irr_Water Mgmt -7P_v2.xlsx</t>
  </si>
  <si>
    <t>Ag-Irr_Eff-7P_v2.xlsx</t>
  </si>
  <si>
    <t>Ag-Convert_P_Irr-7P_v3.xlsx</t>
  </si>
  <si>
    <t>Ag-Irr_Motor -7P_v3.xlsx</t>
  </si>
  <si>
    <t>Ag-Area_Lights-7P_v3.xlsx</t>
  </si>
  <si>
    <t>Ag-Dairy-7P_v2.xlsx</t>
  </si>
  <si>
    <t>W MT Counties</t>
  </si>
  <si>
    <t>Acres irrigated land</t>
  </si>
  <si>
    <t>Deer Lodge</t>
  </si>
  <si>
    <t>Flathead</t>
  </si>
  <si>
    <t>Granite</t>
  </si>
  <si>
    <t>Lake</t>
  </si>
  <si>
    <t>Lewis and Clark</t>
  </si>
  <si>
    <t>Lincoln</t>
  </si>
  <si>
    <t>Mineral</t>
  </si>
  <si>
    <t>Missoula</t>
  </si>
  <si>
    <t>Powell</t>
  </si>
  <si>
    <t>Ravalli</t>
  </si>
  <si>
    <t>Sanders</t>
  </si>
  <si>
    <t>Silver Bow</t>
  </si>
  <si>
    <t>W MT Total</t>
  </si>
  <si>
    <t>MT Total</t>
  </si>
  <si>
    <t>% W MT</t>
  </si>
  <si>
    <t>Montana data has been multiplied by 18% to represent portion in W MT.</t>
  </si>
</sst>
</file>

<file path=xl/styles.xml><?xml version="1.0" encoding="utf-8"?>
<styleSheet xmlns="http://schemas.openxmlformats.org/spreadsheetml/2006/main">
  <numFmts count="12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dd\-mmm\-yy"/>
    <numFmt numFmtId="169" formatCode="m/d/\ h:mm"/>
    <numFmt numFmtId="170" formatCode="mmm\-yyyy"/>
    <numFmt numFmtId="171" formatCode="_(&quot;$&quot;* #,##0_);_(&quot;$&quot;* \(#,##0\);_(&quot;$&quot;* &quot;-&quot;??_);_(@_)"/>
  </numFmts>
  <fonts count="58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7"/>
      <color indexed="12"/>
      <name val="Arial"/>
      <family val="2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sz val="12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name val="Helv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굴림"/>
      <family val="3"/>
      <charset val="129"/>
    </font>
    <font>
      <sz val="10"/>
      <name val="Arial"/>
      <family val="2"/>
    </font>
    <font>
      <sz val="10"/>
      <color rgb="FFFF0000"/>
      <name val="Courier"/>
      <family val="3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trike/>
      <sz val="10"/>
      <name val="Arial"/>
      <family val="2"/>
    </font>
    <font>
      <b/>
      <sz val="10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65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Alignment="0">
      <alignment horizontal="right"/>
    </xf>
    <xf numFmtId="0" fontId="2" fillId="3" borderId="0" applyNumberFormat="0" applyAlignment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3" fillId="0" borderId="0"/>
    <xf numFmtId="0" fontId="2" fillId="0" borderId="0">
      <alignment readingOrder="1"/>
    </xf>
    <xf numFmtId="0" fontId="2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5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5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5" borderId="0" applyNumberFormat="0" applyBorder="0" applyAlignment="0" applyProtection="0"/>
    <xf numFmtId="0" fontId="15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15" borderId="0" applyNumberFormat="0" applyBorder="0" applyAlignment="0" applyProtection="0"/>
    <xf numFmtId="0" fontId="16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2" borderId="0" applyNumberFormat="0" applyBorder="0" applyAlignment="0" applyProtection="0"/>
    <xf numFmtId="0" fontId="16" fillId="29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32" borderId="0" applyNumberFormat="0" applyBorder="0" applyAlignment="0" applyProtection="0"/>
    <xf numFmtId="0" fontId="18" fillId="4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8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0" fillId="22" borderId="14" applyNumberFormat="0" applyAlignment="0" applyProtection="0"/>
    <xf numFmtId="0" fontId="20" fillId="13" borderId="14" applyNumberFormat="0" applyAlignment="0" applyProtection="0"/>
    <xf numFmtId="0" fontId="20" fillId="13" borderId="14" applyNumberFormat="0" applyAlignment="0" applyProtection="0"/>
    <xf numFmtId="0" fontId="21" fillId="50" borderId="15" applyNumberFormat="0" applyAlignment="0" applyProtection="0"/>
    <xf numFmtId="0" fontId="21" fillId="50" borderId="15" applyNumberFormat="0" applyAlignment="0" applyProtection="0"/>
    <xf numFmtId="41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3" borderId="0" applyNumberFormat="0" applyAlignment="0"/>
    <xf numFmtId="169" fontId="23" fillId="0" borderId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>
      <alignment horizontal="center" wrapText="1"/>
    </xf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6" borderId="14" applyNumberFormat="0" applyAlignment="0" applyProtection="0"/>
    <xf numFmtId="0" fontId="38" fillId="16" borderId="14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>
      <alignment readingOrder="1"/>
    </xf>
    <xf numFmtId="0" fontId="2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2" fillId="0" borderId="0">
      <alignment readingOrder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readingOrder="1"/>
    </xf>
    <xf numFmtId="0" fontId="2" fillId="0" borderId="0">
      <alignment readingOrder="1"/>
    </xf>
    <xf numFmtId="0" fontId="2" fillId="0" borderId="0">
      <alignment readingOrder="1"/>
    </xf>
    <xf numFmtId="0" fontId="13" fillId="0" borderId="0"/>
    <xf numFmtId="0" fontId="13" fillId="0" borderId="0"/>
    <xf numFmtId="0" fontId="2" fillId="0" borderId="0">
      <alignment readingOrder="1"/>
    </xf>
    <xf numFmtId="0" fontId="14" fillId="0" borderId="0"/>
    <xf numFmtId="0" fontId="2" fillId="0" borderId="0">
      <alignment readingOrder="1"/>
    </xf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readingOrder="1"/>
    </xf>
    <xf numFmtId="0" fontId="2" fillId="0" borderId="0"/>
    <xf numFmtId="0" fontId="14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1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2" fillId="0" borderId="0"/>
    <xf numFmtId="0" fontId="13" fillId="0" borderId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13" fillId="0" borderId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>
      <alignment readingOrder="1"/>
    </xf>
    <xf numFmtId="0" fontId="2" fillId="0" borderId="0">
      <alignment readingOrder="1"/>
    </xf>
    <xf numFmtId="0" fontId="2" fillId="0" borderId="0">
      <alignment readingOrder="1"/>
    </xf>
    <xf numFmtId="0" fontId="14" fillId="18" borderId="22" applyNumberFormat="0" applyFont="0" applyAlignment="0" applyProtection="0"/>
    <xf numFmtId="0" fontId="2" fillId="18" borderId="22" applyNumberFormat="0" applyFont="0" applyAlignment="0" applyProtection="0"/>
    <xf numFmtId="0" fontId="14" fillId="18" borderId="22" applyNumberFormat="0" applyFont="0" applyAlignment="0" applyProtection="0"/>
    <xf numFmtId="0" fontId="44" fillId="22" borderId="23" applyNumberFormat="0" applyAlignment="0" applyProtection="0"/>
    <xf numFmtId="0" fontId="44" fillId="13" borderId="23" applyNumberFormat="0" applyAlignment="0" applyProtection="0"/>
    <xf numFmtId="0" fontId="44" fillId="13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7" fillId="0" borderId="0"/>
    <xf numFmtId="170" fontId="2" fillId="0" borderId="0" applyFill="0" applyBorder="0" applyAlignment="0" applyProtection="0">
      <alignment wrapText="1"/>
    </xf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>
      <alignment vertical="center"/>
    </xf>
    <xf numFmtId="0" fontId="2" fillId="0" borderId="0"/>
    <xf numFmtId="0" fontId="2" fillId="0" borderId="0"/>
  </cellStyleXfs>
  <cellXfs count="242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9" fontId="0" fillId="0" borderId="0" xfId="5" applyFont="1" applyAlignment="1">
      <alignment horizontal="center"/>
    </xf>
    <xf numFmtId="9" fontId="0" fillId="0" borderId="0" xfId="5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3" borderId="3" xfId="0" applyFill="1" applyBorder="1"/>
    <xf numFmtId="0" fontId="0" fillId="0" borderId="1" xfId="0" applyBorder="1"/>
    <xf numFmtId="0" fontId="0" fillId="0" borderId="0" xfId="0" applyFill="1" applyBorder="1"/>
    <xf numFmtId="164" fontId="0" fillId="0" borderId="0" xfId="0" applyNumberFormat="1"/>
    <xf numFmtId="0" fontId="0" fillId="4" borderId="0" xfId="0" applyFill="1"/>
    <xf numFmtId="0" fontId="0" fillId="3" borderId="0" xfId="0" applyFill="1" applyAlignment="1">
      <alignment wrapText="1"/>
    </xf>
    <xf numFmtId="0" fontId="5" fillId="4" borderId="1" xfId="0" applyFont="1" applyFill="1" applyBorder="1"/>
    <xf numFmtId="0" fontId="0" fillId="3" borderId="5" xfId="0" applyFill="1" applyBorder="1"/>
    <xf numFmtId="165" fontId="0" fillId="0" borderId="0" xfId="0" applyNumberFormat="1" applyFill="1" applyBorder="1"/>
    <xf numFmtId="0" fontId="6" fillId="0" borderId="0" xfId="0" applyFont="1"/>
    <xf numFmtId="1" fontId="0" fillId="0" borderId="0" xfId="0" applyNumberFormat="1" applyAlignment="1">
      <alignment horizontal="center"/>
    </xf>
    <xf numFmtId="9" fontId="0" fillId="0" borderId="0" xfId="5" applyFont="1" applyFill="1"/>
    <xf numFmtId="9" fontId="0" fillId="0" borderId="0" xfId="5" applyNumberFormat="1" applyFont="1" applyFill="1" applyAlignment="1">
      <alignment horizontal="center"/>
    </xf>
    <xf numFmtId="0" fontId="4" fillId="0" borderId="0" xfId="4" applyAlignment="1" applyProtection="1"/>
    <xf numFmtId="0" fontId="5" fillId="0" borderId="0" xfId="0" applyFont="1"/>
    <xf numFmtId="164" fontId="0" fillId="0" borderId="0" xfId="5" applyNumberFormat="1" applyFont="1"/>
    <xf numFmtId="0" fontId="7" fillId="0" borderId="0" xfId="0" applyFont="1"/>
    <xf numFmtId="0" fontId="0" fillId="3" borderId="6" xfId="0" applyFill="1" applyBorder="1"/>
    <xf numFmtId="0" fontId="6" fillId="0" borderId="1" xfId="0" applyFont="1" applyBorder="1"/>
    <xf numFmtId="9" fontId="0" fillId="0" borderId="0" xfId="5" applyFont="1"/>
    <xf numFmtId="9" fontId="0" fillId="0" borderId="0" xfId="0" applyNumberFormat="1"/>
    <xf numFmtId="0" fontId="0" fillId="3" borderId="0" xfId="0" applyFill="1" applyBorder="1" applyAlignment="1">
      <alignment wrapText="1"/>
    </xf>
    <xf numFmtId="0" fontId="0" fillId="0" borderId="5" xfId="0" applyBorder="1"/>
    <xf numFmtId="0" fontId="0" fillId="3" borderId="8" xfId="0" applyFill="1" applyBorder="1"/>
    <xf numFmtId="15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15" fontId="7" fillId="0" borderId="0" xfId="0" applyNumberFormat="1" applyFont="1"/>
    <xf numFmtId="165" fontId="0" fillId="0" borderId="0" xfId="0" applyNumberFormat="1"/>
    <xf numFmtId="9" fontId="0" fillId="0" borderId="0" xfId="5" applyNumberFormat="1" applyFont="1"/>
    <xf numFmtId="0" fontId="0" fillId="7" borderId="0" xfId="0" applyFill="1"/>
    <xf numFmtId="0" fontId="0" fillId="3" borderId="7" xfId="0" applyFill="1" applyBorder="1"/>
    <xf numFmtId="0" fontId="0" fillId="5" borderId="0" xfId="0" applyFill="1"/>
    <xf numFmtId="0" fontId="0" fillId="8" borderId="0" xfId="0" applyFill="1"/>
    <xf numFmtId="9" fontId="0" fillId="7" borderId="1" xfId="5" applyFont="1" applyFill="1" applyBorder="1" applyAlignment="1">
      <alignment horizontal="center"/>
    </xf>
    <xf numFmtId="9" fontId="0" fillId="5" borderId="0" xfId="5" applyFont="1" applyFill="1"/>
    <xf numFmtId="164" fontId="0" fillId="7" borderId="1" xfId="5" applyNumberFormat="1" applyFont="1" applyFill="1" applyBorder="1" applyAlignment="1">
      <alignment horizontal="center"/>
    </xf>
    <xf numFmtId="9" fontId="0" fillId="7" borderId="4" xfId="0" applyNumberForma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166" fontId="0" fillId="7" borderId="1" xfId="1" applyNumberFormat="1" applyFont="1" applyFill="1" applyBorder="1" applyAlignment="1">
      <alignment horizontal="center"/>
    </xf>
    <xf numFmtId="9" fontId="0" fillId="5" borderId="0" xfId="0" applyNumberFormat="1" applyFill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center" wrapText="1"/>
    </xf>
    <xf numFmtId="166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/>
    <xf numFmtId="0" fontId="0" fillId="0" borderId="0" xfId="0" applyAlignment="1"/>
    <xf numFmtId="168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7" fontId="0" fillId="0" borderId="0" xfId="1" applyNumberFormat="1" applyFon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4" borderId="3" xfId="0" applyFill="1" applyBorder="1"/>
    <xf numFmtId="1" fontId="0" fillId="0" borderId="0" xfId="0" applyNumberFormat="1" applyBorder="1" applyAlignment="1">
      <alignment vertical="center"/>
    </xf>
    <xf numFmtId="0" fontId="0" fillId="0" borderId="0" xfId="0" applyFill="1" applyAlignment="1">
      <alignment horizontal="center"/>
    </xf>
    <xf numFmtId="166" fontId="0" fillId="0" borderId="0" xfId="1" applyNumberFormat="1" applyFont="1" applyAlignment="1">
      <alignment horizontal="right" vertical="center"/>
    </xf>
    <xf numFmtId="164" fontId="0" fillId="5" borderId="0" xfId="5" applyNumberFormat="1" applyFont="1" applyFill="1"/>
    <xf numFmtId="0" fontId="5" fillId="6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5" fontId="0" fillId="0" borderId="0" xfId="0" applyNumberFormat="1" applyAlignment="1">
      <alignment horizontal="right"/>
    </xf>
    <xf numFmtId="0" fontId="5" fillId="8" borderId="0" xfId="0" applyFont="1" applyFill="1"/>
    <xf numFmtId="16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10" borderId="0" xfId="0" applyFont="1" applyFill="1"/>
    <xf numFmtId="0" fontId="8" fillId="0" borderId="0" xfId="0" applyFont="1"/>
    <xf numFmtId="0" fontId="8" fillId="0" borderId="0" xfId="0" applyFont="1" applyFill="1"/>
    <xf numFmtId="15" fontId="0" fillId="9" borderId="0" xfId="0" applyNumberFormat="1" applyFill="1" applyAlignment="1">
      <alignment horizontal="left"/>
    </xf>
    <xf numFmtId="0" fontId="3" fillId="0" borderId="0" xfId="0" applyFont="1" applyBorder="1"/>
    <xf numFmtId="166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2" fillId="2" borderId="0" xfId="2" applyFont="1" applyAlignment="1"/>
    <xf numFmtId="0" fontId="2" fillId="0" borderId="0" xfId="0" applyFont="1" applyFill="1" applyBorder="1" applyAlignment="1">
      <alignment horizontal="right"/>
    </xf>
    <xf numFmtId="9" fontId="0" fillId="11" borderId="0" xfId="5" applyFont="1" applyFill="1"/>
    <xf numFmtId="9" fontId="0" fillId="0" borderId="0" xfId="5" applyFont="1" applyBorder="1"/>
    <xf numFmtId="0" fontId="0" fillId="11" borderId="0" xfId="0" quotePrefix="1" applyFill="1"/>
    <xf numFmtId="0" fontId="2" fillId="0" borderId="0" xfId="0" applyFont="1"/>
    <xf numFmtId="0" fontId="0" fillId="0" borderId="0" xfId="0" applyFont="1" applyBorder="1"/>
    <xf numFmtId="0" fontId="0" fillId="0" borderId="0" xfId="0" applyFont="1" applyFill="1" applyBorder="1"/>
    <xf numFmtId="166" fontId="0" fillId="0" borderId="0" xfId="1" applyNumberFormat="1" applyFont="1" applyBorder="1"/>
    <xf numFmtId="166" fontId="0" fillId="7" borderId="4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>
      <alignment readingOrder="1"/>
    </xf>
    <xf numFmtId="0" fontId="2" fillId="0" borderId="0" xfId="7"/>
    <xf numFmtId="167" fontId="2" fillId="0" borderId="1" xfId="1" applyNumberFormat="1" applyBorder="1"/>
    <xf numFmtId="166" fontId="2" fillId="0" borderId="1" xfId="1" applyNumberFormat="1" applyBorder="1"/>
    <xf numFmtId="0" fontId="2" fillId="0" borderId="1" xfId="8" applyFont="1" applyBorder="1"/>
    <xf numFmtId="0" fontId="2" fillId="0" borderId="1" xfId="8" applyBorder="1"/>
    <xf numFmtId="0" fontId="2" fillId="8" borderId="1" xfId="8" applyFill="1" applyBorder="1" applyAlignment="1">
      <alignment wrapText="1"/>
    </xf>
    <xf numFmtId="0" fontId="2" fillId="8" borderId="1" xfId="8" applyFont="1" applyFill="1" applyBorder="1" applyAlignment="1">
      <alignment wrapText="1"/>
    </xf>
    <xf numFmtId="166" fontId="2" fillId="0" borderId="0" xfId="7" applyNumberFormat="1"/>
    <xf numFmtId="9" fontId="2" fillId="0" borderId="1" xfId="5" applyBorder="1"/>
    <xf numFmtId="166" fontId="0" fillId="0" borderId="1" xfId="1" applyNumberFormat="1" applyFont="1" applyBorder="1">
      <alignment readingOrder="1"/>
    </xf>
    <xf numFmtId="0" fontId="2" fillId="0" borderId="0" xfId="8"/>
    <xf numFmtId="0" fontId="2" fillId="0" borderId="0" xfId="197"/>
    <xf numFmtId="166" fontId="2" fillId="0" borderId="26" xfId="1" applyNumberFormat="1" applyBorder="1"/>
    <xf numFmtId="9" fontId="2" fillId="0" borderId="27" xfId="5" applyBorder="1"/>
    <xf numFmtId="3" fontId="2" fillId="0" borderId="28" xfId="8" applyNumberFormat="1" applyBorder="1"/>
    <xf numFmtId="9" fontId="2" fillId="0" borderId="28" xfId="5" applyBorder="1"/>
    <xf numFmtId="9" fontId="2" fillId="0" borderId="29" xfId="5" applyBorder="1"/>
    <xf numFmtId="3" fontId="2" fillId="0" borderId="30" xfId="8" applyNumberFormat="1" applyBorder="1"/>
    <xf numFmtId="3" fontId="2" fillId="0" borderId="31" xfId="8" applyNumberFormat="1" applyBorder="1"/>
    <xf numFmtId="0" fontId="2" fillId="0" borderId="27" xfId="8" applyFont="1" applyFill="1" applyBorder="1" applyAlignment="1">
      <alignment vertical="top" wrapText="1"/>
    </xf>
    <xf numFmtId="166" fontId="2" fillId="0" borderId="32" xfId="1" applyNumberFormat="1" applyBorder="1"/>
    <xf numFmtId="9" fontId="2" fillId="0" borderId="5" xfId="5" applyBorder="1"/>
    <xf numFmtId="3" fontId="2" fillId="0" borderId="1" xfId="8" applyNumberFormat="1" applyBorder="1"/>
    <xf numFmtId="0" fontId="2" fillId="0" borderId="33" xfId="8" applyBorder="1"/>
    <xf numFmtId="9" fontId="2" fillId="0" borderId="34" xfId="5" applyBorder="1"/>
    <xf numFmtId="0" fontId="2" fillId="0" borderId="4" xfId="8" applyBorder="1"/>
    <xf numFmtId="3" fontId="2" fillId="0" borderId="33" xfId="8" applyNumberFormat="1" applyBorder="1"/>
    <xf numFmtId="0" fontId="2" fillId="0" borderId="13" xfId="8" applyFont="1" applyBorder="1" applyAlignment="1">
      <alignment vertical="top" wrapText="1"/>
    </xf>
    <xf numFmtId="0" fontId="2" fillId="8" borderId="35" xfId="8" applyFont="1" applyFill="1" applyBorder="1" applyAlignment="1">
      <alignment vertical="top" wrapText="1"/>
    </xf>
    <xf numFmtId="0" fontId="2" fillId="8" borderId="5" xfId="8" applyFont="1" applyFill="1" applyBorder="1" applyAlignment="1">
      <alignment wrapText="1"/>
    </xf>
    <xf numFmtId="0" fontId="2" fillId="8" borderId="1" xfId="8" applyFont="1" applyFill="1" applyBorder="1" applyAlignment="1">
      <alignment vertical="top" wrapText="1"/>
    </xf>
    <xf numFmtId="0" fontId="2" fillId="8" borderId="33" xfId="8" applyFont="1" applyFill="1" applyBorder="1" applyAlignment="1">
      <alignment vertical="top" wrapText="1"/>
    </xf>
    <xf numFmtId="0" fontId="2" fillId="8" borderId="5" xfId="8" applyFont="1" applyFill="1" applyBorder="1" applyAlignment="1">
      <alignment vertical="top" wrapText="1"/>
    </xf>
    <xf numFmtId="0" fontId="2" fillId="8" borderId="4" xfId="8" applyFont="1" applyFill="1" applyBorder="1" applyAlignment="1">
      <alignment vertical="top" wrapText="1"/>
    </xf>
    <xf numFmtId="0" fontId="2" fillId="8" borderId="34" xfId="8" applyFont="1" applyFill="1" applyBorder="1" applyAlignment="1">
      <alignment vertical="top" wrapText="1"/>
    </xf>
    <xf numFmtId="0" fontId="2" fillId="0" borderId="0" xfId="197">
      <alignment readingOrder="1"/>
    </xf>
    <xf numFmtId="0" fontId="5" fillId="0" borderId="0" xfId="8" applyFont="1"/>
    <xf numFmtId="3" fontId="2" fillId="0" borderId="1" xfId="8" applyNumberFormat="1" applyFont="1" applyBorder="1"/>
    <xf numFmtId="0" fontId="2" fillId="0" borderId="1" xfId="8" applyFont="1" applyBorder="1" applyAlignment="1">
      <alignment wrapText="1"/>
    </xf>
    <xf numFmtId="0" fontId="2" fillId="0" borderId="6" xfId="8" applyFont="1" applyBorder="1" applyAlignment="1">
      <alignment vertical="top" wrapText="1"/>
    </xf>
    <xf numFmtId="0" fontId="2" fillId="0" borderId="0" xfId="8" applyBorder="1"/>
    <xf numFmtId="44" fontId="0" fillId="0" borderId="1" xfId="126" applyNumberFormat="1" applyFont="1" applyBorder="1"/>
    <xf numFmtId="171" fontId="2" fillId="0" borderId="1" xfId="126" applyNumberFormat="1" applyFont="1" applyBorder="1"/>
    <xf numFmtId="166" fontId="0" fillId="0" borderId="1" xfId="1" applyNumberFormat="1" applyFont="1" applyBorder="1"/>
    <xf numFmtId="166" fontId="2" fillId="0" borderId="1" xfId="1" applyNumberFormat="1" applyFont="1" applyBorder="1" applyAlignment="1">
      <alignment vertical="top" wrapText="1"/>
    </xf>
    <xf numFmtId="6" fontId="2" fillId="8" borderId="1" xfId="8" applyNumberFormat="1" applyFont="1" applyFill="1" applyBorder="1" applyAlignment="1">
      <alignment vertical="top" wrapText="1"/>
    </xf>
    <xf numFmtId="0" fontId="2" fillId="0" borderId="0" xfId="8" applyFont="1"/>
    <xf numFmtId="9" fontId="2" fillId="0" borderId="1" xfId="5" applyFont="1" applyBorder="1"/>
    <xf numFmtId="0" fontId="2" fillId="0" borderId="1" xfId="8" applyFont="1" applyFill="1" applyBorder="1"/>
    <xf numFmtId="165" fontId="2" fillId="0" borderId="1" xfId="8" applyNumberFormat="1" applyFont="1" applyBorder="1"/>
    <xf numFmtId="9" fontId="2" fillId="54" borderId="1" xfId="339" applyFill="1" applyBorder="1"/>
    <xf numFmtId="3" fontId="6" fillId="54" borderId="1" xfId="8" applyNumberFormat="1" applyFont="1" applyFill="1" applyBorder="1"/>
    <xf numFmtId="0" fontId="2" fillId="0" borderId="1" xfId="8" applyFill="1" applyBorder="1"/>
    <xf numFmtId="3" fontId="2" fillId="54" borderId="1" xfId="8" applyNumberFormat="1" applyFill="1" applyBorder="1"/>
    <xf numFmtId="0" fontId="2" fillId="54" borderId="1" xfId="8" applyFill="1" applyBorder="1" applyAlignment="1">
      <alignment wrapText="1"/>
    </xf>
    <xf numFmtId="3" fontId="2" fillId="54" borderId="1" xfId="8" applyNumberFormat="1" applyFill="1" applyBorder="1" applyAlignment="1">
      <alignment wrapText="1"/>
    </xf>
    <xf numFmtId="0" fontId="2" fillId="0" borderId="1" xfId="8" applyBorder="1" applyAlignment="1">
      <alignment wrapText="1"/>
    </xf>
    <xf numFmtId="3" fontId="2" fillId="0" borderId="1" xfId="8" applyNumberFormat="1" applyBorder="1" applyAlignment="1">
      <alignment wrapText="1"/>
    </xf>
    <xf numFmtId="9" fontId="2" fillId="0" borderId="0" xfId="5" applyFont="1"/>
    <xf numFmtId="1" fontId="2" fillId="0" borderId="1" xfId="8" applyNumberFormat="1" applyBorder="1"/>
    <xf numFmtId="1" fontId="6" fillId="54" borderId="1" xfId="8" applyNumberFormat="1" applyFont="1" applyFill="1" applyBorder="1"/>
    <xf numFmtId="3" fontId="2" fillId="0" borderId="1" xfId="197" applyNumberFormat="1" applyFill="1" applyBorder="1">
      <alignment readingOrder="1"/>
    </xf>
    <xf numFmtId="0" fontId="2" fillId="0" borderId="1" xfId="197" applyFill="1" applyBorder="1">
      <alignment readingOrder="1"/>
    </xf>
    <xf numFmtId="0" fontId="2" fillId="8" borderId="1" xfId="197" applyFont="1" applyFill="1" applyBorder="1" applyAlignment="1">
      <alignment wrapText="1" readingOrder="1"/>
    </xf>
    <xf numFmtId="0" fontId="2" fillId="8" borderId="1" xfId="197" applyFont="1" applyFill="1" applyBorder="1" applyAlignment="1">
      <alignment horizontal="center" wrapText="1" readingOrder="1"/>
    </xf>
    <xf numFmtId="9" fontId="2" fillId="0" borderId="1" xfId="8" applyNumberFormat="1" applyBorder="1"/>
    <xf numFmtId="0" fontId="2" fillId="0" borderId="1" xfId="197" applyBorder="1"/>
    <xf numFmtId="0" fontId="2" fillId="55" borderId="1" xfId="8" applyFont="1" applyFill="1" applyBorder="1" applyAlignment="1">
      <alignment wrapText="1"/>
    </xf>
    <xf numFmtId="0" fontId="2" fillId="8" borderId="1" xfId="8" applyFont="1" applyFill="1" applyBorder="1" applyAlignment="1">
      <alignment horizontal="center" wrapText="1"/>
    </xf>
    <xf numFmtId="0" fontId="52" fillId="0" borderId="0" xfId="8" applyFont="1"/>
    <xf numFmtId="0" fontId="2" fillId="8" borderId="10" xfId="8" applyFont="1" applyFill="1" applyBorder="1" applyAlignment="1">
      <alignment vertical="top" wrapText="1"/>
    </xf>
    <xf numFmtId="0" fontId="2" fillId="8" borderId="9" xfId="8" applyFont="1" applyFill="1" applyBorder="1" applyAlignment="1">
      <alignment vertical="top" wrapText="1"/>
    </xf>
    <xf numFmtId="0" fontId="2" fillId="8" borderId="42" xfId="8" applyFont="1" applyFill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5" fillId="0" borderId="0" xfId="8" applyFont="1" applyFill="1" applyBorder="1" applyAlignment="1">
      <alignment vertical="top" wrapText="1"/>
    </xf>
    <xf numFmtId="0" fontId="2" fillId="8" borderId="1" xfId="8" applyFill="1" applyBorder="1" applyAlignment="1">
      <alignment horizontal="center" wrapText="1"/>
    </xf>
    <xf numFmtId="0" fontId="2" fillId="0" borderId="1" xfId="8" applyFont="1" applyBorder="1" applyAlignment="1">
      <alignment vertical="top" wrapText="1"/>
    </xf>
    <xf numFmtId="171" fontId="2" fillId="0" borderId="1" xfId="126" applyNumberFormat="1" applyBorder="1"/>
    <xf numFmtId="44" fontId="2" fillId="0" borderId="1" xfId="126" applyFont="1" applyBorder="1" applyAlignment="1">
      <alignment vertical="top" wrapText="1"/>
    </xf>
    <xf numFmtId="0" fontId="2" fillId="0" borderId="1" xfId="126" applyNumberFormat="1" applyFont="1" applyBorder="1" applyAlignment="1">
      <alignment vertical="top" wrapText="1"/>
    </xf>
    <xf numFmtId="0" fontId="53" fillId="0" borderId="0" xfId="0" applyFont="1"/>
    <xf numFmtId="3" fontId="0" fillId="0" borderId="0" xfId="0" applyNumberFormat="1"/>
    <xf numFmtId="0" fontId="54" fillId="0" borderId="0" xfId="0" applyFont="1" applyFill="1" applyBorder="1"/>
    <xf numFmtId="0" fontId="54" fillId="0" borderId="0" xfId="0" applyFont="1"/>
    <xf numFmtId="0" fontId="0" fillId="11" borderId="0" xfId="0" applyFill="1"/>
    <xf numFmtId="3" fontId="2" fillId="0" borderId="1" xfId="8" applyNumberFormat="1" applyFill="1" applyBorder="1"/>
    <xf numFmtId="43" fontId="2" fillId="0" borderId="34" xfId="1" applyBorder="1"/>
    <xf numFmtId="43" fontId="2" fillId="0" borderId="29" xfId="1" applyBorder="1"/>
    <xf numFmtId="43" fontId="2" fillId="0" borderId="1" xfId="8" applyNumberFormat="1" applyFill="1" applyBorder="1"/>
    <xf numFmtId="1" fontId="2" fillId="0" borderId="0" xfId="8" applyNumberFormat="1"/>
    <xf numFmtId="9" fontId="0" fillId="11" borderId="0" xfId="5" applyFont="1" applyFill="1" applyAlignment="1">
      <alignment horizontal="center"/>
    </xf>
    <xf numFmtId="10" fontId="0" fillId="11" borderId="0" xfId="0" applyNumberFormat="1" applyFill="1"/>
    <xf numFmtId="9" fontId="0" fillId="11" borderId="0" xfId="0" applyNumberFormat="1" applyFill="1"/>
    <xf numFmtId="0" fontId="55" fillId="0" borderId="0" xfId="6" applyFont="1"/>
    <xf numFmtId="0" fontId="56" fillId="0" borderId="0" xfId="0" applyFont="1"/>
    <xf numFmtId="0" fontId="56" fillId="0" borderId="0" xfId="0" applyFont="1" applyFill="1" applyBorder="1"/>
    <xf numFmtId="9" fontId="0" fillId="5" borderId="0" xfId="5" applyNumberFormat="1" applyFont="1" applyFill="1"/>
    <xf numFmtId="0" fontId="55" fillId="0" borderId="0" xfId="6" applyFont="1" applyFill="1"/>
    <xf numFmtId="0" fontId="57" fillId="56" borderId="43" xfId="6" applyFont="1" applyFill="1" applyBorder="1"/>
    <xf numFmtId="0" fontId="2" fillId="8" borderId="1" xfId="8" applyFill="1" applyBorder="1" applyAlignment="1">
      <alignment horizontal="center"/>
    </xf>
    <xf numFmtId="0" fontId="2" fillId="8" borderId="1" xfId="8" applyFill="1" applyBorder="1"/>
    <xf numFmtId="0" fontId="2" fillId="8" borderId="5" xfId="8" applyFill="1" applyBorder="1" applyAlignment="1">
      <alignment horizontal="center"/>
    </xf>
    <xf numFmtId="0" fontId="2" fillId="8" borderId="11" xfId="8" applyFill="1" applyBorder="1" applyAlignment="1">
      <alignment horizontal="center"/>
    </xf>
    <xf numFmtId="0" fontId="2" fillId="8" borderId="4" xfId="8" applyFill="1" applyBorder="1" applyAlignment="1">
      <alignment horizontal="center"/>
    </xf>
    <xf numFmtId="0" fontId="2" fillId="8" borderId="38" xfId="8" applyFont="1" applyFill="1" applyBorder="1" applyAlignment="1">
      <alignment horizontal="center"/>
    </xf>
    <xf numFmtId="0" fontId="2" fillId="8" borderId="37" xfId="8" applyFont="1" applyFill="1" applyBorder="1" applyAlignment="1">
      <alignment horizontal="center"/>
    </xf>
    <xf numFmtId="0" fontId="2" fillId="8" borderId="36" xfId="8" applyFont="1" applyFill="1" applyBorder="1" applyAlignment="1">
      <alignment horizontal="center"/>
    </xf>
    <xf numFmtId="0" fontId="2" fillId="8" borderId="38" xfId="8" applyFont="1" applyFill="1" applyBorder="1" applyAlignment="1">
      <alignment horizontal="center" vertical="top" wrapText="1"/>
    </xf>
    <xf numFmtId="0" fontId="2" fillId="8" borderId="37" xfId="8" applyFont="1" applyFill="1" applyBorder="1" applyAlignment="1">
      <alignment horizontal="center" vertical="top" wrapText="1"/>
    </xf>
    <xf numFmtId="0" fontId="2" fillId="8" borderId="33" xfId="8" applyFont="1" applyFill="1" applyBorder="1" applyAlignment="1">
      <alignment horizontal="center" vertical="top" wrapText="1"/>
    </xf>
    <xf numFmtId="0" fontId="2" fillId="8" borderId="1" xfId="8" applyFont="1" applyFill="1" applyBorder="1" applyAlignment="1">
      <alignment horizontal="center" vertical="top" wrapText="1"/>
    </xf>
    <xf numFmtId="0" fontId="2" fillId="8" borderId="12" xfId="8" applyFont="1" applyFill="1" applyBorder="1" applyAlignment="1">
      <alignment vertical="top" wrapText="1"/>
    </xf>
    <xf numFmtId="0" fontId="2" fillId="8" borderId="7" xfId="8" applyFont="1" applyFill="1" applyBorder="1" applyAlignment="1">
      <alignment vertical="top" wrapText="1"/>
    </xf>
    <xf numFmtId="0" fontId="2" fillId="8" borderId="13" xfId="8" applyFont="1" applyFill="1" applyBorder="1" applyAlignment="1">
      <alignment vertical="top" wrapText="1"/>
    </xf>
    <xf numFmtId="0" fontId="2" fillId="8" borderId="36" xfId="8" applyFont="1" applyFill="1" applyBorder="1" applyAlignment="1">
      <alignment horizontal="center" vertical="top" wrapText="1"/>
    </xf>
    <xf numFmtId="0" fontId="2" fillId="8" borderId="34" xfId="8" applyFont="1" applyFill="1" applyBorder="1" applyAlignment="1">
      <alignment horizontal="center" vertical="top" wrapText="1"/>
    </xf>
    <xf numFmtId="0" fontId="2" fillId="8" borderId="4" xfId="8" applyFont="1" applyFill="1" applyBorder="1" applyAlignment="1">
      <alignment horizontal="center" vertical="top" wrapText="1"/>
    </xf>
    <xf numFmtId="0" fontId="2" fillId="8" borderId="1" xfId="8" applyFont="1" applyFill="1" applyBorder="1" applyAlignment="1">
      <alignment horizontal="center"/>
    </xf>
    <xf numFmtId="0" fontId="2" fillId="8" borderId="5" xfId="8" applyFont="1" applyFill="1" applyBorder="1" applyAlignment="1">
      <alignment horizontal="center"/>
    </xf>
    <xf numFmtId="0" fontId="52" fillId="8" borderId="39" xfId="8" applyFont="1" applyFill="1" applyBorder="1" applyAlignment="1">
      <alignment horizontal="center"/>
    </xf>
    <xf numFmtId="0" fontId="52" fillId="8" borderId="40" xfId="8" applyFont="1" applyFill="1" applyBorder="1" applyAlignment="1">
      <alignment horizontal="center"/>
    </xf>
    <xf numFmtId="0" fontId="52" fillId="8" borderId="41" xfId="8" applyFont="1" applyFill="1" applyBorder="1" applyAlignment="1">
      <alignment horizontal="center"/>
    </xf>
    <xf numFmtId="0" fontId="2" fillId="8" borderId="0" xfId="8" applyFont="1" applyFill="1" applyBorder="1" applyAlignment="1">
      <alignment horizontal="center" vertical="top" wrapText="1"/>
    </xf>
    <xf numFmtId="0" fontId="2" fillId="8" borderId="8" xfId="8" applyFont="1" applyFill="1" applyBorder="1" applyAlignment="1">
      <alignment horizontal="center" vertical="top" wrapText="1"/>
    </xf>
    <xf numFmtId="0" fontId="2" fillId="8" borderId="7" xfId="8" applyFont="1" applyFill="1" applyBorder="1" applyAlignment="1">
      <alignment horizontal="center" vertical="top" wrapText="1"/>
    </xf>
    <xf numFmtId="0" fontId="2" fillId="8" borderId="0" xfId="8" applyFont="1" applyFill="1" applyBorder="1" applyAlignment="1">
      <alignment horizontal="center"/>
    </xf>
    <xf numFmtId="0" fontId="2" fillId="8" borderId="9" xfId="8" applyFont="1" applyFill="1" applyBorder="1" applyAlignment="1">
      <alignment horizontal="center" vertical="top" wrapText="1"/>
    </xf>
    <xf numFmtId="0" fontId="2" fillId="8" borderId="10" xfId="8" applyFont="1" applyFill="1" applyBorder="1" applyAlignment="1">
      <alignment horizontal="center" vertical="top" wrapText="1"/>
    </xf>
    <xf numFmtId="0" fontId="2" fillId="8" borderId="13" xfId="8" applyFont="1" applyFill="1" applyBorder="1" applyAlignment="1">
      <alignment horizontal="center" vertical="top" wrapText="1"/>
    </xf>
    <xf numFmtId="0" fontId="2" fillId="8" borderId="9" xfId="8" applyFont="1" applyFill="1" applyBorder="1" applyAlignment="1">
      <alignment horizontal="center"/>
    </xf>
    <xf numFmtId="0" fontId="2" fillId="8" borderId="5" xfId="8" applyFont="1" applyFill="1" applyBorder="1" applyAlignment="1">
      <alignment horizontal="center" vertical="top" wrapText="1"/>
    </xf>
    <xf numFmtId="0" fontId="2" fillId="8" borderId="11" xfId="8" applyFont="1" applyFill="1" applyBorder="1" applyAlignment="1">
      <alignment horizontal="center" vertical="top" wrapText="1"/>
    </xf>
    <xf numFmtId="0" fontId="2" fillId="8" borderId="1" xfId="197" applyFont="1" applyFill="1" applyBorder="1" applyAlignment="1">
      <alignment horizontal="center" vertical="top" wrapText="1"/>
    </xf>
    <xf numFmtId="0" fontId="2" fillId="8" borderId="3" xfId="8" applyFont="1" applyFill="1" applyBorder="1" applyAlignment="1">
      <alignment horizontal="center" wrapText="1"/>
    </xf>
    <xf numFmtId="0" fontId="2" fillId="8" borderId="2" xfId="8" applyFont="1" applyFill="1" applyBorder="1" applyAlignment="1">
      <alignment horizontal="center" wrapText="1"/>
    </xf>
    <xf numFmtId="0" fontId="2" fillId="8" borderId="6" xfId="8" applyFont="1" applyFill="1" applyBorder="1" applyAlignment="1">
      <alignment horizontal="center" wrapText="1"/>
    </xf>
    <xf numFmtId="0" fontId="2" fillId="8" borderId="1" xfId="8" applyFont="1" applyFill="1" applyBorder="1" applyAlignment="1">
      <alignment horizontal="center" wrapText="1"/>
    </xf>
    <xf numFmtId="0" fontId="2" fillId="8" borderId="3" xfId="8" applyFill="1" applyBorder="1" applyAlignment="1">
      <alignment horizontal="center"/>
    </xf>
    <xf numFmtId="0" fontId="2" fillId="8" borderId="6" xfId="8" applyFill="1" applyBorder="1" applyAlignment="1">
      <alignment horizontal="center"/>
    </xf>
    <xf numFmtId="0" fontId="6" fillId="8" borderId="1" xfId="197" applyFont="1" applyFill="1" applyBorder="1" applyAlignment="1">
      <alignment horizontal="center" wrapText="1" readingOrder="1"/>
    </xf>
    <xf numFmtId="0" fontId="2" fillId="8" borderId="1" xfId="197" applyFont="1" applyFill="1" applyBorder="1" applyAlignment="1">
      <alignment horizontal="center" wrapText="1" readingOrder="1"/>
    </xf>
    <xf numFmtId="0" fontId="2" fillId="8" borderId="11" xfId="8" applyFont="1" applyFill="1" applyBorder="1" applyAlignment="1">
      <alignment horizontal="center"/>
    </xf>
    <xf numFmtId="0" fontId="2" fillId="8" borderId="4" xfId="8" applyFont="1" applyFill="1" applyBorder="1" applyAlignment="1">
      <alignment horizontal="center"/>
    </xf>
    <xf numFmtId="0" fontId="0" fillId="0" borderId="0" xfId="0" applyFont="1"/>
    <xf numFmtId="0" fontId="0" fillId="0" borderId="5" xfId="0" applyFont="1" applyBorder="1"/>
    <xf numFmtId="9" fontId="0" fillId="0" borderId="4" xfId="5" applyFont="1" applyBorder="1"/>
  </cellXfs>
  <cellStyles count="365">
    <cellStyle name="20% - Accent1 2" xfId="9"/>
    <cellStyle name="20% - Accent1 2 2" xfId="10"/>
    <cellStyle name="20% - Accent1 3" xfId="11"/>
    <cellStyle name="20% - Accent2 2" xfId="12"/>
    <cellStyle name="20% - Accent2 3" xfId="13"/>
    <cellStyle name="20% - Accent3 2" xfId="14"/>
    <cellStyle name="20% - Accent3 2 2" xfId="15"/>
    <cellStyle name="20% - Accent3 3" xfId="16"/>
    <cellStyle name="20% - Accent4 2" xfId="17"/>
    <cellStyle name="20% - Accent4 2 2" xfId="18"/>
    <cellStyle name="20% - Accent4 3" xfId="19"/>
    <cellStyle name="20% - Accent5 2" xfId="20"/>
    <cellStyle name="20% - Accent5 3" xfId="21"/>
    <cellStyle name="20% - Accent6 2" xfId="22"/>
    <cellStyle name="20% - Accent6 3" xfId="23"/>
    <cellStyle name="40% - Accent1 2" xfId="24"/>
    <cellStyle name="40% - Accent1 2 2" xfId="25"/>
    <cellStyle name="40% - Accent1 3" xfId="26"/>
    <cellStyle name="40% - Accent2 2" xfId="27"/>
    <cellStyle name="40% - Accent2 2 2" xfId="28"/>
    <cellStyle name="40% - Accent2 3" xfId="29"/>
    <cellStyle name="40% - Accent3 2" xfId="30"/>
    <cellStyle name="40% - Accent3 2 2" xfId="31"/>
    <cellStyle name="40% - Accent3 3" xfId="32"/>
    <cellStyle name="40% - Accent4 2" xfId="33"/>
    <cellStyle name="40% - Accent4 2 2" xfId="34"/>
    <cellStyle name="40% - Accent4 3" xfId="35"/>
    <cellStyle name="40% - Accent5 2" xfId="36"/>
    <cellStyle name="40% - Accent5 3" xfId="37"/>
    <cellStyle name="40% - Accent6 2" xfId="38"/>
    <cellStyle name="40% - Accent6 2 2" xfId="39"/>
    <cellStyle name="40% - Accent6 3" xfId="40"/>
    <cellStyle name="60% - Accent1 2" xfId="41"/>
    <cellStyle name="60% - Accent1 2 2" xfId="42"/>
    <cellStyle name="60% - Accent1 3" xfId="43"/>
    <cellStyle name="60% - Accent2 2" xfId="44"/>
    <cellStyle name="60% - Accent2 2 2" xfId="45"/>
    <cellStyle name="60% - Accent2 3" xfId="46"/>
    <cellStyle name="60% - Accent3 2" xfId="47"/>
    <cellStyle name="60% - Accent3 2 2" xfId="48"/>
    <cellStyle name="60% - Accent3 3" xfId="49"/>
    <cellStyle name="60% - Accent4 2" xfId="50"/>
    <cellStyle name="60% - Accent4 2 2" xfId="51"/>
    <cellStyle name="60% - Accent4 3" xfId="52"/>
    <cellStyle name="60% - Accent5 2" xfId="53"/>
    <cellStyle name="60% - Accent5 3" xfId="54"/>
    <cellStyle name="60% - Accent6 2" xfId="55"/>
    <cellStyle name="60% - Accent6 2 2" xfId="56"/>
    <cellStyle name="60% - Accent6 3" xfId="57"/>
    <cellStyle name="Accent1 - 20%" xfId="58"/>
    <cellStyle name="Accent1 - 40%" xfId="59"/>
    <cellStyle name="Accent1 - 60%" xfId="60"/>
    <cellStyle name="Accent1 2" xfId="61"/>
    <cellStyle name="Accent1 2 2" xfId="62"/>
    <cellStyle name="Accent1 3" xfId="63"/>
    <cellStyle name="Accent2 - 20%" xfId="64"/>
    <cellStyle name="Accent2 - 40%" xfId="65"/>
    <cellStyle name="Accent2 - 60%" xfId="66"/>
    <cellStyle name="Accent2 2" xfId="67"/>
    <cellStyle name="Accent2 3" xfId="68"/>
    <cellStyle name="Accent3 - 20%" xfId="69"/>
    <cellStyle name="Accent3 - 40%" xfId="70"/>
    <cellStyle name="Accent3 - 60%" xfId="71"/>
    <cellStyle name="Accent3 2" xfId="72"/>
    <cellStyle name="Accent3 2 2" xfId="73"/>
    <cellStyle name="Accent3 3" xfId="74"/>
    <cellStyle name="Accent4 - 20%" xfId="75"/>
    <cellStyle name="Accent4 - 40%" xfId="76"/>
    <cellStyle name="Accent4 - 60%" xfId="77"/>
    <cellStyle name="Accent4 2" xfId="78"/>
    <cellStyle name="Accent4 2 2" xfId="79"/>
    <cellStyle name="Accent4 3" xfId="80"/>
    <cellStyle name="Accent5 - 20%" xfId="81"/>
    <cellStyle name="Accent5 - 40%" xfId="82"/>
    <cellStyle name="Accent5 - 60%" xfId="83"/>
    <cellStyle name="Accent5 2" xfId="84"/>
    <cellStyle name="Accent5 3" xfId="85"/>
    <cellStyle name="Accent6 - 20%" xfId="86"/>
    <cellStyle name="Accent6 - 40%" xfId="87"/>
    <cellStyle name="Accent6 - 60%" xfId="88"/>
    <cellStyle name="Accent6 2" xfId="89"/>
    <cellStyle name="Accent6 3" xfId="90"/>
    <cellStyle name="Bad 2" xfId="91"/>
    <cellStyle name="Bad 2 2" xfId="92"/>
    <cellStyle name="Bad 3" xfId="93"/>
    <cellStyle name="Calculation 2" xfId="94"/>
    <cellStyle name="Calculation 2 2" xfId="95"/>
    <cellStyle name="Calculation 3" xfId="96"/>
    <cellStyle name="Check Cell 2" xfId="97"/>
    <cellStyle name="Check Cell 3" xfId="98"/>
    <cellStyle name="Comma" xfId="1" builtinId="3"/>
    <cellStyle name="Comma [0] 2" xfId="99"/>
    <cellStyle name="Comma 2" xfId="100"/>
    <cellStyle name="Comma 2 2" xfId="101"/>
    <cellStyle name="Comma 2 2 2" xfId="102"/>
    <cellStyle name="Comma 2 2 3" xfId="103"/>
    <cellStyle name="Comma 2 3" xfId="104"/>
    <cellStyle name="Comma 2 4" xfId="105"/>
    <cellStyle name="Comma 2 5" xfId="106"/>
    <cellStyle name="Comma 3" xfId="107"/>
    <cellStyle name="Comma 3 2" xfId="108"/>
    <cellStyle name="Comma 3 2 2" xfId="109"/>
    <cellStyle name="Comma 3 2 3" xfId="110"/>
    <cellStyle name="Comma 3 3" xfId="111"/>
    <cellStyle name="Comma 3 3 2" xfId="112"/>
    <cellStyle name="Comma 3 3 3" xfId="113"/>
    <cellStyle name="Comma 3 3 4" xfId="114"/>
    <cellStyle name="Comma 3 4" xfId="115"/>
    <cellStyle name="Comma 4" xfId="116"/>
    <cellStyle name="Comma 4 2" xfId="117"/>
    <cellStyle name="Comma 4 2 2" xfId="118"/>
    <cellStyle name="Comma 4 3" xfId="119"/>
    <cellStyle name="Comma 5" xfId="120"/>
    <cellStyle name="Comma 5 2" xfId="121"/>
    <cellStyle name="Comma 5 3" xfId="122"/>
    <cellStyle name="Comma 6" xfId="123"/>
    <cellStyle name="Comma 7" xfId="124"/>
    <cellStyle name="Comma 8" xfId="125"/>
    <cellStyle name="Currency 2" xfId="126"/>
    <cellStyle name="Currency 2 2" xfId="127"/>
    <cellStyle name="Currency 2 2 2" xfId="128"/>
    <cellStyle name="Currency 2 2 3" xfId="129"/>
    <cellStyle name="Currency 2 3" xfId="130"/>
    <cellStyle name="Currency 2 4" xfId="131"/>
    <cellStyle name="Currency 2 5" xfId="132"/>
    <cellStyle name="Currency 3" xfId="133"/>
    <cellStyle name="Currency 3 2" xfId="134"/>
    <cellStyle name="Currency 3 2 2" xfId="135"/>
    <cellStyle name="Currency 3 2 3" xfId="136"/>
    <cellStyle name="Currency 3 3" xfId="137"/>
    <cellStyle name="Currency 3 4" xfId="138"/>
    <cellStyle name="Currency 4" xfId="139"/>
    <cellStyle name="Currency 5" xfId="140"/>
    <cellStyle name="Currency 5 2" xfId="141"/>
    <cellStyle name="Currency 5 2 2" xfId="142"/>
    <cellStyle name="Currency 5 3" xfId="143"/>
    <cellStyle name="Currency 6" xfId="144"/>
    <cellStyle name="Currency 6 2" xfId="145"/>
    <cellStyle name="Currency 7" xfId="146"/>
    <cellStyle name="Currency 7 2" xfId="147"/>
    <cellStyle name="Currency 8" xfId="148"/>
    <cellStyle name="Data Field" xfId="2"/>
    <cellStyle name="Data Field 2" xfId="149"/>
    <cellStyle name="Data Field 2 2" xfId="150"/>
    <cellStyle name="Data Field 2 3" xfId="151"/>
    <cellStyle name="Data Field 3" xfId="152"/>
    <cellStyle name="Data Field 4" xfId="153"/>
    <cellStyle name="Data Name" xfId="3"/>
    <cellStyle name="Data Name 2" xfId="154"/>
    <cellStyle name="Date/Time" xfId="155"/>
    <cellStyle name="Emphasis 1" xfId="156"/>
    <cellStyle name="Emphasis 2" xfId="157"/>
    <cellStyle name="Emphasis 3" xfId="158"/>
    <cellStyle name="Explanatory Text 2" xfId="159"/>
    <cellStyle name="Explanatory Text 3" xfId="160"/>
    <cellStyle name="Good 2" xfId="161"/>
    <cellStyle name="Good 3" xfId="162"/>
    <cellStyle name="Heading" xfId="163"/>
    <cellStyle name="Heading 1 2" xfId="164"/>
    <cellStyle name="Heading 1 2 2" xfId="165"/>
    <cellStyle name="Heading 1 3" xfId="166"/>
    <cellStyle name="Heading 2 2" xfId="167"/>
    <cellStyle name="Heading 2 3" xfId="168"/>
    <cellStyle name="Heading 3 2" xfId="169"/>
    <cellStyle name="Heading 3 2 2" xfId="170"/>
    <cellStyle name="Heading 3 3" xfId="171"/>
    <cellStyle name="Heading 4 2" xfId="172"/>
    <cellStyle name="Heading 4 2 2" xfId="173"/>
    <cellStyle name="Heading 4 3" xfId="174"/>
    <cellStyle name="Hyperlink" xfId="4" builtinId="8"/>
    <cellStyle name="Hyperlink 2" xfId="175"/>
    <cellStyle name="Hyperlink 2 2" xfId="176"/>
    <cellStyle name="Hyperlink 2 2 2" xfId="177"/>
    <cellStyle name="Hyperlink 2_ResWXMF_FY10v2_0" xfId="178"/>
    <cellStyle name="Hyperlink 3" xfId="179"/>
    <cellStyle name="Hyperlink 3 2" xfId="180"/>
    <cellStyle name="Hyperlink 3 2 2" xfId="181"/>
    <cellStyle name="Hyperlink 4" xfId="182"/>
    <cellStyle name="Hyperlink 5" xfId="183"/>
    <cellStyle name="Hyperlink 6" xfId="184"/>
    <cellStyle name="Hyperlink 7" xfId="185"/>
    <cellStyle name="Hyperlink 8" xfId="186"/>
    <cellStyle name="Input 2" xfId="187"/>
    <cellStyle name="Input 3" xfId="188"/>
    <cellStyle name="Linked Cell 2" xfId="189"/>
    <cellStyle name="Linked Cell 3" xfId="190"/>
    <cellStyle name="Neutral 2" xfId="191"/>
    <cellStyle name="Neutral 3" xfId="192"/>
    <cellStyle name="Normal" xfId="0" builtinId="0"/>
    <cellStyle name="Normal 10" xfId="193"/>
    <cellStyle name="Normal 10 2" xfId="194"/>
    <cellStyle name="Normal 11" xfId="195"/>
    <cellStyle name="Normal 12" xfId="196"/>
    <cellStyle name="Normal 13" xfId="197"/>
    <cellStyle name="Normal 13 2" xfId="198"/>
    <cellStyle name="Normal 13 3" xfId="199"/>
    <cellStyle name="Normal 14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5" xfId="206"/>
    <cellStyle name="Normal 15 2" xfId="207"/>
    <cellStyle name="Normal 15 2 2" xfId="208"/>
    <cellStyle name="Normal 15 3" xfId="209"/>
    <cellStyle name="Normal 15 4" xfId="210"/>
    <cellStyle name="Normal 16" xfId="211"/>
    <cellStyle name="Normal 16 2" xfId="212"/>
    <cellStyle name="Normal 16 3" xfId="213"/>
    <cellStyle name="Normal 17" xfId="214"/>
    <cellStyle name="Normal 17 2" xfId="215"/>
    <cellStyle name="Normal 18" xfId="216"/>
    <cellStyle name="Normal 19" xfId="217"/>
    <cellStyle name="Normal 2" xfId="7"/>
    <cellStyle name="Normal 2 2" xfId="218"/>
    <cellStyle name="Normal 2 2 2" xfId="219"/>
    <cellStyle name="Normal 2 2 2 2" xfId="220"/>
    <cellStyle name="Normal 2 2 2 3" xfId="221"/>
    <cellStyle name="Normal 2 2 3" xfId="222"/>
    <cellStyle name="Normal 2 2 3 2" xfId="223"/>
    <cellStyle name="Normal 2 2 3 3" xfId="224"/>
    <cellStyle name="Normal 2 2 4" xfId="225"/>
    <cellStyle name="Normal 2 3" xfId="226"/>
    <cellStyle name="Normal 2 3 2" xfId="227"/>
    <cellStyle name="Normal 2 3 2 2" xfId="228"/>
    <cellStyle name="Normal 2 3 2 2 2" xfId="229"/>
    <cellStyle name="Normal 2 3 3" xfId="230"/>
    <cellStyle name="Normal 2 3 3 2" xfId="231"/>
    <cellStyle name="Normal 2 4" xfId="232"/>
    <cellStyle name="Normal 2 4 2" xfId="233"/>
    <cellStyle name="Normal 2 4 2 2" xfId="234"/>
    <cellStyle name="Normal 2 4 2 3" xfId="235"/>
    <cellStyle name="Normal 2 4 2 4" xfId="236"/>
    <cellStyle name="Normal 2 4 3" xfId="237"/>
    <cellStyle name="Normal 2 5" xfId="238"/>
    <cellStyle name="Normal 2 6" xfId="239"/>
    <cellStyle name="Normal 2 6 2" xfId="240"/>
    <cellStyle name="Normal 2 6 2 2" xfId="241"/>
    <cellStyle name="Normal 2 6 2 3" xfId="242"/>
    <cellStyle name="Normal 2 6 3" xfId="243"/>
    <cellStyle name="Normal 2 6 3 2" xfId="244"/>
    <cellStyle name="Normal 2 6 4" xfId="245"/>
    <cellStyle name="Normal 2 6 4 2" xfId="246"/>
    <cellStyle name="Normal 2 6 5" xfId="247"/>
    <cellStyle name="Normal 2 6 6" xfId="248"/>
    <cellStyle name="Normal 2 7" xfId="249"/>
    <cellStyle name="Normal 2 7 2" xfId="250"/>
    <cellStyle name="Normal 2 7 2 2" xfId="251"/>
    <cellStyle name="Normal 2 7 3" xfId="252"/>
    <cellStyle name="Normal 2 8" xfId="253"/>
    <cellStyle name="Normal 2 9" xfId="254"/>
    <cellStyle name="Normal 2_EStarLighting_ExistingFY10v1_5_CWv1" xfId="255"/>
    <cellStyle name="Normal 20" xfId="256"/>
    <cellStyle name="Normal 21" xfId="257"/>
    <cellStyle name="Normal 22" xfId="258"/>
    <cellStyle name="Normal 23" xfId="259"/>
    <cellStyle name="Normal 24" xfId="260"/>
    <cellStyle name="Normal 25" xfId="261"/>
    <cellStyle name="Normal 26" xfId="262"/>
    <cellStyle name="Normal 27" xfId="263"/>
    <cellStyle name="Normal 28" xfId="264"/>
    <cellStyle name="Normal 29" xfId="265"/>
    <cellStyle name="Normal 3" xfId="266"/>
    <cellStyle name="Normal 3 2" xfId="267"/>
    <cellStyle name="Normal 3 2 2" xfId="268"/>
    <cellStyle name="Normal 3 2 3" xfId="269"/>
    <cellStyle name="Normal 3 3" xfId="6"/>
    <cellStyle name="Normal 3 3 2" xfId="270"/>
    <cellStyle name="Normal 3 3 2 2" xfId="271"/>
    <cellStyle name="Normal 3 4" xfId="272"/>
    <cellStyle name="Normal 3 66" xfId="273"/>
    <cellStyle name="Normal 30" xfId="274"/>
    <cellStyle name="Normal 31" xfId="275"/>
    <cellStyle name="Normal 32" xfId="276"/>
    <cellStyle name="Normal 33" xfId="277"/>
    <cellStyle name="Normal 34" xfId="278"/>
    <cellStyle name="Normal 35" xfId="279"/>
    <cellStyle name="Normal 36" xfId="280"/>
    <cellStyle name="Normal 37" xfId="281"/>
    <cellStyle name="Normal 38" xfId="282"/>
    <cellStyle name="Normal 39" xfId="283"/>
    <cellStyle name="Normal 4" xfId="284"/>
    <cellStyle name="Normal 4 2" xfId="285"/>
    <cellStyle name="Normal 4 3" xfId="286"/>
    <cellStyle name="Normal 4 3 2" xfId="287"/>
    <cellStyle name="Normal 4 3 2 2" xfId="288"/>
    <cellStyle name="Normal 4 3 2 3" xfId="289"/>
    <cellStyle name="Normal 4 3 3" xfId="290"/>
    <cellStyle name="Normal 4 4" xfId="291"/>
    <cellStyle name="Normal 4 4 2" xfId="292"/>
    <cellStyle name="Normal 4 4 3" xfId="293"/>
    <cellStyle name="Normal 4 5" xfId="294"/>
    <cellStyle name="Normal 4 5 2" xfId="295"/>
    <cellStyle name="Normal 4 5 3" xfId="296"/>
    <cellStyle name="Normal 4 6" xfId="297"/>
    <cellStyle name="Normal 4 7" xfId="298"/>
    <cellStyle name="Normal 40" xfId="299"/>
    <cellStyle name="Normal 41" xfId="300"/>
    <cellStyle name="Normal 42" xfId="301"/>
    <cellStyle name="Normal 43" xfId="302"/>
    <cellStyle name="Normal 44" xfId="303"/>
    <cellStyle name="Normal 45" xfId="304"/>
    <cellStyle name="Normal 46" xfId="305"/>
    <cellStyle name="Normal 47" xfId="306"/>
    <cellStyle name="Normal 48" xfId="307"/>
    <cellStyle name="Normal 48 2" xfId="308"/>
    <cellStyle name="Normal 49" xfId="309"/>
    <cellStyle name="Normal 5" xfId="310"/>
    <cellStyle name="Normal 5 2" xfId="311"/>
    <cellStyle name="Normal 50" xfId="312"/>
    <cellStyle name="Normal 6" xfId="313"/>
    <cellStyle name="Normal 7" xfId="314"/>
    <cellStyle name="Normal 7 2" xfId="315"/>
    <cellStyle name="Normal 8" xfId="316"/>
    <cellStyle name="Normal 8 2" xfId="317"/>
    <cellStyle name="Normal 9" xfId="318"/>
    <cellStyle name="Normal 9 2" xfId="319"/>
    <cellStyle name="Normal 9 3" xfId="320"/>
    <cellStyle name="Normal_IrrgAgSupply" xfId="8"/>
    <cellStyle name="Note 2" xfId="321"/>
    <cellStyle name="Note 2 2" xfId="322"/>
    <cellStyle name="Note 3" xfId="323"/>
    <cellStyle name="Output 2" xfId="324"/>
    <cellStyle name="Output 2 2" xfId="325"/>
    <cellStyle name="Output 3" xfId="326"/>
    <cellStyle name="Percent" xfId="5" builtinId="5"/>
    <cellStyle name="Percent 2" xfId="327"/>
    <cellStyle name="Percent 2 2" xfId="328"/>
    <cellStyle name="Percent 2 2 2" xfId="329"/>
    <cellStyle name="Percent 2 2 2 2" xfId="330"/>
    <cellStyle name="Percent 2 2 2 3" xfId="331"/>
    <cellStyle name="Percent 2 2 3" xfId="332"/>
    <cellStyle name="Percent 2 2 4" xfId="333"/>
    <cellStyle name="Percent 2 3" xfId="334"/>
    <cellStyle name="Percent 2 3 2" xfId="335"/>
    <cellStyle name="Percent 2 3 3" xfId="336"/>
    <cellStyle name="Percent 3" xfId="337"/>
    <cellStyle name="Percent 3 2" xfId="338"/>
    <cellStyle name="Percent 3 2 2" xfId="339"/>
    <cellStyle name="Percent 3 2 3" xfId="340"/>
    <cellStyle name="Percent 3 3" xfId="341"/>
    <cellStyle name="Percent 3 4" xfId="342"/>
    <cellStyle name="Percent 4" xfId="343"/>
    <cellStyle name="Percent 4 2" xfId="344"/>
    <cellStyle name="Percent 5" xfId="345"/>
    <cellStyle name="Percent 6" xfId="346"/>
    <cellStyle name="Percent 6 2" xfId="347"/>
    <cellStyle name="Percent 7" xfId="348"/>
    <cellStyle name="Percent 8" xfId="349"/>
    <cellStyle name="Sheet Title" xfId="350"/>
    <cellStyle name="Style 1" xfId="351"/>
    <cellStyle name="Style 1 2" xfId="352"/>
    <cellStyle name="Style 28" xfId="353"/>
    <cellStyle name="Title 2" xfId="354"/>
    <cellStyle name="Title 2 2" xfId="355"/>
    <cellStyle name="Title 3" xfId="356"/>
    <cellStyle name="Total 2" xfId="357"/>
    <cellStyle name="Total 2 2" xfId="358"/>
    <cellStyle name="Total 3" xfId="359"/>
    <cellStyle name="Warning Text 2" xfId="360"/>
    <cellStyle name="Warning Text 3" xfId="361"/>
    <cellStyle name="표준 2_WP-1 보고자료 (2009.06.03)" xfId="362"/>
    <cellStyle name="표준_ENERGY CONSUMP" xfId="363"/>
    <cellStyle name="常规_海外市场服务网站资料操作BOM" xfId="3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0E0D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ACEAE"/>
      <rgbColor rgb="00CC99FF"/>
      <rgbColor rgb="00EBDC9B"/>
      <rgbColor rgb="003366FF"/>
      <rgbColor rgb="0033CCCC"/>
      <rgbColor rgb="0099CC00"/>
      <rgbColor rgb="00E9C55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Achievability Ramp Rates</a:t>
            </a:r>
          </a:p>
        </c:rich>
      </c:tx>
      <c:layout>
        <c:manualLayout>
          <c:xMode val="edge"/>
          <c:yMode val="edge"/>
          <c:x val="0.36338840841616132"/>
          <c:y val="3.146067415730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710403472938494"/>
          <c:y val="0.16404512382058004"/>
          <c:w val="0.59699533197165056"/>
          <c:h val="0.66067488223632664"/>
        </c:manualLayout>
      </c:layout>
      <c:lineChart>
        <c:grouping val="standard"/>
        <c:ser>
          <c:idx val="0"/>
          <c:order val="0"/>
          <c:tx>
            <c:strRef>
              <c:f>ACHIEV!$C$1</c:f>
              <c:strCache>
                <c:ptCount val="1"/>
                <c:pt idx="0">
                  <c:v>LO12Med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ACHIEV!$D$1:$W$1</c:f>
              <c:numCache>
                <c:formatCode>0%</c:formatCode>
                <c:ptCount val="20"/>
                <c:pt idx="0">
                  <c:v>0.10937459468255628</c:v>
                </c:pt>
                <c:pt idx="1">
                  <c:v>0.21874918936511256</c:v>
                </c:pt>
                <c:pt idx="2">
                  <c:v>0.32812378404766884</c:v>
                </c:pt>
                <c:pt idx="3">
                  <c:v>0.43749837873022512</c:v>
                </c:pt>
                <c:pt idx="4">
                  <c:v>0.5468729734127814</c:v>
                </c:pt>
                <c:pt idx="5">
                  <c:v>0.64531010862708205</c:v>
                </c:pt>
                <c:pt idx="6">
                  <c:v>0.7240598167985226</c:v>
                </c:pt>
                <c:pt idx="7">
                  <c:v>0.78705958333567505</c:v>
                </c:pt>
                <c:pt idx="8">
                  <c:v>0.83745939656539703</c:v>
                </c:pt>
                <c:pt idx="9">
                  <c:v>0.87777924714917455</c:v>
                </c:pt>
                <c:pt idx="10">
                  <c:v>0.91003512761619654</c:v>
                </c:pt>
                <c:pt idx="11">
                  <c:v>0.93583983198981413</c:v>
                </c:pt>
                <c:pt idx="12">
                  <c:v>0.9564835954887082</c:v>
                </c:pt>
                <c:pt idx="13">
                  <c:v>0.97299860628782353</c:v>
                </c:pt>
                <c:pt idx="14">
                  <c:v>0.9862106149271157</c:v>
                </c:pt>
                <c:pt idx="15">
                  <c:v>0.99678022183854953</c:v>
                </c:pt>
                <c:pt idx="16">
                  <c:v>0.99685231466234414</c:v>
                </c:pt>
                <c:pt idx="17">
                  <c:v>0.99687806209941365</c:v>
                </c:pt>
                <c:pt idx="18">
                  <c:v>0.99688683963477831</c:v>
                </c:pt>
                <c:pt idx="19">
                  <c:v>0.99688970187457115</c:v>
                </c:pt>
              </c:numCache>
            </c:numRef>
          </c:val>
        </c:ser>
        <c:ser>
          <c:idx val="1"/>
          <c:order val="1"/>
          <c:tx>
            <c:strRef>
              <c:f>ACHIEV!$C$2</c:f>
              <c:strCache>
                <c:ptCount val="1"/>
                <c:pt idx="0">
                  <c:v>LO5Med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ACHIEV!$D$2:$W$2</c:f>
              <c:numCache>
                <c:formatCode>0%</c:formatCode>
                <c:ptCount val="20"/>
                <c:pt idx="0">
                  <c:v>4.2999999999999997E-2</c:v>
                </c:pt>
                <c:pt idx="1">
                  <c:v>9.5797142280278316E-2</c:v>
                </c:pt>
                <c:pt idx="2">
                  <c:v>0.16040539374775648</c:v>
                </c:pt>
                <c:pt idx="3">
                  <c:v>0.23540539374775649</c:v>
                </c:pt>
                <c:pt idx="4">
                  <c:v>0.32095239121809005</c:v>
                </c:pt>
                <c:pt idx="5">
                  <c:v>0.42096711425629652</c:v>
                </c:pt>
                <c:pt idx="6">
                  <c:v>0.53068481860864725</c:v>
                </c:pt>
                <c:pt idx="7">
                  <c:v>0.642769203728351</c:v>
                </c:pt>
                <c:pt idx="8">
                  <c:v>0.74839528535557953</c:v>
                </c:pt>
                <c:pt idx="9">
                  <c:v>0.83918984935345187</c:v>
                </c:pt>
                <c:pt idx="10">
                  <c:v>0.90945051634530116</c:v>
                </c:pt>
                <c:pt idx="11">
                  <c:v>0.9576688767502457</c:v>
                </c:pt>
                <c:pt idx="12">
                  <c:v>0.9865231113648858</c:v>
                </c:pt>
                <c:pt idx="13">
                  <c:v>1.0012970762896924</c:v>
                </c:pt>
                <c:pt idx="14">
                  <c:v>1.0076356106578106</c:v>
                </c:pt>
                <c:pt idx="15">
                  <c:v>1.0098624683774413</c:v>
                </c:pt>
                <c:pt idx="16">
                  <c:v>1.0104871783970797</c:v>
                </c:pt>
                <c:pt idx="17">
                  <c:v>1.010623336815976</c:v>
                </c:pt>
                <c:pt idx="18">
                  <c:v>1.0106457174525985</c:v>
                </c:pt>
                <c:pt idx="19">
                  <c:v>1.0106484038909742</c:v>
                </c:pt>
              </c:numCache>
            </c:numRef>
          </c:val>
        </c:ser>
        <c:ser>
          <c:idx val="2"/>
          <c:order val="2"/>
          <c:tx>
            <c:strRef>
              <c:f>ACHIEV!$C$3</c:f>
              <c:strCache>
                <c:ptCount val="1"/>
                <c:pt idx="0">
                  <c:v>LO1Slow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ACHIEV!$D$3:$W$3</c:f>
              <c:numCache>
                <c:formatCode>0%</c:formatCode>
                <c:ptCount val="20"/>
                <c:pt idx="0">
                  <c:v>2.5643970768378654E-3</c:v>
                </c:pt>
                <c:pt idx="1">
                  <c:v>7.6904586297764643E-3</c:v>
                </c:pt>
                <c:pt idx="2">
                  <c:v>1.6792013047419844E-2</c:v>
                </c:pt>
                <c:pt idx="3">
                  <c:v>3.15969387774655E-2</c:v>
                </c:pt>
                <c:pt idx="4">
                  <c:v>5.406874819795171E-2</c:v>
                </c:pt>
                <c:pt idx="5">
                  <c:v>8.6253181011834101E-2</c:v>
                </c:pt>
                <c:pt idx="6">
                  <c:v>0.1300328481838382</c:v>
                </c:pt>
                <c:pt idx="7">
                  <c:v>0.18678710893858319</c:v>
                </c:pt>
                <c:pt idx="8">
                  <c:v>0.2569823480072907</c:v>
                </c:pt>
                <c:pt idx="9">
                  <c:v>0.33975920985004748</c:v>
                </c:pt>
                <c:pt idx="10">
                  <c:v>0.43262946935754232</c:v>
                </c:pt>
                <c:pt idx="11">
                  <c:v>0.53142594003645804</c:v>
                </c:pt>
                <c:pt idx="12">
                  <c:v>0.63063487292644704</c:v>
                </c:pt>
                <c:pt idx="13">
                  <c:v>0.7241560234206913</c:v>
                </c:pt>
                <c:pt idx="14">
                  <c:v>0.80638203131755359</c:v>
                </c:pt>
                <c:pt idx="15">
                  <c:v>0.87331559734491926</c:v>
                </c:pt>
                <c:pt idx="16">
                  <c:v>0.92334516248836807</c:v>
                </c:pt>
                <c:pt idx="17">
                  <c:v>0.95737002770730018</c:v>
                </c:pt>
                <c:pt idx="18">
                  <c:v>0.97821608704807483</c:v>
                </c:pt>
                <c:pt idx="19">
                  <c:v>0.98821608704807484</c:v>
                </c:pt>
              </c:numCache>
            </c:numRef>
          </c:val>
        </c:ser>
        <c:ser>
          <c:idx val="7"/>
          <c:order val="3"/>
          <c:tx>
            <c:strRef>
              <c:f>ACHIEV!$C$4</c:f>
              <c:strCache>
                <c:ptCount val="1"/>
                <c:pt idx="0">
                  <c:v>LO50Fast</c:v>
                </c:pt>
              </c:strCache>
            </c:strRef>
          </c:tx>
          <c:marker>
            <c:symbol val="none"/>
          </c:marker>
          <c:val>
            <c:numRef>
              <c:f>ACHIEV!$D$4:$W$4</c:f>
              <c:numCache>
                <c:formatCode>0%</c:formatCode>
                <c:ptCount val="20"/>
                <c:pt idx="0">
                  <c:v>0.45</c:v>
                </c:pt>
                <c:pt idx="1">
                  <c:v>0.66</c:v>
                </c:pt>
                <c:pt idx="2">
                  <c:v>0.8</c:v>
                </c:pt>
                <c:pt idx="3">
                  <c:v>0.89</c:v>
                </c:pt>
                <c:pt idx="4">
                  <c:v>0.94954036260972652</c:v>
                </c:pt>
                <c:pt idx="5">
                  <c:v>0.97931054391458994</c:v>
                </c:pt>
                <c:pt idx="6">
                  <c:v>0.99254173560564019</c:v>
                </c:pt>
                <c:pt idx="7">
                  <c:v>0.99783421228206048</c:v>
                </c:pt>
                <c:pt idx="8">
                  <c:v>0.99975874925530417</c:v>
                </c:pt>
                <c:pt idx="9">
                  <c:v>1.0004002615797187</c:v>
                </c:pt>
                <c:pt idx="10">
                  <c:v>1.0005976499872309</c:v>
                </c:pt>
                <c:pt idx="11">
                  <c:v>1.0006540466750915</c:v>
                </c:pt>
                <c:pt idx="12">
                  <c:v>1.0006690857918545</c:v>
                </c:pt>
                <c:pt idx="13">
                  <c:v>1.000672845571045</c:v>
                </c:pt>
                <c:pt idx="14">
                  <c:v>1.0006737302249724</c:v>
                </c:pt>
                <c:pt idx="15">
                  <c:v>1.0006739268147338</c:v>
                </c:pt>
                <c:pt idx="16">
                  <c:v>1.0006739682020522</c:v>
                </c:pt>
                <c:pt idx="17">
                  <c:v>1.0006739764795158</c:v>
                </c:pt>
                <c:pt idx="18">
                  <c:v>1.0006739780561755</c:v>
                </c:pt>
                <c:pt idx="19">
                  <c:v>1.0006739783428409</c:v>
                </c:pt>
              </c:numCache>
            </c:numRef>
          </c:val>
        </c:ser>
        <c:ser>
          <c:idx val="8"/>
          <c:order val="4"/>
          <c:tx>
            <c:strRef>
              <c:f>ACHIEV!$C$5</c:f>
              <c:strCache>
                <c:ptCount val="1"/>
                <c:pt idx="0">
                  <c:v>LO20Fast</c:v>
                </c:pt>
              </c:strCache>
            </c:strRef>
          </c:tx>
          <c:marker>
            <c:symbol val="none"/>
          </c:marker>
          <c:val>
            <c:numRef>
              <c:f>ACHIEV!$D$5:$W$5</c:f>
              <c:numCache>
                <c:formatCode>0%</c:formatCode>
                <c:ptCount val="20"/>
                <c:pt idx="0">
                  <c:v>0.22119921692859512</c:v>
                </c:pt>
                <c:pt idx="1">
                  <c:v>0.37624232795148943</c:v>
                </c:pt>
                <c:pt idx="2">
                  <c:v>0.48357361352878442</c:v>
                </c:pt>
                <c:pt idx="3">
                  <c:v>0.56716330278444227</c:v>
                </c:pt>
                <c:pt idx="4">
                  <c:v>0.64040048266456928</c:v>
                </c:pt>
                <c:pt idx="5">
                  <c:v>0.70377511937632964</c:v>
                </c:pt>
                <c:pt idx="6">
                  <c:v>0.7580669577441127</c:v>
                </c:pt>
                <c:pt idx="7">
                  <c:v>0.80419335000071168</c:v>
                </c:pt>
                <c:pt idx="8">
                  <c:v>0.84311022627788457</c:v>
                </c:pt>
                <c:pt idx="9">
                  <c:v>0.87575014259103623</c:v>
                </c:pt>
                <c:pt idx="10">
                  <c:v>0.90298584871682319</c:v>
                </c:pt>
                <c:pt idx="11">
                  <c:v>0.92419703797508856</c:v>
                </c:pt>
                <c:pt idx="12">
                  <c:v>0.94071632877930145</c:v>
                </c:pt>
                <c:pt idx="13">
                  <c:v>0.95358156539340677</c:v>
                </c:pt>
                <c:pt idx="14">
                  <c:v>0.96360102174287088</c:v>
                </c:pt>
                <c:pt idx="15">
                  <c:v>0.97140418219378311</c:v>
                </c:pt>
                <c:pt idx="16">
                  <c:v>0.97748128966338554</c:v>
                </c:pt>
                <c:pt idx="17">
                  <c:v>0.98221414571952104</c:v>
                </c:pt>
                <c:pt idx="18">
                  <c:v>0.98590009772220355</c:v>
                </c:pt>
                <c:pt idx="19">
                  <c:v>0.98877072002825628</c:v>
                </c:pt>
              </c:numCache>
            </c:numRef>
          </c:val>
        </c:ser>
        <c:ser>
          <c:idx val="3"/>
          <c:order val="5"/>
          <c:tx>
            <c:strRef>
              <c:f>ACHIEV!$C$6</c:f>
              <c:strCache>
                <c:ptCount val="1"/>
                <c:pt idx="0">
                  <c:v>LOEven20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ACHIEV!$D$6:$W$6</c:f>
              <c:numCache>
                <c:formatCode>0%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  <c:pt idx="10">
                  <c:v>0.54999999999999993</c:v>
                </c:pt>
                <c:pt idx="11">
                  <c:v>0.6</c:v>
                </c:pt>
                <c:pt idx="12">
                  <c:v>0.65</c:v>
                </c:pt>
                <c:pt idx="13">
                  <c:v>0.70000000000000007</c:v>
                </c:pt>
                <c:pt idx="14">
                  <c:v>0.75000000000000011</c:v>
                </c:pt>
                <c:pt idx="15">
                  <c:v>0.80000000000000016</c:v>
                </c:pt>
                <c:pt idx="16">
                  <c:v>0.8500000000000002</c:v>
                </c:pt>
                <c:pt idx="17">
                  <c:v>0.90000000000000024</c:v>
                </c:pt>
                <c:pt idx="18">
                  <c:v>0.95000000000000029</c:v>
                </c:pt>
                <c:pt idx="19">
                  <c:v>1.0000000000000002</c:v>
                </c:pt>
              </c:numCache>
            </c:numRef>
          </c:val>
        </c:ser>
        <c:ser>
          <c:idx val="4"/>
          <c:order val="6"/>
          <c:tx>
            <c:strRef>
              <c:f>ACHIEV!$C$7</c:f>
              <c:strCache>
                <c:ptCount val="1"/>
                <c:pt idx="0">
                  <c:v>LOMax60</c:v>
                </c:pt>
              </c:strCache>
            </c:strRef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none"/>
          </c:marker>
          <c:val>
            <c:numRef>
              <c:f>ACHIEV!$D$7:$W$7</c:f>
              <c:numCache>
                <c:formatCode>0%</c:formatCode>
                <c:ptCount val="20"/>
                <c:pt idx="0">
                  <c:v>0.01</c:v>
                </c:pt>
                <c:pt idx="1">
                  <c:v>2.98E-2</c:v>
                </c:pt>
                <c:pt idx="2">
                  <c:v>5.8906E-2</c:v>
                </c:pt>
                <c:pt idx="3">
                  <c:v>9.6549759999999998E-2</c:v>
                </c:pt>
                <c:pt idx="4">
                  <c:v>0.14172227199999998</c:v>
                </c:pt>
                <c:pt idx="5">
                  <c:v>0.19035800991999999</c:v>
                </c:pt>
                <c:pt idx="6">
                  <c:v>0.2362377226912</c:v>
                </c:pt>
                <c:pt idx="7">
                  <c:v>0.279517585072032</c:v>
                </c:pt>
                <c:pt idx="8">
                  <c:v>0.32034492191795017</c:v>
                </c:pt>
                <c:pt idx="9">
                  <c:v>0.35885870967593297</c:v>
                </c:pt>
                <c:pt idx="10">
                  <c:v>0.39519004946096342</c:v>
                </c:pt>
                <c:pt idx="11">
                  <c:v>0.42946261332484215</c:v>
                </c:pt>
                <c:pt idx="12">
                  <c:v>0.46179306523643443</c:v>
                </c:pt>
                <c:pt idx="13">
                  <c:v>0.49229145820636983</c:v>
                </c:pt>
                <c:pt idx="14">
                  <c:v>0.5210616089080089</c:v>
                </c:pt>
                <c:pt idx="15">
                  <c:v>0.54820145106988838</c:v>
                </c:pt>
                <c:pt idx="16">
                  <c:v>0.57380336884259475</c:v>
                </c:pt>
                <c:pt idx="17">
                  <c:v>0.59795451127484767</c:v>
                </c:pt>
                <c:pt idx="18">
                  <c:v>0.62073708896927293</c:v>
                </c:pt>
                <c:pt idx="19">
                  <c:v>0.6422286539276808</c:v>
                </c:pt>
              </c:numCache>
            </c:numRef>
          </c:val>
        </c:ser>
        <c:ser>
          <c:idx val="5"/>
          <c:order val="7"/>
          <c:tx>
            <c:strRef>
              <c:f>ACHIEV!$C$9</c:f>
              <c:strCache>
                <c:ptCount val="1"/>
                <c:pt idx="0">
                  <c:v>Retro12Med</c:v>
                </c:pt>
              </c:strCache>
            </c:strRef>
          </c:tx>
          <c:spPr>
            <a:ln w="38100">
              <a:solidFill>
                <a:srgbClr val="FFFF00"/>
              </a:solidFill>
              <a:prstDash val="lgDash"/>
            </a:ln>
          </c:spPr>
          <c:marker>
            <c:symbol val="none"/>
          </c:marker>
          <c:val>
            <c:numRef>
              <c:f>ACHIEV!$D$9:$W$9</c:f>
              <c:numCache>
                <c:formatCode>0%</c:formatCode>
                <c:ptCount val="20"/>
                <c:pt idx="0">
                  <c:v>0.10937459468255628</c:v>
                </c:pt>
                <c:pt idx="1">
                  <c:v>0.10937459468255628</c:v>
                </c:pt>
                <c:pt idx="2">
                  <c:v>0.10937459468255628</c:v>
                </c:pt>
                <c:pt idx="3">
                  <c:v>0.10937459468255628</c:v>
                </c:pt>
                <c:pt idx="4">
                  <c:v>0.10937459468255628</c:v>
                </c:pt>
                <c:pt idx="5">
                  <c:v>9.8437135214300656E-2</c:v>
                </c:pt>
                <c:pt idx="6">
                  <c:v>7.874970817144053E-2</c:v>
                </c:pt>
                <c:pt idx="7">
                  <c:v>6.2999766537152418E-2</c:v>
                </c:pt>
                <c:pt idx="8">
                  <c:v>5.0399813229721938E-2</c:v>
                </c:pt>
                <c:pt idx="9">
                  <c:v>4.0319850583777551E-2</c:v>
                </c:pt>
                <c:pt idx="10">
                  <c:v>3.225588046702204E-2</c:v>
                </c:pt>
                <c:pt idx="11">
                  <c:v>2.5804704373617631E-2</c:v>
                </c:pt>
                <c:pt idx="12">
                  <c:v>2.0643763498894106E-2</c:v>
                </c:pt>
                <c:pt idx="13">
                  <c:v>1.6515010799115284E-2</c:v>
                </c:pt>
                <c:pt idx="14">
                  <c:v>1.3212008639292228E-2</c:v>
                </c:pt>
                <c:pt idx="15">
                  <c:v>1.0569606911433781E-2</c:v>
                </c:pt>
                <c:pt idx="16">
                  <c:v>7.2092823794611682E-5</c:v>
                </c:pt>
                <c:pt idx="17">
                  <c:v>2.5747437069512102E-5</c:v>
                </c:pt>
                <c:pt idx="18">
                  <c:v>8.7775353646568632E-6</c:v>
                </c:pt>
                <c:pt idx="19">
                  <c:v>2.8622397928446119E-6</c:v>
                </c:pt>
              </c:numCache>
            </c:numRef>
          </c:val>
        </c:ser>
        <c:ser>
          <c:idx val="6"/>
          <c:order val="8"/>
          <c:tx>
            <c:strRef>
              <c:f>ACHIEV!$C$10</c:f>
              <c:strCache>
                <c:ptCount val="1"/>
                <c:pt idx="0">
                  <c:v>Retro5Med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ACHIEV!$D$10:$W$10</c:f>
              <c:numCache>
                <c:formatCode>0%</c:formatCode>
                <c:ptCount val="20"/>
                <c:pt idx="0">
                  <c:v>4.2999999999999997E-2</c:v>
                </c:pt>
                <c:pt idx="1">
                  <c:v>5.279714228027832E-2</c:v>
                </c:pt>
                <c:pt idx="2">
                  <c:v>6.4608251467478173E-2</c:v>
                </c:pt>
                <c:pt idx="3">
                  <c:v>7.4999999999999997E-2</c:v>
                </c:pt>
                <c:pt idx="4">
                  <c:v>8.5546997470333563E-2</c:v>
                </c:pt>
                <c:pt idx="5">
                  <c:v>0.10001472303820647</c:v>
                </c:pt>
                <c:pt idx="6">
                  <c:v>0.10971770435235073</c:v>
                </c:pt>
                <c:pt idx="7">
                  <c:v>0.11208438511970376</c:v>
                </c:pt>
                <c:pt idx="8">
                  <c:v>0.10562608162722853</c:v>
                </c:pt>
                <c:pt idx="9">
                  <c:v>9.0794563997872335E-2</c:v>
                </c:pt>
                <c:pt idx="10">
                  <c:v>7.0260666991849297E-2</c:v>
                </c:pt>
                <c:pt idx="11">
                  <c:v>4.8218360404944538E-2</c:v>
                </c:pt>
                <c:pt idx="12">
                  <c:v>2.8854234614640095E-2</c:v>
                </c:pt>
                <c:pt idx="13">
                  <c:v>1.4773964924806759E-2</c:v>
                </c:pt>
                <c:pt idx="14">
                  <c:v>6.3385343681182649E-3</c:v>
                </c:pt>
                <c:pt idx="15">
                  <c:v>2.2268577196306039E-3</c:v>
                </c:pt>
                <c:pt idx="16">
                  <c:v>6.2471001963848583E-4</c:v>
                </c:pt>
                <c:pt idx="17">
                  <c:v>1.3615841889635938E-4</c:v>
                </c:pt>
                <c:pt idx="18">
                  <c:v>2.2380636622298944E-5</c:v>
                </c:pt>
                <c:pt idx="19">
                  <c:v>2.68643837586513E-6</c:v>
                </c:pt>
              </c:numCache>
            </c:numRef>
          </c:val>
        </c:ser>
        <c:ser>
          <c:idx val="9"/>
          <c:order val="9"/>
          <c:tx>
            <c:strRef>
              <c:f>ACHIEV!$C$11</c:f>
              <c:strCache>
                <c:ptCount val="1"/>
                <c:pt idx="0">
                  <c:v>Retro1Slow</c:v>
                </c:pt>
              </c:strCache>
            </c:strRef>
          </c:tx>
          <c:marker>
            <c:symbol val="none"/>
          </c:marker>
          <c:val>
            <c:numRef>
              <c:f>ACHIEV!$D$11:$W$11</c:f>
              <c:numCache>
                <c:formatCode>0%</c:formatCode>
                <c:ptCount val="20"/>
                <c:pt idx="0">
                  <c:v>2.5643970768378654E-3</c:v>
                </c:pt>
                <c:pt idx="1">
                  <c:v>5.1260615529385989E-3</c:v>
                </c:pt>
                <c:pt idx="2">
                  <c:v>9.1015544176433795E-3</c:v>
                </c:pt>
                <c:pt idx="3">
                  <c:v>1.4804925730045659E-2</c:v>
                </c:pt>
                <c:pt idx="4">
                  <c:v>2.2471809420486211E-2</c:v>
                </c:pt>
                <c:pt idx="5">
                  <c:v>3.2184432813882391E-2</c:v>
                </c:pt>
                <c:pt idx="6">
                  <c:v>4.3779667172004086E-2</c:v>
                </c:pt>
                <c:pt idx="7">
                  <c:v>5.675426075474499E-2</c:v>
                </c:pt>
                <c:pt idx="8">
                  <c:v>7.0195239068707532E-2</c:v>
                </c:pt>
                <c:pt idx="9">
                  <c:v>8.2776861842756788E-2</c:v>
                </c:pt>
                <c:pt idx="10">
                  <c:v>9.2870259507494834E-2</c:v>
                </c:pt>
                <c:pt idx="11">
                  <c:v>9.8796470678915727E-2</c:v>
                </c:pt>
                <c:pt idx="12">
                  <c:v>9.9208932889988999E-2</c:v>
                </c:pt>
                <c:pt idx="13">
                  <c:v>9.3521150494244254E-2</c:v>
                </c:pt>
                <c:pt idx="14">
                  <c:v>8.2226007896862296E-2</c:v>
                </c:pt>
                <c:pt idx="15">
                  <c:v>6.6933566027365665E-2</c:v>
                </c:pt>
                <c:pt idx="16">
                  <c:v>5.0029565143448806E-2</c:v>
                </c:pt>
                <c:pt idx="17">
                  <c:v>3.402486521893211E-2</c:v>
                </c:pt>
                <c:pt idx="18">
                  <c:v>2.0846059340774659E-2</c:v>
                </c:pt>
                <c:pt idx="19">
                  <c:v>0.01</c:v>
                </c:pt>
              </c:numCache>
            </c:numRef>
          </c:val>
        </c:ser>
        <c:ser>
          <c:idx val="10"/>
          <c:order val="10"/>
          <c:tx>
            <c:strRef>
              <c:f>ACHIEV!$C$12</c:f>
              <c:strCache>
                <c:ptCount val="1"/>
                <c:pt idx="0">
                  <c:v>Retro50Fast</c:v>
                </c:pt>
              </c:strCache>
            </c:strRef>
          </c:tx>
          <c:marker>
            <c:symbol val="none"/>
          </c:marker>
          <c:val>
            <c:numRef>
              <c:f>ACHIEV!$D$12:$W$12</c:f>
              <c:numCache>
                <c:formatCode>0%</c:formatCode>
                <c:ptCount val="20"/>
                <c:pt idx="0">
                  <c:v>0.45</c:v>
                </c:pt>
                <c:pt idx="1">
                  <c:v>0.21</c:v>
                </c:pt>
                <c:pt idx="2">
                  <c:v>0.14000000000000001</c:v>
                </c:pt>
                <c:pt idx="3">
                  <c:v>0.09</c:v>
                </c:pt>
                <c:pt idx="4">
                  <c:v>5.9540362609726505E-2</c:v>
                </c:pt>
                <c:pt idx="5">
                  <c:v>2.9770181304863419E-2</c:v>
                </c:pt>
                <c:pt idx="6">
                  <c:v>1.3231191691050248E-2</c:v>
                </c:pt>
                <c:pt idx="7">
                  <c:v>5.2924766764202991E-3</c:v>
                </c:pt>
                <c:pt idx="8">
                  <c:v>1.9245369732436846E-3</c:v>
                </c:pt>
                <c:pt idx="9">
                  <c:v>6.415123244144505E-4</c:v>
                </c:pt>
                <c:pt idx="10">
                  <c:v>1.9738840751215569E-4</c:v>
                </c:pt>
                <c:pt idx="11">
                  <c:v>5.6396687860615913E-5</c:v>
                </c:pt>
                <c:pt idx="12">
                  <c:v>1.5039116763038152E-5</c:v>
                </c:pt>
                <c:pt idx="13">
                  <c:v>3.7597791905374933E-6</c:v>
                </c:pt>
                <c:pt idx="14">
                  <c:v>8.8465392733549919E-7</c:v>
                </c:pt>
                <c:pt idx="15">
                  <c:v>1.9658976146974538E-7</c:v>
                </c:pt>
                <c:pt idx="16">
                  <c:v>4.13873183502389E-8</c:v>
                </c:pt>
                <c:pt idx="17">
                  <c:v>8.2774636034343985E-9</c:v>
                </c:pt>
                <c:pt idx="18">
                  <c:v>1.5766598027155965E-9</c:v>
                </c:pt>
                <c:pt idx="19">
                  <c:v>2.8666535811794347E-10</c:v>
                </c:pt>
              </c:numCache>
            </c:numRef>
          </c:val>
        </c:ser>
        <c:ser>
          <c:idx val="11"/>
          <c:order val="11"/>
          <c:tx>
            <c:strRef>
              <c:f>ACHIEV!$C$13</c:f>
              <c:strCache>
                <c:ptCount val="1"/>
                <c:pt idx="0">
                  <c:v>Retro20Fast</c:v>
                </c:pt>
              </c:strCache>
            </c:strRef>
          </c:tx>
          <c:marker>
            <c:symbol val="none"/>
          </c:marker>
          <c:val>
            <c:numRef>
              <c:f>ACHIEV!$D$13:$W$13</c:f>
              <c:numCache>
                <c:formatCode>0%</c:formatCode>
                <c:ptCount val="20"/>
                <c:pt idx="0">
                  <c:v>0.22119921692859512</c:v>
                </c:pt>
                <c:pt idx="1">
                  <c:v>0.15504311102289431</c:v>
                </c:pt>
                <c:pt idx="2">
                  <c:v>0.10733128557729499</c:v>
                </c:pt>
                <c:pt idx="3">
                  <c:v>8.3589689255657879E-2</c:v>
                </c:pt>
                <c:pt idx="4">
                  <c:v>7.3237179880126971E-2</c:v>
                </c:pt>
                <c:pt idx="5">
                  <c:v>6.3374636711760357E-2</c:v>
                </c:pt>
                <c:pt idx="6">
                  <c:v>5.4291838367783084E-2</c:v>
                </c:pt>
                <c:pt idx="7">
                  <c:v>4.612639225659896E-2</c:v>
                </c:pt>
                <c:pt idx="8">
                  <c:v>3.8916876277172864E-2</c:v>
                </c:pt>
                <c:pt idx="9">
                  <c:v>3.2639916313151704E-2</c:v>
                </c:pt>
                <c:pt idx="10">
                  <c:v>2.7235706125786907E-2</c:v>
                </c:pt>
                <c:pt idx="11">
                  <c:v>2.1211189258265428E-2</c:v>
                </c:pt>
                <c:pt idx="12">
                  <c:v>1.6519290804212883E-2</c:v>
                </c:pt>
                <c:pt idx="13">
                  <c:v>1.2865236614105324E-2</c:v>
                </c:pt>
                <c:pt idx="14">
                  <c:v>1.0019456349464106E-2</c:v>
                </c:pt>
                <c:pt idx="15">
                  <c:v>7.8031604509122832E-3</c:v>
                </c:pt>
                <c:pt idx="16">
                  <c:v>6.077107469602494E-3</c:v>
                </c:pt>
                <c:pt idx="17">
                  <c:v>4.7328560561354371E-3</c:v>
                </c:pt>
                <c:pt idx="18">
                  <c:v>3.6859520026825132E-3</c:v>
                </c:pt>
                <c:pt idx="19">
                  <c:v>2.8706223060526725E-3</c:v>
                </c:pt>
              </c:numCache>
            </c:numRef>
          </c:val>
        </c:ser>
        <c:ser>
          <c:idx val="12"/>
          <c:order val="12"/>
          <c:tx>
            <c:strRef>
              <c:f>ACHIEV!$C$14</c:f>
              <c:strCache>
                <c:ptCount val="1"/>
                <c:pt idx="0">
                  <c:v>RetroEven20</c:v>
                </c:pt>
              </c:strCache>
            </c:strRef>
          </c:tx>
          <c:marker>
            <c:symbol val="none"/>
          </c:marker>
          <c:val>
            <c:numRef>
              <c:f>ACHIEV!$D$14:$W$14</c:f>
              <c:numCache>
                <c:formatCode>0%</c:formatCode>
                <c:ptCount val="2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ACHIEV!$C$15</c:f>
              <c:strCache>
                <c:ptCount val="1"/>
                <c:pt idx="0">
                  <c:v>RetroMax60</c:v>
                </c:pt>
              </c:strCache>
            </c:strRef>
          </c:tx>
          <c:marker>
            <c:symbol val="none"/>
          </c:marker>
          <c:val>
            <c:numRef>
              <c:f>ACHIEV!$D$15:$W$15</c:f>
              <c:numCache>
                <c:formatCode>0%</c:formatCode>
                <c:ptCount val="20"/>
                <c:pt idx="0">
                  <c:v>0.01</c:v>
                </c:pt>
                <c:pt idx="1">
                  <c:v>1.9799999999999998E-2</c:v>
                </c:pt>
                <c:pt idx="2">
                  <c:v>2.9106E-2</c:v>
                </c:pt>
                <c:pt idx="3">
                  <c:v>3.7643759999999998E-2</c:v>
                </c:pt>
                <c:pt idx="4">
                  <c:v>4.5172511999999984E-2</c:v>
                </c:pt>
                <c:pt idx="5" formatCode="0.0%">
                  <c:v>4.8635737920000005E-2</c:v>
                </c:pt>
                <c:pt idx="6" formatCode="0.0%">
                  <c:v>4.587971277120001E-2</c:v>
                </c:pt>
                <c:pt idx="7" formatCode="0.0%">
                  <c:v>4.3279862380832007E-2</c:v>
                </c:pt>
                <c:pt idx="8" formatCode="0.0%">
                  <c:v>4.0827336845918161E-2</c:v>
                </c:pt>
                <c:pt idx="9" formatCode="0.0%">
                  <c:v>3.8513787757982809E-2</c:v>
                </c:pt>
                <c:pt idx="10" formatCode="0.0%">
                  <c:v>3.6331339785030448E-2</c:v>
                </c:pt>
                <c:pt idx="11" formatCode="0.0%">
                  <c:v>3.4272563863878724E-2</c:v>
                </c:pt>
                <c:pt idx="12" formatCode="0.0%">
                  <c:v>3.2330451911592284E-2</c:v>
                </c:pt>
                <c:pt idx="13" formatCode="0.0%">
                  <c:v>3.0498392969935395E-2</c:v>
                </c:pt>
                <c:pt idx="14" formatCode="0.0%">
                  <c:v>2.8770150701639075E-2</c:v>
                </c:pt>
                <c:pt idx="15" formatCode="0.0%">
                  <c:v>2.7139842161879479E-2</c:v>
                </c:pt>
                <c:pt idx="16" formatCode="0.0%">
                  <c:v>2.5601917772706373E-2</c:v>
                </c:pt>
                <c:pt idx="17" formatCode="0.0%">
                  <c:v>2.4151142432252914E-2</c:v>
                </c:pt>
                <c:pt idx="18" formatCode="0.0%">
                  <c:v>2.2782577694425266E-2</c:v>
                </c:pt>
                <c:pt idx="19" formatCode="0.0%">
                  <c:v>2.1491564958407872E-2</c:v>
                </c:pt>
              </c:numCache>
            </c:numRef>
          </c:val>
        </c:ser>
        <c:marker val="1"/>
        <c:axId val="102894592"/>
        <c:axId val="102917248"/>
      </c:lineChart>
      <c:catAx>
        <c:axId val="10289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3032844255123842"/>
              <c:y val="0.903371730219116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917248"/>
        <c:crosses val="autoZero"/>
        <c:auto val="1"/>
        <c:lblAlgn val="ctr"/>
        <c:lblOffset val="100"/>
        <c:tickLblSkip val="1"/>
        <c:tickMarkSkip val="1"/>
      </c:catAx>
      <c:valAx>
        <c:axId val="102917248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ACHIEV!$AC$14</c:f>
              <c:strCache>
                <c:ptCount val="1"/>
                <c:pt idx="0">
                  <c:v>Fraction of Annual Applicable Measure Stock Achievable</c:v>
                </c:pt>
              </c:strCache>
            </c:strRef>
          </c:tx>
          <c:layout>
            <c:manualLayout>
              <c:xMode val="edge"/>
              <c:yMode val="edge"/>
              <c:x val="2.1857923497267812E-2"/>
              <c:y val="0.18651708985815374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125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94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61849031166187"/>
          <c:y val="0.31235978648736873"/>
          <c:w val="0.17833340504568079"/>
          <c:h val="0.687640213512640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988" r="0.750000000000009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</xdr:colOff>
      <xdr:row>17</xdr:row>
      <xdr:rowOff>19050</xdr:rowOff>
    </xdr:from>
    <xdr:to>
      <xdr:col>39</xdr:col>
      <xdr:colOff>409575</xdr:colOff>
      <xdr:row>43</xdr:row>
      <xdr:rowOff>47625</xdr:rowOff>
    </xdr:to>
    <xdr:graphicFrame macro="">
      <xdr:nvGraphicFramePr>
        <xdr:cNvPr id="9016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563799</xdr:colOff>
      <xdr:row>8</xdr:row>
      <xdr:rowOff>142673</xdr:rowOff>
    </xdr:from>
    <xdr:to>
      <xdr:col>20</xdr:col>
      <xdr:colOff>230221</xdr:colOff>
      <xdr:row>29</xdr:row>
      <xdr:rowOff>161722</xdr:rowOff>
    </xdr:to>
    <xdr:sp macro="" textlink="">
      <xdr:nvSpPr>
        <xdr:cNvPr id="14350" name="WordArt 14"/>
        <xdr:cNvSpPr>
          <a:spLocks noChangeArrowheads="1" noChangeShapeType="1" noTextEdit="1"/>
        </xdr:cNvSpPr>
      </xdr:nvSpPr>
      <xdr:spPr bwMode="auto">
        <a:xfrm>
          <a:off x="8295262" y="1439694"/>
          <a:ext cx="6354188" cy="342373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5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>
                  <a:alpha val="42000"/>
                </a:srgbClr>
              </a:solidFill>
              <a:effectLst/>
              <a:latin typeface="Arial Black"/>
            </a:rPr>
            <a:t>DO NOT Use These Data </a:t>
          </a:r>
        </a:p>
        <a:p>
          <a:pPr algn="ctr" rtl="0"/>
          <a:r>
            <a:rPr lang="en-US" sz="5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>
                  <a:alpha val="42000"/>
                </a:srgbClr>
              </a:solidFill>
              <a:effectLst/>
              <a:latin typeface="Arial Black"/>
            </a:rPr>
            <a:t>as Represntative EUIs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/Main/Plan%205/FinalPlan/PC-ReRoof-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Hardware%20-7P_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Water%20Mgmt%20-7P_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Eff-7P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g-Convert_P_Irr-7P_v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Motor%20-7P_v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g-Area_Lights-7P_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g-Dairy-7P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Irr%20files/Irrigation%20load%20FE2015%20loads%20sent%20to%20TJ%20Dec%2010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Data"/>
      <sheetName val="MDataElec"/>
      <sheetName val="MMap"/>
      <sheetName val="MDataGas"/>
      <sheetName val="R11 to R22 ElecHt"/>
      <sheetName val="R0 to R22 ElecHt"/>
      <sheetName val="R11 to R22 HtPump"/>
      <sheetName val="R0 to R22 HtPump"/>
      <sheetName val="Notes and Sources"/>
      <sheetName val="To Do"/>
      <sheetName val="Nov2003"/>
      <sheetName val="9March04A"/>
      <sheetName val="9Apr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Overlap"/>
      <sheetName val="Accomplishments"/>
      <sheetName val="M_Input_Out"/>
      <sheetName val="M_Input"/>
      <sheetName val="Consolidate"/>
      <sheetName val="Increment"/>
      <sheetName val="Weighting"/>
      <sheetName val="W vs E"/>
      <sheetName val="Raw"/>
      <sheetName val="SavingsData&amp;Analysis"/>
      <sheetName val="Inputs"/>
      <sheetName val="emails and excerpts"/>
      <sheetName val="IDStudy"/>
      <sheetName val="IDStudyAppendixA"/>
      <sheetName val="BPAPumpTests"/>
      <sheetName val="PacifiCorp"/>
    </sheetNames>
    <sheetDataSet>
      <sheetData sheetId="0" refreshError="1"/>
      <sheetData sheetId="1" refreshError="1"/>
      <sheetData sheetId="2">
        <row r="10">
          <cell r="C10">
            <v>53.088950817341505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NR"/>
      <sheetName val="Accomplishments"/>
      <sheetName val="SISAcres"/>
      <sheetName val="M_Input_Out"/>
      <sheetName val="M_Input"/>
      <sheetName val="Raw"/>
      <sheetName val="SIS Savings &amp; Cost"/>
    </sheetNames>
    <sheetDataSet>
      <sheetData sheetId="0"/>
      <sheetData sheetId="1"/>
      <sheetData sheetId="2">
        <row r="10">
          <cell r="C10">
            <v>23.243514956654359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Raw"/>
      <sheetName val="LESA Savings &amp; Cost"/>
      <sheetName val="Pumping Costs"/>
      <sheetName val="Equipment&amp;Maintenance Costs"/>
    </sheetNames>
    <sheetDataSet>
      <sheetData sheetId="0" refreshError="1"/>
      <sheetData sheetId="1" refreshError="1"/>
      <sheetData sheetId="2">
        <row r="10">
          <cell r="C10">
            <v>19.315295000234563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Increment"/>
      <sheetName val="Raw"/>
      <sheetName val="Input"/>
      <sheetName val="Assump"/>
      <sheetName val="Costs"/>
    </sheetNames>
    <sheetDataSet>
      <sheetData sheetId="0" refreshError="1"/>
      <sheetData sheetId="1" refreshError="1"/>
      <sheetData sheetId="2">
        <row r="10">
          <cell r="C10">
            <v>23.952444336868812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Composite"/>
      <sheetName val="Pump Sizes"/>
      <sheetName val="Raw"/>
      <sheetName val="SavingsAnalysis"/>
      <sheetName val="CostAnalysis"/>
      <sheetName val="Life"/>
    </sheetNames>
    <sheetDataSet>
      <sheetData sheetId="0" refreshError="1"/>
      <sheetData sheetId="1" refreshError="1"/>
      <sheetData sheetId="2">
        <row r="10">
          <cell r="C10">
            <v>3.0046517658530756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Increment"/>
      <sheetName val="Raw"/>
      <sheetName val="SavingsData&amp;Analysis"/>
      <sheetName val="CostData&amp;Analysis"/>
      <sheetName val="RawCost&amp;PowerData"/>
      <sheetName val="Assumptions"/>
      <sheetName val="AveragedData"/>
    </sheetNames>
    <sheetDataSet>
      <sheetData sheetId="0" refreshError="1"/>
      <sheetData sheetId="1" refreshError="1"/>
      <sheetData sheetId="2">
        <row r="10">
          <cell r="C10">
            <v>3.138048764634767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M_Input_Out"/>
      <sheetName val="M_Input"/>
      <sheetName val="Raw"/>
      <sheetName val="Accomplishments"/>
      <sheetName val="Input Assumptions"/>
      <sheetName val="EUI by End Use"/>
      <sheetName val="EUI by Equipment Type"/>
      <sheetName val="ECM Estimated Cost &amp; Savings"/>
      <sheetName val="State Dairy Production Data"/>
      <sheetName val="Milk Production by Herd Size"/>
      <sheetName val="Milking Cows by State"/>
      <sheetName val="CA EUIs and ECM Savings Est"/>
    </sheetNames>
    <sheetDataSet>
      <sheetData sheetId="0" refreshError="1"/>
      <sheetData sheetId="1" refreshError="1"/>
      <sheetData sheetId="2">
        <row r="10">
          <cell r="C10">
            <v>1.1987564116178056</v>
          </cell>
        </row>
      </sheetData>
      <sheetData sheetId="3">
        <row r="4">
          <cell r="A4" t="str">
            <v>Plate Milk Pre-Cooler - Idaho TieStall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0">
          <cell r="P40">
            <v>1.2115148190639431</v>
          </cell>
        </row>
        <row r="82">
          <cell r="U82">
            <v>0.56214476496214794</v>
          </cell>
        </row>
        <row r="83">
          <cell r="R83">
            <v>0.83113186267875672</v>
          </cell>
          <cell r="S83">
            <v>0.11423286867866647</v>
          </cell>
          <cell r="T83">
            <v>0.43183110028420624</v>
          </cell>
          <cell r="U83">
            <v>0.72433346866964399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AG17">
            <v>277.23973289112047</v>
          </cell>
        </row>
        <row r="18">
          <cell r="AG18">
            <v>22.963835045243886</v>
          </cell>
        </row>
        <row r="19">
          <cell r="AG19">
            <v>151.24411131189621</v>
          </cell>
        </row>
        <row r="20">
          <cell r="AG20">
            <v>288.38150505266827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Ag-Convert_P_Irr-7P_v3.xlsx" TargetMode="External"/><Relationship Id="rId7" Type="http://schemas.openxmlformats.org/officeDocument/2006/relationships/hyperlink" Target="Ag-Irr_Water%20Mgmt%20-7P_v2.xlsx" TargetMode="External"/><Relationship Id="rId2" Type="http://schemas.openxmlformats.org/officeDocument/2006/relationships/hyperlink" Target="Ag-Irr_Eff-7P_v2.xlsx" TargetMode="External"/><Relationship Id="rId1" Type="http://schemas.openxmlformats.org/officeDocument/2006/relationships/hyperlink" Target="Ag-Irr_Eff-7P_v2.xlsx" TargetMode="External"/><Relationship Id="rId6" Type="http://schemas.openxmlformats.org/officeDocument/2006/relationships/hyperlink" Target="Ag-Dairy-7P_v2.xlsx" TargetMode="External"/><Relationship Id="rId5" Type="http://schemas.openxmlformats.org/officeDocument/2006/relationships/hyperlink" Target="Ag-Area_Lights-7P_v3.xlsx" TargetMode="External"/><Relationship Id="rId4" Type="http://schemas.openxmlformats.org/officeDocument/2006/relationships/hyperlink" Target="Ag-Irr_Motor%20-7P_v3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"/>
  <dimension ref="A1:B132"/>
  <sheetViews>
    <sheetView topLeftCell="A85" zoomScale="75" workbookViewId="0">
      <selection activeCell="H7" sqref="H7"/>
    </sheetView>
  </sheetViews>
  <sheetFormatPr defaultRowHeight="12.75"/>
  <cols>
    <col min="1" max="1" width="16.140625" customWidth="1"/>
    <col min="2" max="2" width="95.28515625" customWidth="1"/>
    <col min="3" max="3" width="13.7109375" customWidth="1"/>
  </cols>
  <sheetData>
    <row r="1" spans="1:2">
      <c r="A1" s="25"/>
    </row>
    <row r="2" spans="1:2">
      <c r="A2" s="27"/>
      <c r="B2" s="38"/>
    </row>
    <row r="116" spans="1:2" ht="15.75">
      <c r="A116" s="75"/>
      <c r="B116" s="75"/>
    </row>
    <row r="117" spans="1:2" ht="15">
      <c r="A117" s="76"/>
      <c r="B117" s="76"/>
    </row>
    <row r="118" spans="1:2" ht="15">
      <c r="A118" s="76"/>
      <c r="B118" s="77"/>
    </row>
    <row r="119" spans="1:2" ht="15">
      <c r="A119" s="76"/>
      <c r="B119" s="76"/>
    </row>
    <row r="120" spans="1:2" ht="15">
      <c r="A120" s="76"/>
      <c r="B120" s="76"/>
    </row>
    <row r="121" spans="1:2" ht="15">
      <c r="A121" s="76"/>
      <c r="B121" s="76"/>
    </row>
    <row r="122" spans="1:2" ht="15">
      <c r="A122" s="76"/>
      <c r="B122" s="76"/>
    </row>
    <row r="123" spans="1:2" ht="15">
      <c r="A123" s="76"/>
      <c r="B123" s="76"/>
    </row>
    <row r="124" spans="1:2" ht="15">
      <c r="A124" s="76"/>
      <c r="B124" s="76"/>
    </row>
    <row r="125" spans="1:2" ht="15">
      <c r="A125" s="76"/>
      <c r="B125" s="76"/>
    </row>
    <row r="126" spans="1:2" ht="15">
      <c r="A126" s="76"/>
      <c r="B126" s="76"/>
    </row>
    <row r="127" spans="1:2" ht="15">
      <c r="A127" s="76"/>
      <c r="B127" s="76"/>
    </row>
    <row r="128" spans="1:2" ht="15">
      <c r="A128" s="76"/>
      <c r="B128" s="76"/>
    </row>
    <row r="129" spans="1:2" ht="15">
      <c r="A129" s="76"/>
      <c r="B129" s="76"/>
    </row>
    <row r="130" spans="1:2" ht="15">
      <c r="A130" s="76"/>
      <c r="B130" s="76"/>
    </row>
    <row r="131" spans="1:2" ht="15">
      <c r="A131" s="76"/>
      <c r="B131" s="76"/>
    </row>
    <row r="132" spans="1:2" ht="15">
      <c r="A132" s="76"/>
      <c r="B132" s="7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7" enableFormatConditionsCalculation="0">
    <tabColor rgb="FFFF0000"/>
  </sheetPr>
  <dimension ref="A1:AC109"/>
  <sheetViews>
    <sheetView workbookViewId="0">
      <selection activeCell="C18" sqref="C18"/>
    </sheetView>
  </sheetViews>
  <sheetFormatPr defaultRowHeight="12.75"/>
  <cols>
    <col min="1" max="1" width="13.7109375" customWidth="1"/>
    <col min="2" max="2" width="95" customWidth="1"/>
    <col min="3" max="3" width="20.85546875" customWidth="1"/>
    <col min="4" max="19" width="9.7109375" customWidth="1"/>
    <col min="20" max="20" width="7.85546875" customWidth="1"/>
    <col min="21" max="25" width="9.7109375" customWidth="1"/>
    <col min="27" max="27" width="36" customWidth="1"/>
  </cols>
  <sheetData>
    <row r="1" spans="1:29">
      <c r="A1" t="s">
        <v>7</v>
      </c>
      <c r="B1" t="s">
        <v>8</v>
      </c>
      <c r="C1" s="43" t="s">
        <v>370</v>
      </c>
      <c r="D1" s="51">
        <v>0.10937459468255628</v>
      </c>
      <c r="E1" s="51">
        <v>0.21874918936511256</v>
      </c>
      <c r="F1" s="51">
        <v>0.32812378404766884</v>
      </c>
      <c r="G1" s="51">
        <v>0.43749837873022512</v>
      </c>
      <c r="H1" s="51">
        <v>0.5468729734127814</v>
      </c>
      <c r="I1" s="51">
        <v>0.64531010862708205</v>
      </c>
      <c r="J1" s="51">
        <v>0.7240598167985226</v>
      </c>
      <c r="K1" s="51">
        <v>0.78705958333567505</v>
      </c>
      <c r="L1" s="51">
        <v>0.83745939656539703</v>
      </c>
      <c r="M1" s="51">
        <v>0.87777924714917455</v>
      </c>
      <c r="N1" s="51">
        <v>0.91003512761619654</v>
      </c>
      <c r="O1" s="51">
        <v>0.93583983198981413</v>
      </c>
      <c r="P1" s="51">
        <v>0.9564835954887082</v>
      </c>
      <c r="Q1" s="51">
        <v>0.97299860628782353</v>
      </c>
      <c r="R1" s="51">
        <v>0.9862106149271157</v>
      </c>
      <c r="S1" s="51">
        <v>0.99678022183854953</v>
      </c>
      <c r="T1" s="51">
        <v>0.99685231466234414</v>
      </c>
      <c r="U1" s="51">
        <v>0.99687806209941365</v>
      </c>
      <c r="V1" s="51">
        <v>0.99688683963477831</v>
      </c>
      <c r="W1" s="51">
        <v>0.99688970187457115</v>
      </c>
      <c r="X1" s="51"/>
      <c r="Y1" s="31">
        <f>SUM(D1:W1)</f>
        <v>15.258141989133511</v>
      </c>
      <c r="Z1" s="31">
        <f>Y1/$Y$1</f>
        <v>1</v>
      </c>
      <c r="AA1" s="31">
        <f>Y1/2000%</f>
        <v>0.76290709945667556</v>
      </c>
    </row>
    <row r="2" spans="1:29">
      <c r="C2" s="43" t="s">
        <v>389</v>
      </c>
      <c r="D2" s="46">
        <v>4.2999999999999997E-2</v>
      </c>
      <c r="E2" s="51">
        <v>9.5797142280278316E-2</v>
      </c>
      <c r="F2" s="51">
        <v>0.16040539374775648</v>
      </c>
      <c r="G2" s="51">
        <v>0.23540539374775649</v>
      </c>
      <c r="H2" s="51">
        <v>0.32095239121809005</v>
      </c>
      <c r="I2" s="51">
        <v>0.42096711425629652</v>
      </c>
      <c r="J2" s="51">
        <v>0.53068481860864725</v>
      </c>
      <c r="K2" s="51">
        <v>0.642769203728351</v>
      </c>
      <c r="L2" s="51">
        <v>0.74839528535557953</v>
      </c>
      <c r="M2" s="51">
        <v>0.83918984935345187</v>
      </c>
      <c r="N2" s="51">
        <v>0.90945051634530116</v>
      </c>
      <c r="O2" s="51">
        <v>0.9576688767502457</v>
      </c>
      <c r="P2" s="51">
        <v>0.9865231113648858</v>
      </c>
      <c r="Q2" s="51">
        <v>1.0012970762896924</v>
      </c>
      <c r="R2" s="51">
        <v>1.0076356106578106</v>
      </c>
      <c r="S2" s="51">
        <v>1.0098624683774413</v>
      </c>
      <c r="T2" s="51">
        <v>1.0104871783970797</v>
      </c>
      <c r="U2" s="51">
        <v>1.010623336815976</v>
      </c>
      <c r="V2" s="51">
        <v>1.0106457174525985</v>
      </c>
      <c r="W2" s="51">
        <v>1.0106484038909742</v>
      </c>
      <c r="X2" s="51"/>
      <c r="Y2" s="31">
        <f>SUM(D2:W2)</f>
        <v>13.952408888638214</v>
      </c>
      <c r="Z2" s="31">
        <f>Y2/$Y$1</f>
        <v>0.91442384653221798</v>
      </c>
      <c r="AA2" s="31">
        <f>Y2/2000%</f>
        <v>0.69762044443191074</v>
      </c>
    </row>
    <row r="3" spans="1:29">
      <c r="C3" s="43" t="s">
        <v>387</v>
      </c>
      <c r="D3" s="51">
        <v>2.5643970768378654E-3</v>
      </c>
      <c r="E3" s="51">
        <v>7.6904586297764643E-3</v>
      </c>
      <c r="F3" s="51">
        <v>1.6792013047419844E-2</v>
      </c>
      <c r="G3" s="51">
        <v>3.15969387774655E-2</v>
      </c>
      <c r="H3" s="51">
        <v>5.406874819795171E-2</v>
      </c>
      <c r="I3" s="51">
        <v>8.6253181011834101E-2</v>
      </c>
      <c r="J3" s="51">
        <v>0.1300328481838382</v>
      </c>
      <c r="K3" s="51">
        <v>0.18678710893858319</v>
      </c>
      <c r="L3" s="51">
        <v>0.2569823480072907</v>
      </c>
      <c r="M3" s="51">
        <v>0.33975920985004748</v>
      </c>
      <c r="N3" s="51">
        <v>0.43262946935754232</v>
      </c>
      <c r="O3" s="51">
        <v>0.53142594003645804</v>
      </c>
      <c r="P3" s="51">
        <v>0.63063487292644704</v>
      </c>
      <c r="Q3" s="51">
        <v>0.7241560234206913</v>
      </c>
      <c r="R3" s="51">
        <v>0.80638203131755359</v>
      </c>
      <c r="S3" s="51">
        <v>0.87331559734491926</v>
      </c>
      <c r="T3" s="51">
        <v>0.92334516248836807</v>
      </c>
      <c r="U3" s="51">
        <v>0.95737002770730018</v>
      </c>
      <c r="V3" s="51">
        <v>0.97821608704807483</v>
      </c>
      <c r="W3" s="51">
        <v>0.98821608704807484</v>
      </c>
      <c r="X3" s="51"/>
      <c r="Y3" s="31">
        <f>SUM(D3:W3)</f>
        <v>8.9582185504164755</v>
      </c>
      <c r="Z3" s="31">
        <f>Y3/$Y$1</f>
        <v>0.58711070828914214</v>
      </c>
      <c r="AA3" s="31">
        <f>Y3/2000%</f>
        <v>0.44791092752082379</v>
      </c>
    </row>
    <row r="4" spans="1:29">
      <c r="C4" s="43" t="s">
        <v>371</v>
      </c>
      <c r="D4" s="51">
        <v>0.45</v>
      </c>
      <c r="E4" s="51">
        <v>0.66</v>
      </c>
      <c r="F4" s="51">
        <v>0.8</v>
      </c>
      <c r="G4" s="51">
        <v>0.89</v>
      </c>
      <c r="H4" s="51">
        <v>0.94954036260972652</v>
      </c>
      <c r="I4" s="51">
        <v>0.97931054391458994</v>
      </c>
      <c r="J4" s="51">
        <v>0.99254173560564019</v>
      </c>
      <c r="K4" s="51">
        <v>0.99783421228206048</v>
      </c>
      <c r="L4" s="51">
        <v>0.99975874925530417</v>
      </c>
      <c r="M4" s="51">
        <v>1.0004002615797187</v>
      </c>
      <c r="N4" s="51">
        <v>1.0005976499872309</v>
      </c>
      <c r="O4" s="51">
        <v>1.0006540466750915</v>
      </c>
      <c r="P4" s="51">
        <v>1.0006690857918545</v>
      </c>
      <c r="Q4" s="51">
        <v>1.000672845571045</v>
      </c>
      <c r="R4" s="51">
        <v>1.0006737302249724</v>
      </c>
      <c r="S4" s="51">
        <v>1.0006739268147338</v>
      </c>
      <c r="T4" s="51">
        <v>1.0006739682020522</v>
      </c>
      <c r="U4" s="51">
        <v>1.0006739764795158</v>
      </c>
      <c r="V4" s="51">
        <v>1.0006739780561755</v>
      </c>
      <c r="W4" s="51">
        <v>1.0006739783428409</v>
      </c>
      <c r="X4" s="51"/>
      <c r="Y4" s="31">
        <f>SUM(D4:W4)</f>
        <v>18.726023051392556</v>
      </c>
      <c r="Z4" s="31">
        <f>Y4/$Y$1</f>
        <v>1.227280691497614</v>
      </c>
      <c r="AA4" s="31">
        <f>Y4/2000%</f>
        <v>0.93630115256962776</v>
      </c>
    </row>
    <row r="5" spans="1:29">
      <c r="C5" s="43" t="s">
        <v>372</v>
      </c>
      <c r="D5" s="51">
        <v>0.22119921692859512</v>
      </c>
      <c r="E5" s="51">
        <v>0.37624232795148943</v>
      </c>
      <c r="F5" s="51">
        <v>0.48357361352878442</v>
      </c>
      <c r="G5" s="51">
        <v>0.56716330278444227</v>
      </c>
      <c r="H5" s="51">
        <v>0.64040048266456928</v>
      </c>
      <c r="I5" s="51">
        <v>0.70377511937632964</v>
      </c>
      <c r="J5" s="51">
        <v>0.7580669577441127</v>
      </c>
      <c r="K5" s="51">
        <v>0.80419335000071168</v>
      </c>
      <c r="L5" s="51">
        <v>0.84311022627788457</v>
      </c>
      <c r="M5" s="51">
        <v>0.87575014259103623</v>
      </c>
      <c r="N5" s="51">
        <v>0.90298584871682319</v>
      </c>
      <c r="O5" s="51">
        <v>0.92419703797508856</v>
      </c>
      <c r="P5" s="51">
        <v>0.94071632877930145</v>
      </c>
      <c r="Q5" s="51">
        <v>0.95358156539340677</v>
      </c>
      <c r="R5" s="51">
        <v>0.96360102174287088</v>
      </c>
      <c r="S5" s="51">
        <v>0.97140418219378311</v>
      </c>
      <c r="T5" s="51">
        <v>0.97748128966338554</v>
      </c>
      <c r="U5" s="51">
        <v>0.98221414571952104</v>
      </c>
      <c r="V5" s="51">
        <v>0.98590009772220355</v>
      </c>
      <c r="W5" s="51">
        <v>0.98877072002825628</v>
      </c>
      <c r="X5" s="51"/>
      <c r="Y5" s="31"/>
      <c r="Z5" s="31"/>
      <c r="AA5" s="31"/>
    </row>
    <row r="6" spans="1:29">
      <c r="C6" s="43" t="s">
        <v>373</v>
      </c>
      <c r="D6" s="51">
        <v>0.05</v>
      </c>
      <c r="E6" s="51">
        <v>0.1</v>
      </c>
      <c r="F6" s="51">
        <v>0.15000000000000002</v>
      </c>
      <c r="G6" s="51">
        <v>0.2</v>
      </c>
      <c r="H6" s="51">
        <v>0.25</v>
      </c>
      <c r="I6" s="51">
        <v>0.3</v>
      </c>
      <c r="J6" s="51">
        <v>0.35</v>
      </c>
      <c r="K6" s="51">
        <v>0.39999999999999997</v>
      </c>
      <c r="L6" s="51">
        <v>0.44999999999999996</v>
      </c>
      <c r="M6" s="51">
        <v>0.49999999999999994</v>
      </c>
      <c r="N6" s="51">
        <v>0.54999999999999993</v>
      </c>
      <c r="O6" s="51">
        <v>0.6</v>
      </c>
      <c r="P6" s="51">
        <v>0.65</v>
      </c>
      <c r="Q6" s="51">
        <v>0.70000000000000007</v>
      </c>
      <c r="R6" s="51">
        <v>0.75000000000000011</v>
      </c>
      <c r="S6" s="51">
        <v>0.80000000000000016</v>
      </c>
      <c r="T6" s="51">
        <v>0.8500000000000002</v>
      </c>
      <c r="U6" s="51">
        <v>0.90000000000000024</v>
      </c>
      <c r="V6" s="51">
        <v>0.95000000000000029</v>
      </c>
      <c r="W6" s="51">
        <v>1.0000000000000002</v>
      </c>
      <c r="X6" s="51"/>
      <c r="Y6" s="31"/>
      <c r="Z6" s="31"/>
      <c r="AA6" s="31"/>
    </row>
    <row r="7" spans="1:29">
      <c r="C7" s="43" t="s">
        <v>374</v>
      </c>
      <c r="D7" s="46">
        <v>0.01</v>
      </c>
      <c r="E7" s="46">
        <v>2.98E-2</v>
      </c>
      <c r="F7" s="46">
        <v>5.8906E-2</v>
      </c>
      <c r="G7" s="46">
        <v>9.6549759999999998E-2</v>
      </c>
      <c r="H7" s="46">
        <v>0.14172227199999998</v>
      </c>
      <c r="I7" s="46">
        <v>0.19035800991999999</v>
      </c>
      <c r="J7" s="46">
        <v>0.2362377226912</v>
      </c>
      <c r="K7" s="46">
        <v>0.279517585072032</v>
      </c>
      <c r="L7" s="46">
        <v>0.32034492191795017</v>
      </c>
      <c r="M7" s="46">
        <v>0.35885870967593297</v>
      </c>
      <c r="N7" s="46">
        <v>0.39519004946096342</v>
      </c>
      <c r="O7" s="46">
        <v>0.42946261332484215</v>
      </c>
      <c r="P7" s="46">
        <v>0.46179306523643443</v>
      </c>
      <c r="Q7" s="46">
        <v>0.49229145820636983</v>
      </c>
      <c r="R7" s="46">
        <v>0.5210616089080089</v>
      </c>
      <c r="S7" s="46">
        <v>0.54820145106988838</v>
      </c>
      <c r="T7" s="46">
        <v>0.57380336884259475</v>
      </c>
      <c r="U7" s="46">
        <v>0.59795451127484767</v>
      </c>
      <c r="V7" s="46">
        <v>0.62073708896927293</v>
      </c>
      <c r="W7" s="46">
        <v>0.6422286539276808</v>
      </c>
      <c r="X7" s="51"/>
      <c r="Y7" s="31">
        <f t="shared" ref="Y7:Y15" si="0">SUM(D7:W7)</f>
        <v>7.0050188504980193</v>
      </c>
      <c r="Z7" s="31">
        <f t="shared" ref="Z7:Z15" si="1">Y7/$Y$1</f>
        <v>0.45910038427266103</v>
      </c>
    </row>
    <row r="8" spans="1:29">
      <c r="C8" s="43" t="s">
        <v>391</v>
      </c>
      <c r="D8" s="46">
        <v>5.5320496977002724E-3</v>
      </c>
      <c r="E8" s="46">
        <v>1.4227918344261844E-2</v>
      </c>
      <c r="F8" s="46">
        <v>3.1619655637384989E-2</v>
      </c>
      <c r="G8" s="46">
        <v>6.2055195900350503E-2</v>
      </c>
      <c r="H8" s="46">
        <v>0.10939936964274129</v>
      </c>
      <c r="I8" s="46">
        <v>0.17568121288208835</v>
      </c>
      <c r="J8" s="46">
        <v>0.26003992245943919</v>
      </c>
      <c r="K8" s="46">
        <v>0.3584584169663485</v>
      </c>
      <c r="L8" s="46">
        <v>0.46444756489686617</v>
      </c>
      <c r="M8" s="46">
        <v>0.57043671282738384</v>
      </c>
      <c r="N8" s="46">
        <v>0.66935991756253377</v>
      </c>
      <c r="O8" s="46">
        <v>0.75591772170578986</v>
      </c>
      <c r="P8" s="46">
        <v>0.82720061923553012</v>
      </c>
      <c r="Q8" s="46">
        <v>0.88264287286977261</v>
      </c>
      <c r="R8" s="46">
        <v>0.92349505975816193</v>
      </c>
      <c r="S8" s="46">
        <v>0.95209159058003434</v>
      </c>
      <c r="T8" s="46">
        <v>0.97115594446128262</v>
      </c>
      <c r="U8" s="46">
        <v>0.98328780602207699</v>
      </c>
      <c r="V8" s="46">
        <v>0.99067241740690848</v>
      </c>
      <c r="W8" s="46">
        <v>0.99498010738139331</v>
      </c>
      <c r="X8" s="51"/>
      <c r="Y8" s="31"/>
      <c r="Z8" s="31"/>
    </row>
    <row r="9" spans="1:29">
      <c r="C9" s="43" t="s">
        <v>365</v>
      </c>
      <c r="D9" s="46">
        <v>0.10937459468255628</v>
      </c>
      <c r="E9" s="46">
        <v>0.10937459468255628</v>
      </c>
      <c r="F9" s="46">
        <v>0.10937459468255628</v>
      </c>
      <c r="G9" s="46">
        <v>0.10937459468255628</v>
      </c>
      <c r="H9" s="46">
        <v>0.10937459468255628</v>
      </c>
      <c r="I9" s="46">
        <v>9.8437135214300656E-2</v>
      </c>
      <c r="J9" s="46">
        <v>7.874970817144053E-2</v>
      </c>
      <c r="K9" s="46">
        <v>6.2999766537152418E-2</v>
      </c>
      <c r="L9" s="46">
        <v>5.0399813229721938E-2</v>
      </c>
      <c r="M9" s="46">
        <v>4.0319850583777551E-2</v>
      </c>
      <c r="N9" s="46">
        <v>3.225588046702204E-2</v>
      </c>
      <c r="O9" s="46">
        <v>2.5804704373617631E-2</v>
      </c>
      <c r="P9" s="46">
        <v>2.0643763498894106E-2</v>
      </c>
      <c r="Q9" s="46">
        <v>1.6515010799115284E-2</v>
      </c>
      <c r="R9" s="46">
        <v>1.3212008639292228E-2</v>
      </c>
      <c r="S9" s="46">
        <v>1.0569606911433781E-2</v>
      </c>
      <c r="T9" s="46">
        <v>7.2092823794611682E-5</v>
      </c>
      <c r="U9" s="46">
        <v>2.5747437069512102E-5</v>
      </c>
      <c r="V9" s="46">
        <v>8.7775353646568632E-6</v>
      </c>
      <c r="W9" s="46">
        <v>2.8622397928446119E-6</v>
      </c>
      <c r="X9" s="51"/>
      <c r="Y9" s="31">
        <f t="shared" si="0"/>
        <v>0.99688970187457115</v>
      </c>
      <c r="Z9" s="31"/>
    </row>
    <row r="10" spans="1:29">
      <c r="C10" s="43" t="s">
        <v>390</v>
      </c>
      <c r="D10" s="46">
        <v>4.2999999999999997E-2</v>
      </c>
      <c r="E10" s="46">
        <v>5.279714228027832E-2</v>
      </c>
      <c r="F10" s="46">
        <v>6.4608251467478173E-2</v>
      </c>
      <c r="G10" s="46">
        <v>7.4999999999999997E-2</v>
      </c>
      <c r="H10" s="46">
        <v>8.5546997470333563E-2</v>
      </c>
      <c r="I10" s="46">
        <v>0.10001472303820647</v>
      </c>
      <c r="J10" s="46">
        <v>0.10971770435235073</v>
      </c>
      <c r="K10" s="46">
        <v>0.11208438511970376</v>
      </c>
      <c r="L10" s="46">
        <v>0.10562608162722853</v>
      </c>
      <c r="M10" s="46">
        <v>9.0794563997872335E-2</v>
      </c>
      <c r="N10" s="46">
        <v>7.0260666991849297E-2</v>
      </c>
      <c r="O10" s="46">
        <v>4.8218360404944538E-2</v>
      </c>
      <c r="P10" s="46">
        <v>2.8854234614640095E-2</v>
      </c>
      <c r="Q10" s="46">
        <v>1.4773964924806759E-2</v>
      </c>
      <c r="R10" s="46">
        <v>6.3385343681182649E-3</v>
      </c>
      <c r="S10" s="46">
        <v>2.2268577196306039E-3</v>
      </c>
      <c r="T10" s="46">
        <v>6.2471001963848583E-4</v>
      </c>
      <c r="U10" s="46">
        <v>1.3615841889635938E-4</v>
      </c>
      <c r="V10" s="46">
        <v>2.2380636622298944E-5</v>
      </c>
      <c r="W10" s="46">
        <v>2.68643837586513E-6</v>
      </c>
      <c r="X10" s="51"/>
      <c r="Y10" s="31">
        <f t="shared" si="0"/>
        <v>1.0106484038909742</v>
      </c>
      <c r="Z10" s="31"/>
    </row>
    <row r="11" spans="1:29">
      <c r="C11" s="43" t="s">
        <v>388</v>
      </c>
      <c r="D11" s="46">
        <v>2.5643970768378654E-3</v>
      </c>
      <c r="E11" s="46">
        <v>5.1260615529385989E-3</v>
      </c>
      <c r="F11" s="46">
        <v>9.1015544176433795E-3</v>
      </c>
      <c r="G11" s="46">
        <v>1.4804925730045659E-2</v>
      </c>
      <c r="H11" s="46">
        <v>2.2471809420486211E-2</v>
      </c>
      <c r="I11" s="46">
        <v>3.2184432813882391E-2</v>
      </c>
      <c r="J11" s="46">
        <v>4.3779667172004086E-2</v>
      </c>
      <c r="K11" s="46">
        <v>5.675426075474499E-2</v>
      </c>
      <c r="L11" s="46">
        <v>7.0195239068707532E-2</v>
      </c>
      <c r="M11" s="46">
        <v>8.2776861842756788E-2</v>
      </c>
      <c r="N11" s="46">
        <v>9.2870259507494834E-2</v>
      </c>
      <c r="O11" s="46">
        <v>9.8796470678915727E-2</v>
      </c>
      <c r="P11" s="46">
        <v>9.9208932889988999E-2</v>
      </c>
      <c r="Q11" s="46">
        <v>9.3521150494244254E-2</v>
      </c>
      <c r="R11" s="46">
        <v>8.2226007896862296E-2</v>
      </c>
      <c r="S11" s="46">
        <v>6.6933566027365665E-2</v>
      </c>
      <c r="T11" s="46">
        <v>5.0029565143448806E-2</v>
      </c>
      <c r="U11" s="46">
        <v>3.402486521893211E-2</v>
      </c>
      <c r="V11" s="46">
        <v>2.0846059340774659E-2</v>
      </c>
      <c r="W11" s="46">
        <v>0.01</v>
      </c>
      <c r="X11" s="51"/>
      <c r="Y11" s="31">
        <f t="shared" si="0"/>
        <v>0.98821608704807484</v>
      </c>
      <c r="Z11" s="31"/>
    </row>
    <row r="12" spans="1:29">
      <c r="C12" s="43" t="s">
        <v>366</v>
      </c>
      <c r="D12" s="46">
        <v>0.45</v>
      </c>
      <c r="E12" s="46">
        <v>0.21</v>
      </c>
      <c r="F12" s="46">
        <v>0.14000000000000001</v>
      </c>
      <c r="G12" s="46">
        <v>0.09</v>
      </c>
      <c r="H12" s="46">
        <v>5.9540362609726505E-2</v>
      </c>
      <c r="I12" s="46">
        <v>2.9770181304863419E-2</v>
      </c>
      <c r="J12" s="46">
        <v>1.3231191691050248E-2</v>
      </c>
      <c r="K12" s="46">
        <v>5.2924766764202991E-3</v>
      </c>
      <c r="L12" s="46">
        <v>1.9245369732436846E-3</v>
      </c>
      <c r="M12" s="46">
        <v>6.415123244144505E-4</v>
      </c>
      <c r="N12" s="46">
        <v>1.9738840751215569E-4</v>
      </c>
      <c r="O12" s="46">
        <v>5.6396687860615913E-5</v>
      </c>
      <c r="P12" s="46">
        <v>1.5039116763038152E-5</v>
      </c>
      <c r="Q12" s="46">
        <v>3.7597791905374933E-6</v>
      </c>
      <c r="R12" s="46">
        <v>8.8465392733549919E-7</v>
      </c>
      <c r="S12" s="46">
        <v>1.9658976146974538E-7</v>
      </c>
      <c r="T12" s="46">
        <v>4.13873183502389E-8</v>
      </c>
      <c r="U12" s="46">
        <v>8.2774636034343985E-9</v>
      </c>
      <c r="V12" s="46">
        <v>1.5766598027155965E-9</v>
      </c>
      <c r="W12" s="46">
        <v>2.8666535811794347E-10</v>
      </c>
      <c r="X12" s="46"/>
      <c r="Y12" s="31">
        <f t="shared" si="0"/>
        <v>1.0006739783428409</v>
      </c>
      <c r="Z12" s="31">
        <f t="shared" si="1"/>
        <v>6.5582950994655664E-2</v>
      </c>
    </row>
    <row r="13" spans="1:29">
      <c r="C13" s="43" t="s">
        <v>367</v>
      </c>
      <c r="D13" s="46">
        <v>0.22119921692859512</v>
      </c>
      <c r="E13" s="46">
        <v>0.15504311102289431</v>
      </c>
      <c r="F13" s="46">
        <v>0.10733128557729499</v>
      </c>
      <c r="G13" s="46">
        <v>8.3589689255657879E-2</v>
      </c>
      <c r="H13" s="46">
        <v>7.3237179880126971E-2</v>
      </c>
      <c r="I13" s="46">
        <v>6.3374636711760357E-2</v>
      </c>
      <c r="J13" s="46">
        <v>5.4291838367783084E-2</v>
      </c>
      <c r="K13" s="46">
        <v>4.612639225659896E-2</v>
      </c>
      <c r="L13" s="46">
        <v>3.8916876277172864E-2</v>
      </c>
      <c r="M13" s="46">
        <v>3.2639916313151704E-2</v>
      </c>
      <c r="N13" s="46">
        <v>2.7235706125786907E-2</v>
      </c>
      <c r="O13" s="46">
        <v>2.1211189258265428E-2</v>
      </c>
      <c r="P13" s="46">
        <v>1.6519290804212883E-2</v>
      </c>
      <c r="Q13" s="46">
        <v>1.2865236614105324E-2</v>
      </c>
      <c r="R13" s="46">
        <v>1.0019456349464106E-2</v>
      </c>
      <c r="S13" s="46">
        <v>7.8031604509122832E-3</v>
      </c>
      <c r="T13" s="46">
        <v>6.077107469602494E-3</v>
      </c>
      <c r="U13" s="46">
        <v>4.7328560561354371E-3</v>
      </c>
      <c r="V13" s="46">
        <v>3.6859520026825132E-3</v>
      </c>
      <c r="W13" s="46">
        <v>2.8706223060526725E-3</v>
      </c>
      <c r="X13" s="51"/>
      <c r="Y13" s="31">
        <f t="shared" si="0"/>
        <v>0.98877072002825628</v>
      </c>
      <c r="Z13" s="31">
        <f t="shared" si="1"/>
        <v>6.4802825975301279E-2</v>
      </c>
    </row>
    <row r="14" spans="1:29">
      <c r="C14" s="43" t="s">
        <v>368</v>
      </c>
      <c r="D14" s="46">
        <v>0.05</v>
      </c>
      <c r="E14" s="46">
        <v>0.05</v>
      </c>
      <c r="F14" s="46">
        <v>0.05</v>
      </c>
      <c r="G14" s="46">
        <v>0.05</v>
      </c>
      <c r="H14" s="46">
        <v>0.05</v>
      </c>
      <c r="I14" s="46">
        <v>0.05</v>
      </c>
      <c r="J14" s="46">
        <v>0.05</v>
      </c>
      <c r="K14" s="46">
        <v>0.05</v>
      </c>
      <c r="L14" s="46">
        <v>0.05</v>
      </c>
      <c r="M14" s="46">
        <v>0.05</v>
      </c>
      <c r="N14" s="46">
        <v>0.05</v>
      </c>
      <c r="O14" s="46">
        <v>0.05</v>
      </c>
      <c r="P14" s="46">
        <v>0.05</v>
      </c>
      <c r="Q14" s="46">
        <v>0.05</v>
      </c>
      <c r="R14" s="46">
        <v>0.05</v>
      </c>
      <c r="S14" s="46">
        <v>0.05</v>
      </c>
      <c r="T14" s="46">
        <v>0.05</v>
      </c>
      <c r="U14" s="46">
        <v>0.05</v>
      </c>
      <c r="V14" s="46">
        <v>0.05</v>
      </c>
      <c r="W14" s="46">
        <v>0.05</v>
      </c>
      <c r="X14" s="51"/>
      <c r="Y14" s="31">
        <f>SUM(D14:W14)</f>
        <v>1.0000000000000002</v>
      </c>
      <c r="Z14" s="31"/>
      <c r="AC14" t="s">
        <v>45</v>
      </c>
    </row>
    <row r="15" spans="1:29">
      <c r="C15" s="43" t="s">
        <v>369</v>
      </c>
      <c r="D15" s="46">
        <v>0.01</v>
      </c>
      <c r="E15" s="46">
        <v>1.9799999999999998E-2</v>
      </c>
      <c r="F15" s="46">
        <v>2.9106E-2</v>
      </c>
      <c r="G15" s="46">
        <v>3.7643759999999998E-2</v>
      </c>
      <c r="H15" s="46">
        <v>4.5172511999999984E-2</v>
      </c>
      <c r="I15" s="68">
        <v>4.8635737920000005E-2</v>
      </c>
      <c r="J15" s="68">
        <v>4.587971277120001E-2</v>
      </c>
      <c r="K15" s="68">
        <v>4.3279862380832007E-2</v>
      </c>
      <c r="L15" s="68">
        <v>4.0827336845918161E-2</v>
      </c>
      <c r="M15" s="68">
        <v>3.8513787757982809E-2</v>
      </c>
      <c r="N15" s="68">
        <v>3.6331339785030448E-2</v>
      </c>
      <c r="O15" s="68">
        <v>3.4272563863878724E-2</v>
      </c>
      <c r="P15" s="68">
        <v>3.2330451911592284E-2</v>
      </c>
      <c r="Q15" s="68">
        <v>3.0498392969935395E-2</v>
      </c>
      <c r="R15" s="68">
        <v>2.8770150701639075E-2</v>
      </c>
      <c r="S15" s="68">
        <v>2.7139842161879479E-2</v>
      </c>
      <c r="T15" s="68">
        <v>2.5601917772706373E-2</v>
      </c>
      <c r="U15" s="68">
        <v>2.4151142432252914E-2</v>
      </c>
      <c r="V15" s="68">
        <v>2.2782577694425266E-2</v>
      </c>
      <c r="W15" s="68">
        <v>2.1491564958407872E-2</v>
      </c>
      <c r="X15" s="51"/>
      <c r="Y15" s="31">
        <f t="shared" si="0"/>
        <v>0.6422286539276808</v>
      </c>
      <c r="Z15" s="31">
        <f t="shared" si="1"/>
        <v>4.2090881995007053E-2</v>
      </c>
    </row>
    <row r="16" spans="1:29">
      <c r="C16" s="43" t="s">
        <v>392</v>
      </c>
      <c r="D16" s="192">
        <v>5.5320496977002724E-3</v>
      </c>
      <c r="E16" s="192">
        <v>8.6958686465615706E-3</v>
      </c>
      <c r="F16" s="192">
        <v>1.7391737293123145E-2</v>
      </c>
      <c r="G16" s="192">
        <v>3.0435540262965514E-2</v>
      </c>
      <c r="H16" s="192">
        <v>4.7344173742390784E-2</v>
      </c>
      <c r="I16" s="192">
        <v>6.6281843239347063E-2</v>
      </c>
      <c r="J16" s="192">
        <v>8.4358709577350838E-2</v>
      </c>
      <c r="K16" s="192">
        <v>9.8418494506909315E-2</v>
      </c>
      <c r="L16" s="192">
        <v>0.10598914793051767</v>
      </c>
      <c r="M16" s="192">
        <v>0.10598914793051767</v>
      </c>
      <c r="N16" s="192">
        <v>9.8923204735149928E-2</v>
      </c>
      <c r="O16" s="192">
        <v>8.655780414325609E-2</v>
      </c>
      <c r="P16" s="192">
        <v>7.1282897529740263E-2</v>
      </c>
      <c r="Q16" s="192">
        <v>5.5442253634242489E-2</v>
      </c>
      <c r="R16" s="192">
        <v>4.0852186888389319E-2</v>
      </c>
      <c r="S16" s="192">
        <v>2.8596530821872412E-2</v>
      </c>
      <c r="T16" s="192">
        <v>1.9064353881248275E-2</v>
      </c>
      <c r="U16" s="192">
        <v>1.2131861560794377E-2</v>
      </c>
      <c r="V16" s="192">
        <v>7.3846113848314854E-3</v>
      </c>
      <c r="W16" s="192">
        <v>4.3076899744848296E-3</v>
      </c>
      <c r="X16" s="51"/>
      <c r="Y16" s="31"/>
      <c r="Z16" s="31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7">
      <c r="A18" s="2" t="s">
        <v>26</v>
      </c>
      <c r="B18" s="2" t="s">
        <v>31</v>
      </c>
      <c r="C18" s="2" t="s">
        <v>48</v>
      </c>
      <c r="D18" s="2">
        <v>2016</v>
      </c>
      <c r="E18" s="2">
        <v>2017</v>
      </c>
      <c r="F18" s="2">
        <v>2018</v>
      </c>
      <c r="G18" s="2">
        <v>2019</v>
      </c>
      <c r="H18" s="2">
        <v>2020</v>
      </c>
      <c r="I18" s="2">
        <v>2021</v>
      </c>
      <c r="J18" s="2">
        <v>2022</v>
      </c>
      <c r="K18" s="2">
        <v>2023</v>
      </c>
      <c r="L18" s="2">
        <v>2024</v>
      </c>
      <c r="M18" s="2">
        <v>2025</v>
      </c>
      <c r="N18" s="2">
        <v>2026</v>
      </c>
      <c r="O18" s="2">
        <v>2027</v>
      </c>
      <c r="P18" s="2">
        <v>2028</v>
      </c>
      <c r="Q18" s="2">
        <v>2029</v>
      </c>
      <c r="R18" s="2">
        <v>2030</v>
      </c>
      <c r="S18" s="2">
        <v>2031</v>
      </c>
      <c r="T18" s="2">
        <v>2032</v>
      </c>
      <c r="U18" s="2">
        <v>2033</v>
      </c>
      <c r="V18" s="2">
        <v>2034</v>
      </c>
      <c r="W18" s="2">
        <v>2035</v>
      </c>
      <c r="X18" s="2"/>
      <c r="Y18" s="2"/>
      <c r="AA18" s="42" t="s">
        <v>6</v>
      </c>
    </row>
    <row r="19" spans="1:27">
      <c r="A19" t="s">
        <v>95</v>
      </c>
      <c r="B19" t="s">
        <v>378</v>
      </c>
      <c r="C19" t="s">
        <v>365</v>
      </c>
      <c r="D19" s="30">
        <f t="shared" ref="D19:W25" si="2">IF(ISBLANK($C19),"",VLOOKUP($C19,$C$1:$X$15,D$18-$D$18+2,FALSE))</f>
        <v>0.10937459468255628</v>
      </c>
      <c r="E19" s="30">
        <f t="shared" si="2"/>
        <v>0.10937459468255628</v>
      </c>
      <c r="F19" s="30">
        <f t="shared" si="2"/>
        <v>0.10937459468255628</v>
      </c>
      <c r="G19" s="30">
        <f t="shared" si="2"/>
        <v>0.10937459468255628</v>
      </c>
      <c r="H19" s="30">
        <f t="shared" si="2"/>
        <v>0.10937459468255628</v>
      </c>
      <c r="I19" s="30">
        <f t="shared" si="2"/>
        <v>9.8437135214300656E-2</v>
      </c>
      <c r="J19" s="30">
        <f t="shared" si="2"/>
        <v>7.874970817144053E-2</v>
      </c>
      <c r="K19" s="30">
        <f t="shared" si="2"/>
        <v>6.2999766537152418E-2</v>
      </c>
      <c r="L19" s="30">
        <f t="shared" si="2"/>
        <v>5.0399813229721938E-2</v>
      </c>
      <c r="M19" s="30">
        <f t="shared" si="2"/>
        <v>4.0319850583777551E-2</v>
      </c>
      <c r="N19" s="30">
        <f t="shared" si="2"/>
        <v>3.225588046702204E-2</v>
      </c>
      <c r="O19" s="30">
        <f t="shared" si="2"/>
        <v>2.5804704373617631E-2</v>
      </c>
      <c r="P19" s="30">
        <f t="shared" si="2"/>
        <v>2.0643763498894106E-2</v>
      </c>
      <c r="Q19" s="30">
        <f t="shared" si="2"/>
        <v>1.6515010799115284E-2</v>
      </c>
      <c r="R19" s="30">
        <f t="shared" si="2"/>
        <v>1.3212008639292228E-2</v>
      </c>
      <c r="S19" s="30">
        <f t="shared" si="2"/>
        <v>1.0569606911433781E-2</v>
      </c>
      <c r="T19" s="30">
        <f t="shared" si="2"/>
        <v>7.2092823794611682E-5</v>
      </c>
      <c r="U19" s="30">
        <f t="shared" si="2"/>
        <v>2.5747437069512102E-5</v>
      </c>
      <c r="V19" s="30">
        <f t="shared" si="2"/>
        <v>8.7775353646568632E-6</v>
      </c>
      <c r="W19" s="30">
        <f t="shared" si="2"/>
        <v>2.8622397928446119E-6</v>
      </c>
      <c r="X19" s="30"/>
      <c r="Z19" s="30"/>
    </row>
    <row r="20" spans="1:27">
      <c r="A20" t="s">
        <v>55</v>
      </c>
      <c r="B20" t="s">
        <v>348</v>
      </c>
      <c r="C20" t="s">
        <v>390</v>
      </c>
      <c r="D20" s="30">
        <f t="shared" si="2"/>
        <v>4.2999999999999997E-2</v>
      </c>
      <c r="E20" s="30">
        <f t="shared" si="2"/>
        <v>5.279714228027832E-2</v>
      </c>
      <c r="F20" s="30">
        <f t="shared" si="2"/>
        <v>6.4608251467478173E-2</v>
      </c>
      <c r="G20" s="30">
        <f t="shared" si="2"/>
        <v>7.4999999999999997E-2</v>
      </c>
      <c r="H20" s="30">
        <f t="shared" si="2"/>
        <v>8.5546997470333563E-2</v>
      </c>
      <c r="I20" s="30">
        <f t="shared" si="2"/>
        <v>0.10001472303820647</v>
      </c>
      <c r="J20" s="30">
        <f t="shared" si="2"/>
        <v>0.10971770435235073</v>
      </c>
      <c r="K20" s="30">
        <f t="shared" si="2"/>
        <v>0.11208438511970376</v>
      </c>
      <c r="L20" s="30">
        <f t="shared" si="2"/>
        <v>0.10562608162722853</v>
      </c>
      <c r="M20" s="30">
        <f t="shared" si="2"/>
        <v>9.0794563997872335E-2</v>
      </c>
      <c r="N20" s="30">
        <f t="shared" si="2"/>
        <v>7.0260666991849297E-2</v>
      </c>
      <c r="O20" s="30">
        <f t="shared" si="2"/>
        <v>4.8218360404944538E-2</v>
      </c>
      <c r="P20" s="30">
        <f t="shared" si="2"/>
        <v>2.8854234614640095E-2</v>
      </c>
      <c r="Q20" s="30">
        <f t="shared" si="2"/>
        <v>1.4773964924806759E-2</v>
      </c>
      <c r="R20" s="30">
        <f t="shared" si="2"/>
        <v>6.3385343681182649E-3</v>
      </c>
      <c r="S20" s="30">
        <f t="shared" si="2"/>
        <v>2.2268577196306039E-3</v>
      </c>
      <c r="T20" s="30">
        <f t="shared" si="2"/>
        <v>6.2471001963848583E-4</v>
      </c>
      <c r="U20" s="30">
        <f t="shared" si="2"/>
        <v>1.3615841889635938E-4</v>
      </c>
      <c r="V20" s="30">
        <f t="shared" si="2"/>
        <v>2.2380636622298944E-5</v>
      </c>
      <c r="W20" s="30">
        <f t="shared" si="2"/>
        <v>2.68643837586513E-6</v>
      </c>
      <c r="X20" s="30"/>
      <c r="Z20" s="30"/>
    </row>
    <row r="21" spans="1:27">
      <c r="A21" t="s">
        <v>54</v>
      </c>
      <c r="B21" t="s">
        <v>361</v>
      </c>
      <c r="C21" t="s">
        <v>367</v>
      </c>
      <c r="D21" s="30">
        <f t="shared" si="2"/>
        <v>0.22119921692859512</v>
      </c>
      <c r="E21" s="30">
        <f t="shared" si="2"/>
        <v>0.15504311102289431</v>
      </c>
      <c r="F21" s="30">
        <f t="shared" si="2"/>
        <v>0.10733128557729499</v>
      </c>
      <c r="G21" s="30">
        <f t="shared" si="2"/>
        <v>8.3589689255657879E-2</v>
      </c>
      <c r="H21" s="30">
        <f t="shared" si="2"/>
        <v>7.3237179880126971E-2</v>
      </c>
      <c r="I21" s="30">
        <f t="shared" si="2"/>
        <v>6.3374636711760357E-2</v>
      </c>
      <c r="J21" s="30">
        <f t="shared" si="2"/>
        <v>5.4291838367783084E-2</v>
      </c>
      <c r="K21" s="30">
        <f t="shared" si="2"/>
        <v>4.612639225659896E-2</v>
      </c>
      <c r="L21" s="30">
        <f t="shared" si="2"/>
        <v>3.8916876277172864E-2</v>
      </c>
      <c r="M21" s="30">
        <f t="shared" si="2"/>
        <v>3.2639916313151704E-2</v>
      </c>
      <c r="N21" s="30">
        <f t="shared" si="2"/>
        <v>2.7235706125786907E-2</v>
      </c>
      <c r="O21" s="30">
        <f t="shared" si="2"/>
        <v>2.1211189258265428E-2</v>
      </c>
      <c r="P21" s="30">
        <f t="shared" si="2"/>
        <v>1.6519290804212883E-2</v>
      </c>
      <c r="Q21" s="30">
        <f t="shared" si="2"/>
        <v>1.2865236614105324E-2</v>
      </c>
      <c r="R21" s="30">
        <f t="shared" si="2"/>
        <v>1.0019456349464106E-2</v>
      </c>
      <c r="S21" s="30">
        <f t="shared" si="2"/>
        <v>7.8031604509122832E-3</v>
      </c>
      <c r="T21" s="30">
        <f t="shared" si="2"/>
        <v>6.077107469602494E-3</v>
      </c>
      <c r="U21" s="30">
        <f t="shared" si="2"/>
        <v>4.7328560561354371E-3</v>
      </c>
      <c r="V21" s="30">
        <f t="shared" si="2"/>
        <v>3.6859520026825132E-3</v>
      </c>
      <c r="W21" s="30">
        <f t="shared" si="2"/>
        <v>2.8706223060526725E-3</v>
      </c>
      <c r="X21" s="30"/>
      <c r="Z21" s="30"/>
    </row>
    <row r="22" spans="1:27">
      <c r="A22" t="s">
        <v>95</v>
      </c>
      <c r="B22" t="s">
        <v>403</v>
      </c>
      <c r="C22" t="s">
        <v>388</v>
      </c>
      <c r="D22" s="30">
        <f t="shared" si="2"/>
        <v>2.5643970768378654E-3</v>
      </c>
      <c r="E22" s="30">
        <f t="shared" si="2"/>
        <v>5.1260615529385989E-3</v>
      </c>
      <c r="F22" s="30">
        <f t="shared" si="2"/>
        <v>9.1015544176433795E-3</v>
      </c>
      <c r="G22" s="30">
        <f t="shared" si="2"/>
        <v>1.4804925730045659E-2</v>
      </c>
      <c r="H22" s="30">
        <f t="shared" si="2"/>
        <v>2.2471809420486211E-2</v>
      </c>
      <c r="I22" s="30">
        <f t="shared" si="2"/>
        <v>3.2184432813882391E-2</v>
      </c>
      <c r="J22" s="30">
        <f t="shared" si="2"/>
        <v>4.3779667172004086E-2</v>
      </c>
      <c r="K22" s="30">
        <f t="shared" si="2"/>
        <v>5.675426075474499E-2</v>
      </c>
      <c r="L22" s="30">
        <f t="shared" si="2"/>
        <v>7.0195239068707532E-2</v>
      </c>
      <c r="M22" s="30">
        <f t="shared" si="2"/>
        <v>8.2776861842756788E-2</v>
      </c>
      <c r="N22" s="30">
        <f t="shared" si="2"/>
        <v>9.2870259507494834E-2</v>
      </c>
      <c r="O22" s="30">
        <f t="shared" si="2"/>
        <v>9.8796470678915727E-2</v>
      </c>
      <c r="P22" s="30">
        <f t="shared" si="2"/>
        <v>9.9208932889988999E-2</v>
      </c>
      <c r="Q22" s="30">
        <f t="shared" si="2"/>
        <v>9.3521150494244254E-2</v>
      </c>
      <c r="R22" s="30">
        <f t="shared" si="2"/>
        <v>8.2226007896862296E-2</v>
      </c>
      <c r="S22" s="30">
        <f t="shared" si="2"/>
        <v>6.6933566027365665E-2</v>
      </c>
      <c r="T22" s="30">
        <f t="shared" si="2"/>
        <v>5.0029565143448806E-2</v>
      </c>
      <c r="U22" s="30">
        <f t="shared" si="2"/>
        <v>3.402486521893211E-2</v>
      </c>
      <c r="V22" s="30">
        <f t="shared" si="2"/>
        <v>2.0846059340774659E-2</v>
      </c>
      <c r="W22" s="30">
        <f t="shared" si="2"/>
        <v>0.01</v>
      </c>
      <c r="X22" s="30"/>
      <c r="Z22" s="30"/>
    </row>
    <row r="23" spans="1:27">
      <c r="A23" t="s">
        <v>95</v>
      </c>
      <c r="B23" t="s">
        <v>375</v>
      </c>
      <c r="C23" t="s">
        <v>388</v>
      </c>
      <c r="D23" s="30">
        <f t="shared" si="2"/>
        <v>2.5643970768378654E-3</v>
      </c>
      <c r="E23" s="30">
        <f t="shared" si="2"/>
        <v>5.1260615529385989E-3</v>
      </c>
      <c r="F23" s="30">
        <f t="shared" si="2"/>
        <v>9.1015544176433795E-3</v>
      </c>
      <c r="G23" s="30">
        <f t="shared" si="2"/>
        <v>1.4804925730045659E-2</v>
      </c>
      <c r="H23" s="30">
        <f t="shared" si="2"/>
        <v>2.2471809420486211E-2</v>
      </c>
      <c r="I23" s="30">
        <f t="shared" si="2"/>
        <v>3.2184432813882391E-2</v>
      </c>
      <c r="J23" s="30">
        <f t="shared" si="2"/>
        <v>4.3779667172004086E-2</v>
      </c>
      <c r="K23" s="30">
        <f t="shared" si="2"/>
        <v>5.675426075474499E-2</v>
      </c>
      <c r="L23" s="30">
        <f t="shared" si="2"/>
        <v>7.0195239068707532E-2</v>
      </c>
      <c r="M23" s="30">
        <f t="shared" si="2"/>
        <v>8.2776861842756788E-2</v>
      </c>
      <c r="N23" s="30">
        <f t="shared" si="2"/>
        <v>9.2870259507494834E-2</v>
      </c>
      <c r="O23" s="30">
        <f t="shared" si="2"/>
        <v>9.8796470678915727E-2</v>
      </c>
      <c r="P23" s="30">
        <f t="shared" si="2"/>
        <v>9.9208932889988999E-2</v>
      </c>
      <c r="Q23" s="30">
        <f t="shared" si="2"/>
        <v>9.3521150494244254E-2</v>
      </c>
      <c r="R23" s="30">
        <f t="shared" si="2"/>
        <v>8.2226007896862296E-2</v>
      </c>
      <c r="S23" s="30">
        <f t="shared" si="2"/>
        <v>6.6933566027365665E-2</v>
      </c>
      <c r="T23" s="30">
        <f t="shared" si="2"/>
        <v>5.0029565143448806E-2</v>
      </c>
      <c r="U23" s="30">
        <f t="shared" si="2"/>
        <v>3.402486521893211E-2</v>
      </c>
      <c r="V23" s="30">
        <f t="shared" si="2"/>
        <v>2.0846059340774659E-2</v>
      </c>
      <c r="W23" s="30">
        <f t="shared" si="2"/>
        <v>0.01</v>
      </c>
      <c r="X23" s="30"/>
      <c r="Z23" s="30"/>
    </row>
    <row r="24" spans="1:27">
      <c r="A24" t="s">
        <v>87</v>
      </c>
      <c r="B24" t="s">
        <v>402</v>
      </c>
      <c r="C24" t="s">
        <v>365</v>
      </c>
      <c r="D24" s="30">
        <f t="shared" si="2"/>
        <v>0.10937459468255628</v>
      </c>
      <c r="E24" s="30">
        <f t="shared" si="2"/>
        <v>0.10937459468255628</v>
      </c>
      <c r="F24" s="30">
        <f t="shared" si="2"/>
        <v>0.10937459468255628</v>
      </c>
      <c r="G24" s="30">
        <f t="shared" si="2"/>
        <v>0.10937459468255628</v>
      </c>
      <c r="H24" s="30">
        <f t="shared" si="2"/>
        <v>0.10937459468255628</v>
      </c>
      <c r="I24" s="30">
        <f t="shared" si="2"/>
        <v>9.8437135214300656E-2</v>
      </c>
      <c r="J24" s="30">
        <f t="shared" si="2"/>
        <v>7.874970817144053E-2</v>
      </c>
      <c r="K24" s="30">
        <f t="shared" si="2"/>
        <v>6.2999766537152418E-2</v>
      </c>
      <c r="L24" s="30">
        <f t="shared" si="2"/>
        <v>5.0399813229721938E-2</v>
      </c>
      <c r="M24" s="30">
        <f t="shared" si="2"/>
        <v>4.0319850583777551E-2</v>
      </c>
      <c r="N24" s="30">
        <f t="shared" si="2"/>
        <v>3.225588046702204E-2</v>
      </c>
      <c r="O24" s="30">
        <f t="shared" si="2"/>
        <v>2.5804704373617631E-2</v>
      </c>
      <c r="P24" s="30">
        <f t="shared" si="2"/>
        <v>2.0643763498894106E-2</v>
      </c>
      <c r="Q24" s="30">
        <f t="shared" si="2"/>
        <v>1.6515010799115284E-2</v>
      </c>
      <c r="R24" s="30">
        <f t="shared" si="2"/>
        <v>1.3212008639292228E-2</v>
      </c>
      <c r="S24" s="30">
        <f t="shared" si="2"/>
        <v>1.0569606911433781E-2</v>
      </c>
      <c r="T24" s="30">
        <f t="shared" si="2"/>
        <v>7.2092823794611682E-5</v>
      </c>
      <c r="U24" s="30">
        <f t="shared" si="2"/>
        <v>2.5747437069512102E-5</v>
      </c>
      <c r="V24" s="30">
        <f t="shared" si="2"/>
        <v>8.7775353646568632E-6</v>
      </c>
      <c r="W24" s="30">
        <f t="shared" si="2"/>
        <v>2.8622397928446119E-6</v>
      </c>
      <c r="X24" s="30"/>
      <c r="Z24" s="30"/>
    </row>
    <row r="25" spans="1:27">
      <c r="A25" t="s">
        <v>95</v>
      </c>
      <c r="B25" t="s">
        <v>399</v>
      </c>
      <c r="C25" t="s">
        <v>370</v>
      </c>
      <c r="D25" s="30">
        <f t="shared" si="2"/>
        <v>0.10937459468255628</v>
      </c>
      <c r="E25" s="30">
        <f t="shared" si="2"/>
        <v>0.21874918936511256</v>
      </c>
      <c r="F25" s="30">
        <f t="shared" si="2"/>
        <v>0.32812378404766884</v>
      </c>
      <c r="G25" s="30">
        <f t="shared" si="2"/>
        <v>0.43749837873022512</v>
      </c>
      <c r="H25" s="30">
        <f t="shared" si="2"/>
        <v>0.5468729734127814</v>
      </c>
      <c r="I25" s="30">
        <f t="shared" si="2"/>
        <v>0.64531010862708205</v>
      </c>
      <c r="J25" s="30">
        <f t="shared" si="2"/>
        <v>0.7240598167985226</v>
      </c>
      <c r="K25" s="30">
        <f t="shared" si="2"/>
        <v>0.78705958333567505</v>
      </c>
      <c r="L25" s="30">
        <f t="shared" si="2"/>
        <v>0.83745939656539703</v>
      </c>
      <c r="M25" s="30">
        <f t="shared" si="2"/>
        <v>0.87777924714917455</v>
      </c>
      <c r="N25" s="30">
        <f t="shared" si="2"/>
        <v>0.91003512761619654</v>
      </c>
      <c r="O25" s="30">
        <f t="shared" si="2"/>
        <v>0.93583983198981413</v>
      </c>
      <c r="P25" s="30">
        <f t="shared" si="2"/>
        <v>0.9564835954887082</v>
      </c>
      <c r="Q25" s="30">
        <f t="shared" si="2"/>
        <v>0.97299860628782353</v>
      </c>
      <c r="R25" s="30">
        <f t="shared" si="2"/>
        <v>0.9862106149271157</v>
      </c>
      <c r="S25" s="30">
        <f t="shared" si="2"/>
        <v>0.99678022183854953</v>
      </c>
      <c r="T25" s="30">
        <f t="shared" si="2"/>
        <v>0.99685231466234414</v>
      </c>
      <c r="U25" s="30">
        <f t="shared" si="2"/>
        <v>0.99687806209941365</v>
      </c>
      <c r="V25" s="30">
        <f t="shared" si="2"/>
        <v>0.99688683963477831</v>
      </c>
      <c r="W25" s="30">
        <f t="shared" si="2"/>
        <v>0.99688970187457115</v>
      </c>
      <c r="X25" s="30"/>
      <c r="Z25" s="30"/>
    </row>
    <row r="26" spans="1:27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Z26" s="30"/>
    </row>
    <row r="27" spans="1:27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Z27" s="30"/>
    </row>
    <row r="28" spans="1:27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Z28" s="30"/>
    </row>
    <row r="29" spans="1:27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Z29" s="30"/>
    </row>
    <row r="30" spans="1:27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Z30" s="30"/>
    </row>
    <row r="31" spans="1:27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Z31" s="30"/>
    </row>
    <row r="32" spans="1:27">
      <c r="X32" s="30"/>
      <c r="Z32" s="30"/>
    </row>
    <row r="33" spans="4:26">
      <c r="X33" s="30"/>
      <c r="Z33" s="30"/>
    </row>
    <row r="34" spans="4:26">
      <c r="X34" s="30"/>
      <c r="Z34" s="30"/>
    </row>
    <row r="35" spans="4:26">
      <c r="X35" s="30"/>
      <c r="Z35" s="30"/>
    </row>
    <row r="36" spans="4:26">
      <c r="X36" s="30"/>
      <c r="Z36" s="30"/>
    </row>
    <row r="37" spans="4:26">
      <c r="X37" s="30"/>
      <c r="Z37" s="30"/>
    </row>
    <row r="38" spans="4:26">
      <c r="X38" s="30"/>
      <c r="Z38" s="30"/>
    </row>
    <row r="39" spans="4:26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Z39" s="30"/>
    </row>
    <row r="40" spans="4:26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Z40" s="30"/>
    </row>
    <row r="41" spans="4:26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Z41" s="30"/>
    </row>
    <row r="42" spans="4:26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Z42" s="30"/>
    </row>
    <row r="43" spans="4:26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Z43" s="30"/>
    </row>
    <row r="44" spans="4:26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Z44" s="30"/>
    </row>
    <row r="45" spans="4:26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Z45" s="30"/>
    </row>
    <row r="46" spans="4:26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Z46" s="30"/>
    </row>
    <row r="47" spans="4:26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Z47" s="30"/>
    </row>
    <row r="48" spans="4:26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Z48" s="30"/>
    </row>
    <row r="49" spans="4:26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Z49" s="30"/>
    </row>
    <row r="50" spans="4:26"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Z50" s="30"/>
    </row>
    <row r="51" spans="4:26"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Z51" s="30"/>
    </row>
    <row r="52" spans="4:26"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Z52" s="30"/>
    </row>
    <row r="53" spans="4:26"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Z53" s="30"/>
    </row>
    <row r="54" spans="4:26"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Z54" s="30"/>
    </row>
    <row r="55" spans="4:26"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Z55" s="30"/>
    </row>
    <row r="56" spans="4:26"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Z56" s="30"/>
    </row>
    <row r="57" spans="4:26"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Z57" s="30"/>
    </row>
    <row r="58" spans="4:26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Z58" s="30"/>
    </row>
    <row r="59" spans="4:26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Z59" s="30"/>
    </row>
    <row r="60" spans="4:26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Z60" s="30"/>
    </row>
    <row r="61" spans="4:26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Z61" s="30"/>
    </row>
    <row r="62" spans="4:26"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Z62" s="30"/>
    </row>
    <row r="63" spans="4:26"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Z63" s="30"/>
    </row>
    <row r="64" spans="4:26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Z64" s="30"/>
    </row>
    <row r="65" spans="4:26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Z65" s="30"/>
    </row>
    <row r="66" spans="4:26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Z66" s="30"/>
    </row>
    <row r="67" spans="4:26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Z67" s="30"/>
    </row>
    <row r="68" spans="4:26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Z68" s="30"/>
    </row>
    <row r="69" spans="4:26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Z69" s="30"/>
    </row>
    <row r="70" spans="4:26"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Z70" s="30"/>
    </row>
    <row r="71" spans="4:26"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Z71" s="30"/>
    </row>
    <row r="72" spans="4:26"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Z72" s="30"/>
    </row>
    <row r="73" spans="4:26"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Z73" s="30"/>
    </row>
    <row r="74" spans="4:26"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Z74" s="30"/>
    </row>
    <row r="75" spans="4:26"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Z75" s="30"/>
    </row>
    <row r="76" spans="4:26"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Z76" s="30"/>
    </row>
    <row r="77" spans="4:26"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Z77" s="30"/>
    </row>
    <row r="78" spans="4:26"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Z78" s="30"/>
    </row>
    <row r="79" spans="4:26"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Z79" s="30"/>
    </row>
    <row r="80" spans="4:26"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Z80" s="30"/>
    </row>
    <row r="81" spans="4:26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Z81" s="30"/>
    </row>
    <row r="82" spans="4:26"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4:26"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4:26"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4:26"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4:26"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4:26"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4:26"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4:26"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4:26"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4:26"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4:26"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4:26"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4:26"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4:26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4:26"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4:24"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4:24"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4:24"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4:24"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4:24"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4:24"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4:24"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4:24"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4:24"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4:24"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4:24"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4:24"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4:24"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indexed="43"/>
  </sheetPr>
  <dimension ref="A1:D100"/>
  <sheetViews>
    <sheetView zoomScale="72" workbookViewId="0">
      <selection activeCell="B74" sqref="B74"/>
    </sheetView>
  </sheetViews>
  <sheetFormatPr defaultRowHeight="12.75"/>
  <cols>
    <col min="1" max="1" width="14.7109375" customWidth="1"/>
    <col min="2" max="2" width="45.28515625" customWidth="1"/>
    <col min="3" max="3" width="80.5703125" customWidth="1"/>
    <col min="4" max="4" width="10" customWidth="1"/>
  </cols>
  <sheetData>
    <row r="1" spans="1:4">
      <c r="A1" t="s">
        <v>12</v>
      </c>
      <c r="B1" t="s">
        <v>3</v>
      </c>
    </row>
    <row r="8" spans="1:4">
      <c r="B8" s="11"/>
      <c r="C8" s="11"/>
      <c r="D8" s="13"/>
    </row>
    <row r="9" spans="1:4">
      <c r="A9" s="28" t="s">
        <v>16</v>
      </c>
      <c r="B9" s="28" t="str">
        <f>FEAS!B8</f>
        <v>Measure Index Name</v>
      </c>
      <c r="C9" s="28" t="s">
        <v>3</v>
      </c>
      <c r="D9" s="13"/>
    </row>
    <row r="10" spans="1:4" ht="12.75" customHeight="1">
      <c r="B10" s="13"/>
    </row>
    <row r="11" spans="1:4">
      <c r="B11" s="13"/>
    </row>
    <row r="12" spans="1:4">
      <c r="B12" s="13"/>
    </row>
    <row r="13" spans="1:4">
      <c r="B13" s="13"/>
    </row>
    <row r="14" spans="1:4">
      <c r="B14" s="13"/>
    </row>
    <row r="15" spans="1:4">
      <c r="B15" s="13"/>
    </row>
    <row r="16" spans="1:4">
      <c r="B16" s="13"/>
    </row>
    <row r="17" spans="2:2">
      <c r="B17" s="13"/>
    </row>
    <row r="18" spans="2:2">
      <c r="B18" s="13"/>
    </row>
    <row r="19" spans="2:2">
      <c r="B19" s="13"/>
    </row>
    <row r="20" spans="2:2">
      <c r="B20" s="13"/>
    </row>
    <row r="21" spans="2:2">
      <c r="B21" s="13"/>
    </row>
    <row r="22" spans="2:2">
      <c r="B22" s="13"/>
    </row>
    <row r="23" spans="2:2">
      <c r="B23" s="13"/>
    </row>
    <row r="24" spans="2:2">
      <c r="B24" s="13"/>
    </row>
    <row r="25" spans="2:2">
      <c r="B25" s="13"/>
    </row>
    <row r="26" spans="2:2">
      <c r="B26" s="13"/>
    </row>
    <row r="27" spans="2:2">
      <c r="B27" s="13"/>
    </row>
    <row r="28" spans="2:2">
      <c r="B28" s="13"/>
    </row>
    <row r="29" spans="2:2">
      <c r="B29" s="13"/>
    </row>
    <row r="30" spans="2:2">
      <c r="B30" s="13"/>
    </row>
    <row r="31" spans="2:2">
      <c r="B31" s="13"/>
    </row>
    <row r="32" spans="2:2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  <row r="56" spans="2:2">
      <c r="B56" s="13"/>
    </row>
    <row r="57" spans="2:2">
      <c r="B57" s="13"/>
    </row>
    <row r="58" spans="2:2">
      <c r="B58" s="13"/>
    </row>
    <row r="59" spans="2:2">
      <c r="B59" s="13"/>
    </row>
    <row r="60" spans="2:2">
      <c r="B60" s="13"/>
    </row>
    <row r="61" spans="2:2">
      <c r="B61" s="13"/>
    </row>
    <row r="62" spans="2:2">
      <c r="B62" s="13"/>
    </row>
    <row r="63" spans="2:2">
      <c r="B63" s="13"/>
    </row>
    <row r="64" spans="2:2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  <row r="70" spans="2:2">
      <c r="B70" s="13"/>
    </row>
    <row r="71" spans="2:2">
      <c r="B71" s="13"/>
    </row>
    <row r="72" spans="2:2">
      <c r="B72" s="13"/>
    </row>
    <row r="73" spans="2:2">
      <c r="B73" s="13"/>
    </row>
    <row r="74" spans="2:2">
      <c r="B74" s="13"/>
    </row>
    <row r="75" spans="2:2">
      <c r="B75" s="13"/>
    </row>
    <row r="76" spans="2:2">
      <c r="B76" s="13"/>
    </row>
    <row r="77" spans="2:2">
      <c r="B77" s="13"/>
    </row>
    <row r="78" spans="2:2">
      <c r="B78" s="13"/>
    </row>
    <row r="79" spans="2:2">
      <c r="B79" s="13"/>
    </row>
    <row r="80" spans="2:2">
      <c r="B80" s="13"/>
    </row>
    <row r="81" spans="2:2">
      <c r="B81" s="13"/>
    </row>
    <row r="82" spans="2:2">
      <c r="B82" s="13"/>
    </row>
    <row r="83" spans="2:2">
      <c r="B83" s="13"/>
    </row>
    <row r="84" spans="2:2">
      <c r="B84" s="13"/>
    </row>
    <row r="85" spans="2:2">
      <c r="B85" s="13"/>
    </row>
    <row r="86" spans="2:2">
      <c r="B86" s="13"/>
    </row>
    <row r="87" spans="2:2">
      <c r="B87" s="13"/>
    </row>
    <row r="88" spans="2:2">
      <c r="B88" s="13"/>
    </row>
    <row r="89" spans="2:2">
      <c r="B89" s="13"/>
    </row>
    <row r="90" spans="2:2">
      <c r="B90" s="13"/>
    </row>
    <row r="91" spans="2:2">
      <c r="B91" s="13"/>
    </row>
    <row r="92" spans="2:2">
      <c r="B92" s="13"/>
    </row>
    <row r="93" spans="2:2">
      <c r="B93" s="13"/>
    </row>
    <row r="94" spans="2:2">
      <c r="B94" s="13"/>
    </row>
    <row r="95" spans="2:2">
      <c r="B95" s="13"/>
    </row>
    <row r="96" spans="2:2">
      <c r="B96" s="13"/>
    </row>
    <row r="97" spans="2:2">
      <c r="B97" s="13"/>
    </row>
    <row r="98" spans="2:2">
      <c r="B98" s="13"/>
    </row>
    <row r="99" spans="2:2">
      <c r="B99" s="13"/>
    </row>
    <row r="100" spans="2:2">
      <c r="B100" s="13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" enableFormatConditionsCalculation="0">
    <tabColor rgb="FFFF0000"/>
    <pageSetUpPr fitToPage="1"/>
  </sheetPr>
  <dimension ref="A1:Q373"/>
  <sheetViews>
    <sheetView tabSelected="1" zoomScale="88" zoomScaleNormal="58" zoomScaleSheetLayoutView="55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J10" sqref="J10"/>
    </sheetView>
  </sheetViews>
  <sheetFormatPr defaultRowHeight="12.75"/>
  <cols>
    <col min="1" max="1" width="14" customWidth="1"/>
    <col min="2" max="2" width="28.5703125" customWidth="1"/>
    <col min="3" max="3" width="14.140625" bestFit="1" customWidth="1"/>
    <col min="4" max="4" width="20.7109375" bestFit="1" customWidth="1"/>
    <col min="5" max="5" width="21.28515625" bestFit="1" customWidth="1"/>
    <col min="6" max="6" width="15.5703125" customWidth="1"/>
    <col min="7" max="7" width="14.85546875" style="10" customWidth="1"/>
  </cols>
  <sheetData>
    <row r="1" spans="1:17">
      <c r="A1" s="25"/>
    </row>
    <row r="2" spans="1:17">
      <c r="A2" s="25"/>
    </row>
    <row r="3" spans="1:17">
      <c r="A3" s="25"/>
    </row>
    <row r="4" spans="1:17">
      <c r="A4" s="25"/>
    </row>
    <row r="5" spans="1:17">
      <c r="A5" t="s">
        <v>70</v>
      </c>
    </row>
    <row r="6" spans="1:17">
      <c r="A6" s="27" t="s">
        <v>0</v>
      </c>
      <c r="B6" s="27"/>
    </row>
    <row r="7" spans="1:17">
      <c r="B7" s="27"/>
    </row>
    <row r="8" spans="1:17">
      <c r="A8" s="31"/>
      <c r="C8" s="40"/>
      <c r="F8" s="30"/>
    </row>
    <row r="9" spans="1:17">
      <c r="A9" s="17" t="s">
        <v>67</v>
      </c>
      <c r="B9" s="12"/>
      <c r="C9" s="3" t="s">
        <v>175</v>
      </c>
    </row>
    <row r="10" spans="1:17" ht="27" customHeight="1">
      <c r="B10" s="3" t="s">
        <v>57</v>
      </c>
      <c r="C10" s="3" t="s">
        <v>176</v>
      </c>
      <c r="D10" s="3" t="s">
        <v>165</v>
      </c>
      <c r="E10" s="3" t="s">
        <v>177</v>
      </c>
      <c r="F10" s="3" t="s">
        <v>178</v>
      </c>
      <c r="G10" s="4" t="s">
        <v>84</v>
      </c>
    </row>
    <row r="11" spans="1:17" ht="27" customHeight="1">
      <c r="B11" s="12" t="str">
        <f>Vars!A6</f>
        <v>Acres w Sprinklers</v>
      </c>
      <c r="C11" s="50">
        <f>'Water Use by All Methods'!E7</f>
        <v>3088161</v>
      </c>
      <c r="D11" s="50">
        <f>'Water Use by All Methods'!E8*$O$35</f>
        <v>153442.8128463247</v>
      </c>
      <c r="E11" s="50">
        <f>'Water Use by All Methods'!E9</f>
        <v>1141042</v>
      </c>
      <c r="F11" s="50">
        <f>'Water Use by All Methods'!E10</f>
        <v>1420224</v>
      </c>
      <c r="G11" s="92">
        <f>'Water Use by All Methods'!E11</f>
        <v>6498759</v>
      </c>
      <c r="L11" s="107" t="s">
        <v>427</v>
      </c>
      <c r="M11" s="107"/>
      <c r="N11" s="107"/>
      <c r="O11" s="107"/>
      <c r="P11" s="107"/>
      <c r="Q11" s="107"/>
    </row>
    <row r="12" spans="1:17" ht="27" customHeight="1">
      <c r="B12" s="12" t="str">
        <f>Vars!A7</f>
        <v>CenterPivot</v>
      </c>
      <c r="C12" s="50">
        <f>'Water Use by Sprinklers'!$F$8+'Water Use by Sprinklers'!$I$8+'Water Use by Sprinklers'!$L$8</f>
        <v>2229589</v>
      </c>
      <c r="D12" s="50">
        <f>('Water Use by Sprinklers'!$F$9+'Water Use by Sprinklers'!$I$9+'Water Use by Sprinklers'!$L$9)*$O$35</f>
        <v>107601.03811364993</v>
      </c>
      <c r="E12" s="50">
        <f>'Water Use by Sprinklers'!$F$10+'Water Use by Sprinklers'!$I$10+'Water Use by Sprinklers'!$L$10</f>
        <v>543142</v>
      </c>
      <c r="F12" s="50">
        <f>'Water Use by Sprinklers'!$F$11+'Water Use by Sprinklers'!$I$11+'Water Use by Sprinklers'!$L$11</f>
        <v>990074</v>
      </c>
      <c r="G12" s="92">
        <f>'Water Use by Sprinklers'!$F$12+'Water Use by Sprinklers'!$I$12+'Water Use by Sprinklers'!$L$12</f>
        <v>4358395</v>
      </c>
      <c r="L12" s="107"/>
      <c r="M12" s="107"/>
      <c r="N12" s="107"/>
      <c r="O12" s="107"/>
      <c r="P12" s="107"/>
      <c r="Q12" s="107"/>
    </row>
    <row r="13" spans="1:17">
      <c r="B13" s="12" t="str">
        <f>Vars!A8</f>
        <v>CenterPivot High P</v>
      </c>
      <c r="C13" s="50">
        <f>'Water Use by Sprinklers'!$F8</f>
        <v>230707</v>
      </c>
      <c r="D13" s="50">
        <f>'Water Use by Sprinklers'!$F$9*$O$35</f>
        <v>10521.809398644995</v>
      </c>
      <c r="E13" s="50">
        <f>'Water Use by Sprinklers'!$F$10</f>
        <v>73681</v>
      </c>
      <c r="F13" s="50">
        <f>'Water Use by Sprinklers'!$F$11</f>
        <v>114933</v>
      </c>
      <c r="G13" s="92">
        <f>'Water Use by Sprinklers'!$F$12</f>
        <v>477561</v>
      </c>
      <c r="L13" s="107"/>
      <c r="M13" s="107"/>
      <c r="N13" t="s">
        <v>410</v>
      </c>
      <c r="O13" t="s">
        <v>411</v>
      </c>
      <c r="Q13" s="107"/>
    </row>
    <row r="14" spans="1:17">
      <c r="B14" s="12" t="str">
        <f>Vars!A9</f>
        <v>CenterPivot Med P</v>
      </c>
      <c r="C14" s="50">
        <f>'Water Use by Sprinklers'!$I$8</f>
        <v>1285602</v>
      </c>
      <c r="D14" s="50">
        <f>'Water Use by Sprinklers'!$I$9*$O$35</f>
        <v>55997.38035983876</v>
      </c>
      <c r="E14" s="50">
        <f>'Water Use by Sprinklers'!$I$10</f>
        <v>267691</v>
      </c>
      <c r="F14" s="50">
        <f>'Water Use by Sprinklers'!$I$11</f>
        <v>426619</v>
      </c>
      <c r="G14" s="92">
        <f>'Water Use by Sprinklers'!$I$12</f>
        <v>2289867</v>
      </c>
      <c r="L14" s="107"/>
      <c r="M14" s="107"/>
      <c r="N14" s="89"/>
      <c r="Q14" s="107"/>
    </row>
    <row r="15" spans="1:17">
      <c r="A15" s="43"/>
      <c r="B15" s="12" t="str">
        <f>Vars!A10</f>
        <v>Acres Center Pivot</v>
      </c>
      <c r="C15" s="50">
        <f>C13+C14+'Water Use by Sprinklers'!$L$8</f>
        <v>2229589</v>
      </c>
      <c r="D15" s="50">
        <f>D13+D14+'Water Use by Sprinklers'!$L$9*$O$35</f>
        <v>107601.03811364993</v>
      </c>
      <c r="E15" s="50">
        <f>E13+E14+'Water Use by Sprinklers'!$L$10</f>
        <v>543142</v>
      </c>
      <c r="F15" s="50">
        <f>F13+F14+'Water Use by Sprinklers'!$L$11</f>
        <v>990074</v>
      </c>
      <c r="G15" s="92">
        <f>G13+G14+'Water Use by Sprinklers'!$L$12</f>
        <v>4358395</v>
      </c>
      <c r="L15" s="107"/>
      <c r="M15" s="107"/>
      <c r="N15" s="89"/>
      <c r="Q15" s="107"/>
    </row>
    <row r="16" spans="1:17">
      <c r="A16" s="43"/>
      <c r="B16" s="12" t="str">
        <f>Vars!A11</f>
        <v>Wheel/hand line</v>
      </c>
      <c r="C16" s="50">
        <f>'Water Applied by Crop'!$N$9</f>
        <v>589417</v>
      </c>
      <c r="D16" s="50">
        <f>'Water Applied by Crop'!$N$10*$O$35</f>
        <v>33761.024858396049</v>
      </c>
      <c r="E16" s="50">
        <f>'Water Applied by Crop'!$N$11</f>
        <v>373405</v>
      </c>
      <c r="F16" s="50">
        <f>'Water Applied by Crop'!$N$12</f>
        <v>167947</v>
      </c>
      <c r="G16" s="92">
        <f>'Water Applied by Crop'!$N$13</f>
        <v>1317642</v>
      </c>
      <c r="L16" s="107"/>
      <c r="M16" s="107"/>
      <c r="N16" s="89" t="s">
        <v>412</v>
      </c>
      <c r="O16">
        <v>10760</v>
      </c>
      <c r="Q16" s="107"/>
    </row>
    <row r="17" spans="1:17">
      <c r="A17" s="43"/>
      <c r="B17" s="12" t="str">
        <f>Vars!A12</f>
        <v>Wheel line</v>
      </c>
      <c r="C17" s="50">
        <f>'Water Use by Sprinklers'!$O$8</f>
        <v>124792</v>
      </c>
      <c r="D17" s="50">
        <f>'Water Use by Sprinklers'!$O$9*$O$35</f>
        <v>2541.3855221624167</v>
      </c>
      <c r="E17" s="50">
        <f>'Water Use by Sprinklers'!$O$10</f>
        <v>60204</v>
      </c>
      <c r="F17" s="50">
        <f>'Water Use by Sprinklers'!$O$11</f>
        <v>19620</v>
      </c>
      <c r="G17" s="92">
        <f>'Water Use by Sprinklers'!$O$12</f>
        <v>218683</v>
      </c>
      <c r="L17" s="107"/>
      <c r="M17" s="107"/>
      <c r="N17" s="89" t="s">
        <v>413</v>
      </c>
      <c r="O17">
        <v>18193</v>
      </c>
      <c r="Q17" s="107"/>
    </row>
    <row r="18" spans="1:17">
      <c r="A18" s="43"/>
      <c r="B18" s="12" t="str">
        <f>Vars!A13</f>
        <v>Alfalfa Wheel line</v>
      </c>
      <c r="C18" s="50">
        <f>'Water Applied by Crop'!$P$9*'Water Applied by Crop'!$G$9</f>
        <v>547765.83639704715</v>
      </c>
      <c r="D18" s="50">
        <f>('Water Applied by Crop'!$P$10*'Water Applied by Crop'!$G$10)*$O$35</f>
        <v>48863.187593415983</v>
      </c>
      <c r="E18" s="50">
        <f>'Water Applied by Crop'!$P$11*'Water Applied by Crop'!$G$11</f>
        <v>192608.28800850257</v>
      </c>
      <c r="F18" s="50">
        <f>'Water Applied by Crop'!$P$12*'Water Applied by Crop'!$G$12</f>
        <v>202062.53498854444</v>
      </c>
      <c r="G18" s="92">
        <f>'Water Applied by Crop'!$P$13*'Water Applied by Crop'!$G$13</f>
        <v>1204638.2181691397</v>
      </c>
      <c r="L18" s="107"/>
      <c r="M18" s="107"/>
      <c r="N18" s="89"/>
      <c r="Q18" s="107"/>
    </row>
    <row r="19" spans="1:17">
      <c r="A19" s="43"/>
      <c r="B19" s="12" t="str">
        <f>Vars!A14</f>
        <v>Alfalfa Hand line</v>
      </c>
      <c r="C19" s="50">
        <f>'Water Applied by Crop'!$Q$9*'Water Applied by Crop'!$G$9</f>
        <v>185549.16360295285</v>
      </c>
      <c r="D19" s="50">
        <f>('Water Applied by Crop'!$Q$10*'Water Applied by Crop'!$G$10)*$O$35</f>
        <v>11705.326375703606</v>
      </c>
      <c r="E19" s="50">
        <f>'Water Applied by Crop'!$Q$11*'Water Applied by Crop'!$G$11</f>
        <v>62673.711991497425</v>
      </c>
      <c r="F19" s="50">
        <f>'Water Applied by Crop'!$Q$12*'Water Applied by Crop'!$G$12</f>
        <v>55251.465011455555</v>
      </c>
      <c r="G19" s="92">
        <f>'Water Applied by Crop'!$Q$13*'Water Applied by Crop'!$G$13</f>
        <v>376529.78183086024</v>
      </c>
      <c r="L19" s="107"/>
      <c r="M19" s="107"/>
      <c r="N19" s="89"/>
      <c r="Q19" s="107"/>
    </row>
    <row r="20" spans="1:17">
      <c r="A20" s="43"/>
      <c r="B20" s="12" t="str">
        <f>Vars!A15</f>
        <v>Pumped Acres</v>
      </c>
      <c r="C20" s="93">
        <f>'Energy Expense'!$B$22</f>
        <v>1437386</v>
      </c>
      <c r="D20" s="93">
        <f>'Energy Expense'!$B$23*$O$35</f>
        <v>9908.0974047027375</v>
      </c>
      <c r="E20" s="93">
        <f>'Energy Expense'!$B$24</f>
        <v>511998</v>
      </c>
      <c r="F20" s="93">
        <f>'Energy Expense'!$B$25</f>
        <v>522575</v>
      </c>
      <c r="G20" s="92">
        <f>'Energy Expense'!$B$26</f>
        <v>2526802</v>
      </c>
      <c r="L20" s="107"/>
      <c r="M20" s="107"/>
      <c r="N20" s="239" t="s">
        <v>414</v>
      </c>
      <c r="O20">
        <v>28520</v>
      </c>
      <c r="Q20" s="107"/>
    </row>
    <row r="21" spans="1:17">
      <c r="A21" s="43"/>
      <c r="B21" s="12" t="str">
        <f>Vars!A16</f>
        <v>Center Pivot, LEPA crops</v>
      </c>
      <c r="C21" s="93">
        <f>'Water Applied by Crop'!$G$53+'Water Applied by Crop'!$G$42+'Water Applied by Crop'!$G$31+'Water Applied by Crop'!$G$20</f>
        <v>598158</v>
      </c>
      <c r="D21" s="93">
        <f>('Water Applied by Crop'!$G$54+'Water Applied by Crop'!$G$43+'Water Applied by Crop'!$G$32+'Water Applied by Crop'!$G$21)*$O$35</f>
        <v>7796.5090075296148</v>
      </c>
      <c r="E21" s="93">
        <f>'Water Applied by Crop'!$G$55+'Water Applied by Crop'!$G$44+'Water Applied by Crop'!$G$33+'Water Applied by Crop'!$G$22</f>
        <v>124214</v>
      </c>
      <c r="F21" s="93">
        <f>'Water Applied by Crop'!$G$56+'Water Applied by Crop'!$G$45+'Water Applied by Crop'!$G$34+'Water Applied by Crop'!$G$23</f>
        <v>345808</v>
      </c>
      <c r="G21" s="92">
        <f>'Water Applied by Crop'!$G$57+'Water Applied by Crop'!$G$46+'Water Applied by Crop'!$G$35+'Water Applied by Crop'!$G$24</f>
        <v>1111335</v>
      </c>
      <c r="L21" s="107"/>
      <c r="M21" s="107"/>
      <c r="N21" s="89" t="s">
        <v>415</v>
      </c>
      <c r="O21">
        <v>80691</v>
      </c>
      <c r="Q21" s="107"/>
    </row>
    <row r="22" spans="1:17">
      <c r="A22" s="43"/>
      <c r="B22" s="12" t="str">
        <f>Vars!A17</f>
        <v>Center Pivot, SIS crops</v>
      </c>
      <c r="C22" s="93"/>
      <c r="D22" s="93"/>
      <c r="E22" s="93"/>
      <c r="F22" s="93"/>
      <c r="G22" s="92"/>
      <c r="L22" s="107"/>
      <c r="M22" s="107"/>
      <c r="N22" s="89" t="s">
        <v>416</v>
      </c>
      <c r="O22">
        <v>47504</v>
      </c>
      <c r="Q22" s="107"/>
    </row>
    <row r="23" spans="1:17">
      <c r="A23" s="43"/>
      <c r="B23" s="12">
        <f>Vars!A18</f>
        <v>0</v>
      </c>
      <c r="C23" s="48"/>
      <c r="D23" s="48"/>
      <c r="E23" s="45"/>
      <c r="F23" s="48"/>
      <c r="G23" s="92"/>
      <c r="L23" s="107"/>
      <c r="M23" s="107"/>
      <c r="N23" s="89" t="s">
        <v>417</v>
      </c>
      <c r="O23">
        <v>3512</v>
      </c>
      <c r="Q23" s="107"/>
    </row>
    <row r="24" spans="1:17">
      <c r="A24" s="43"/>
      <c r="B24" s="12">
        <f>Vars!A19</f>
        <v>0</v>
      </c>
      <c r="C24" s="47"/>
      <c r="D24" s="48"/>
      <c r="E24" s="45"/>
      <c r="F24" s="48"/>
      <c r="G24" s="92"/>
      <c r="L24" s="107"/>
      <c r="M24" s="107"/>
      <c r="N24" s="89"/>
      <c r="Q24" s="107"/>
    </row>
    <row r="25" spans="1:17">
      <c r="A25" s="43"/>
      <c r="B25" s="12">
        <f>Vars!A20</f>
        <v>0</v>
      </c>
      <c r="C25" s="45"/>
      <c r="D25" s="48"/>
      <c r="E25" s="45"/>
      <c r="F25" s="48"/>
      <c r="G25" s="92"/>
      <c r="L25" s="107"/>
      <c r="M25" s="107"/>
      <c r="N25" s="89" t="s">
        <v>418</v>
      </c>
      <c r="O25">
        <v>862</v>
      </c>
      <c r="Q25" s="107"/>
    </row>
    <row r="26" spans="1:17" s="8" customFormat="1">
      <c r="A26" s="43"/>
      <c r="B26" s="12">
        <f>Vars!A21</f>
        <v>0</v>
      </c>
      <c r="C26" s="47"/>
      <c r="D26" s="48"/>
      <c r="E26" s="45"/>
      <c r="F26" s="48"/>
      <c r="G26" s="92"/>
      <c r="L26" s="107"/>
      <c r="M26" s="107"/>
      <c r="N26" s="89" t="s">
        <v>419</v>
      </c>
      <c r="O26">
        <v>16798</v>
      </c>
      <c r="P26"/>
      <c r="Q26" s="107"/>
    </row>
    <row r="27" spans="1:17" s="8" customFormat="1">
      <c r="A27" s="43"/>
      <c r="B27" s="12">
        <f>Vars!A22</f>
        <v>0</v>
      </c>
      <c r="C27" s="45"/>
      <c r="D27" s="45"/>
      <c r="E27" s="45"/>
      <c r="F27" s="45"/>
      <c r="G27" s="87"/>
      <c r="L27" s="107"/>
      <c r="M27" s="107"/>
      <c r="N27" s="89"/>
      <c r="O27"/>
      <c r="P27"/>
      <c r="Q27" s="107"/>
    </row>
    <row r="28" spans="1:17" s="8" customFormat="1">
      <c r="A28" s="43"/>
      <c r="B28" s="12">
        <f>Vars!A23</f>
        <v>0</v>
      </c>
      <c r="C28" s="45"/>
      <c r="D28" s="45"/>
      <c r="E28" s="45"/>
      <c r="F28" s="45"/>
      <c r="G28" s="87"/>
      <c r="L28" s="107"/>
      <c r="M28" s="107"/>
      <c r="N28" s="89" t="s">
        <v>420</v>
      </c>
      <c r="O28">
        <v>53316</v>
      </c>
      <c r="P28"/>
      <c r="Q28" s="107"/>
    </row>
    <row r="29" spans="1:17" s="8" customFormat="1">
      <c r="A29" s="43"/>
      <c r="B29" s="12">
        <f>Vars!A24</f>
        <v>0</v>
      </c>
      <c r="C29" s="45"/>
      <c r="D29" s="45"/>
      <c r="E29" s="45"/>
      <c r="F29" s="45"/>
      <c r="G29" s="87"/>
      <c r="L29" s="107"/>
      <c r="M29" s="107"/>
      <c r="N29" s="89" t="s">
        <v>421</v>
      </c>
      <c r="O29">
        <v>61574</v>
      </c>
      <c r="P29"/>
      <c r="Q29" s="107"/>
    </row>
    <row r="30" spans="1:17" s="8" customFormat="1">
      <c r="A30" s="43"/>
      <c r="B30" s="12">
        <f>Vars!A25</f>
        <v>0</v>
      </c>
      <c r="C30" s="45"/>
      <c r="D30" s="45"/>
      <c r="E30" s="45"/>
      <c r="F30" s="45"/>
      <c r="G30" s="87"/>
      <c r="L30" s="107"/>
      <c r="M30" s="107"/>
      <c r="N30" s="89" t="s">
        <v>422</v>
      </c>
      <c r="O30">
        <v>17485</v>
      </c>
      <c r="P30"/>
      <c r="Q30" s="107"/>
    </row>
    <row r="31" spans="1:17" s="8" customFormat="1">
      <c r="A31" s="43"/>
      <c r="B31" s="12">
        <f>Vars!A26</f>
        <v>0</v>
      </c>
      <c r="C31" s="45"/>
      <c r="D31" s="45"/>
      <c r="E31" s="45"/>
      <c r="F31" s="45"/>
      <c r="G31" s="87"/>
      <c r="L31" s="107"/>
      <c r="M31" s="107"/>
      <c r="N31" s="89" t="s">
        <v>423</v>
      </c>
      <c r="O31">
        <v>4590</v>
      </c>
      <c r="P31"/>
      <c r="Q31" s="107"/>
    </row>
    <row r="32" spans="1:17" s="8" customFormat="1">
      <c r="A32" s="43"/>
      <c r="B32" s="12">
        <f>Vars!A27</f>
        <v>0</v>
      </c>
      <c r="C32" s="45"/>
      <c r="D32" s="45"/>
      <c r="E32" s="45"/>
      <c r="F32" s="45"/>
      <c r="G32" s="87"/>
      <c r="L32" s="107"/>
      <c r="M32" s="107"/>
      <c r="N32" s="89"/>
      <c r="O32"/>
      <c r="P32"/>
      <c r="Q32" s="107"/>
    </row>
    <row r="33" spans="1:17" s="8" customFormat="1">
      <c r="A33" s="43"/>
      <c r="B33" s="12">
        <f>Vars!A28</f>
        <v>0</v>
      </c>
      <c r="C33" s="45"/>
      <c r="D33" s="45"/>
      <c r="E33" s="45"/>
      <c r="F33" s="45"/>
      <c r="G33" s="87"/>
      <c r="L33" s="107"/>
      <c r="M33" s="107"/>
      <c r="N33" s="239" t="s">
        <v>424</v>
      </c>
      <c r="O33">
        <f>SUM(O14:O32)</f>
        <v>343805</v>
      </c>
      <c r="P33"/>
      <c r="Q33" s="107"/>
    </row>
    <row r="34" spans="1:17" s="8" customFormat="1">
      <c r="A34" s="43"/>
      <c r="B34" s="12">
        <f>Vars!A29</f>
        <v>0</v>
      </c>
      <c r="C34" s="48"/>
      <c r="D34" s="45"/>
      <c r="E34" s="45"/>
      <c r="F34" s="45"/>
      <c r="G34" s="87"/>
      <c r="L34" s="107"/>
      <c r="M34" s="107"/>
      <c r="N34" s="239" t="s">
        <v>425</v>
      </c>
      <c r="O34">
        <v>1903019</v>
      </c>
      <c r="P34"/>
      <c r="Q34" s="107"/>
    </row>
    <row r="35" spans="1:17" s="8" customFormat="1">
      <c r="A35" s="43"/>
      <c r="B35" s="12">
        <f>Vars!A30</f>
        <v>0</v>
      </c>
      <c r="C35" s="45"/>
      <c r="D35" s="45"/>
      <c r="E35" s="45"/>
      <c r="F35" s="45"/>
      <c r="G35" s="87"/>
      <c r="L35" s="107"/>
      <c r="M35" s="107"/>
      <c r="N35" s="240" t="s">
        <v>426</v>
      </c>
      <c r="O35" s="241">
        <f>O33/O34</f>
        <v>0.18066293610310774</v>
      </c>
      <c r="P35"/>
      <c r="Q35" s="107"/>
    </row>
    <row r="36" spans="1:17">
      <c r="A36" s="43"/>
      <c r="B36" s="12">
        <f>Vars!A31</f>
        <v>0</v>
      </c>
      <c r="C36" s="45"/>
      <c r="D36" s="49"/>
      <c r="E36" s="45"/>
      <c r="F36" s="45"/>
      <c r="G36" s="87"/>
      <c r="L36" s="107"/>
      <c r="M36" s="107"/>
      <c r="N36" s="107"/>
      <c r="O36" s="107"/>
      <c r="P36" s="107"/>
      <c r="Q36" s="107"/>
    </row>
    <row r="37" spans="1:17">
      <c r="A37" s="43"/>
      <c r="B37" s="12">
        <f>Vars!A32</f>
        <v>0</v>
      </c>
      <c r="C37" s="45"/>
      <c r="D37" s="49"/>
      <c r="E37" s="45"/>
      <c r="F37" s="45"/>
      <c r="G37" s="87"/>
    </row>
    <row r="38" spans="1:17">
      <c r="B38" s="12">
        <f>Vars!A33</f>
        <v>0</v>
      </c>
      <c r="C38" s="48"/>
      <c r="D38" s="49"/>
      <c r="E38" s="45"/>
      <c r="F38" s="49"/>
      <c r="G38" s="87"/>
    </row>
    <row r="39" spans="1:17">
      <c r="B39" s="12">
        <f>Vars!A34</f>
        <v>0</v>
      </c>
      <c r="C39" s="45"/>
      <c r="D39" s="49"/>
      <c r="E39" s="45"/>
      <c r="F39" s="49"/>
      <c r="G39" s="87"/>
    </row>
    <row r="40" spans="1:17">
      <c r="B40" s="12">
        <f>Vars!A35</f>
        <v>0</v>
      </c>
      <c r="C40" s="45"/>
      <c r="D40" s="49"/>
      <c r="E40" s="45"/>
      <c r="F40" s="49"/>
      <c r="G40" s="87"/>
    </row>
    <row r="41" spans="1:17">
      <c r="B41" s="12">
        <f>Vars!A36</f>
        <v>0</v>
      </c>
      <c r="C41" s="49"/>
      <c r="D41" s="49"/>
      <c r="E41" s="45"/>
      <c r="F41" s="49"/>
      <c r="G41" s="87"/>
    </row>
    <row r="42" spans="1:17">
      <c r="B42" s="12">
        <f>Vars!A37</f>
        <v>0</v>
      </c>
      <c r="C42" s="49"/>
      <c r="D42" s="49"/>
      <c r="E42" s="45"/>
      <c r="F42" s="49"/>
      <c r="G42" s="87"/>
    </row>
    <row r="43" spans="1:17">
      <c r="B43" s="12">
        <f>Vars!A38</f>
        <v>0</v>
      </c>
      <c r="C43" s="49"/>
      <c r="D43" s="49"/>
      <c r="E43" s="45"/>
      <c r="F43" s="49"/>
      <c r="G43" s="87"/>
    </row>
    <row r="44" spans="1:17">
      <c r="B44" s="12">
        <f>Vars!A39</f>
        <v>0</v>
      </c>
      <c r="C44" s="49"/>
      <c r="D44" s="49"/>
      <c r="E44" s="45"/>
      <c r="F44" s="49"/>
      <c r="G44" s="87"/>
    </row>
    <row r="45" spans="1:17">
      <c r="B45" s="12">
        <f>Vars!A40</f>
        <v>0</v>
      </c>
      <c r="C45" s="49"/>
      <c r="D45" s="49"/>
      <c r="E45" s="45"/>
      <c r="F45" s="49"/>
      <c r="G45" s="87"/>
    </row>
    <row r="46" spans="1:17">
      <c r="B46" s="12">
        <f>Vars!A41</f>
        <v>0</v>
      </c>
      <c r="C46" s="49"/>
      <c r="D46" s="49"/>
      <c r="E46" s="45"/>
      <c r="F46" s="49"/>
      <c r="G46" s="87"/>
    </row>
    <row r="47" spans="1:17">
      <c r="B47" s="12">
        <f>Vars!A42</f>
        <v>0</v>
      </c>
      <c r="C47" s="49"/>
      <c r="D47" s="49"/>
      <c r="E47" s="45"/>
      <c r="F47" s="49"/>
      <c r="G47" s="87"/>
    </row>
    <row r="48" spans="1:17">
      <c r="B48" s="12">
        <f>Vars!A43</f>
        <v>0</v>
      </c>
      <c r="C48" s="49"/>
      <c r="D48" s="49"/>
      <c r="E48" s="45"/>
      <c r="F48" s="49"/>
      <c r="G48" s="87"/>
    </row>
    <row r="49" spans="1:7">
      <c r="B49" s="12">
        <f>Vars!A44</f>
        <v>0</v>
      </c>
      <c r="C49" s="49"/>
      <c r="D49" s="49"/>
      <c r="E49" s="45"/>
      <c r="F49" s="49"/>
      <c r="G49" s="87"/>
    </row>
    <row r="50" spans="1:7">
      <c r="B50" s="12">
        <f>Vars!A45</f>
        <v>0</v>
      </c>
      <c r="C50" s="49"/>
      <c r="D50" s="49"/>
      <c r="E50" s="45"/>
      <c r="F50" s="49"/>
      <c r="G50" s="87"/>
    </row>
    <row r="51" spans="1:7">
      <c r="B51" s="12">
        <f>Vars!A46</f>
        <v>0</v>
      </c>
      <c r="C51" s="49"/>
      <c r="D51" s="49"/>
      <c r="E51" s="45"/>
      <c r="F51" s="49"/>
      <c r="G51" s="87"/>
    </row>
    <row r="52" spans="1:7">
      <c r="B52" s="12">
        <f>Vars!A47</f>
        <v>0</v>
      </c>
      <c r="C52" s="49"/>
      <c r="D52" s="49"/>
      <c r="E52" s="45"/>
      <c r="F52" s="49"/>
      <c r="G52" s="87"/>
    </row>
    <row r="53" spans="1:7">
      <c r="B53" s="12">
        <f>Vars!A48</f>
        <v>0</v>
      </c>
      <c r="C53" s="49"/>
      <c r="D53" s="49"/>
      <c r="E53" s="45"/>
      <c r="F53" s="49"/>
      <c r="G53" s="87"/>
    </row>
    <row r="54" spans="1:7">
      <c r="B54" s="12">
        <f>Vars!A49</f>
        <v>0</v>
      </c>
      <c r="C54" s="49"/>
      <c r="D54" s="49"/>
      <c r="E54" s="45"/>
      <c r="F54" s="49"/>
      <c r="G54" s="87"/>
    </row>
    <row r="55" spans="1:7">
      <c r="B55" s="12">
        <f>Vars!A50</f>
        <v>0</v>
      </c>
      <c r="C55" s="49"/>
      <c r="D55" s="49"/>
      <c r="E55" s="45"/>
      <c r="F55" s="49"/>
      <c r="G55" s="87"/>
    </row>
    <row r="56" spans="1:7">
      <c r="B56" s="12">
        <f>Vars!A51</f>
        <v>0</v>
      </c>
      <c r="C56" s="49"/>
      <c r="D56" s="49"/>
      <c r="E56" s="45"/>
      <c r="F56" s="49"/>
      <c r="G56" s="87"/>
    </row>
    <row r="57" spans="1:7">
      <c r="B57" s="12">
        <f>Vars!A52</f>
        <v>0</v>
      </c>
      <c r="C57" s="49"/>
      <c r="D57" s="49"/>
      <c r="E57" s="45"/>
      <c r="F57" s="49"/>
      <c r="G57" s="87"/>
    </row>
    <row r="58" spans="1:7">
      <c r="B58" s="12">
        <f>Vars!A53</f>
        <v>0</v>
      </c>
      <c r="C58" s="49"/>
      <c r="D58" s="49"/>
      <c r="E58" s="45"/>
      <c r="F58" s="49"/>
      <c r="G58" s="87"/>
    </row>
    <row r="59" spans="1:7">
      <c r="B59" s="12">
        <f>Vars!A54</f>
        <v>0</v>
      </c>
      <c r="C59" s="49"/>
      <c r="D59" s="49"/>
      <c r="E59" s="45"/>
      <c r="F59" s="49"/>
      <c r="G59" s="87"/>
    </row>
    <row r="60" spans="1:7">
      <c r="B60" s="12">
        <f>Vars!A55</f>
        <v>0</v>
      </c>
      <c r="C60" s="49"/>
      <c r="D60" s="49"/>
      <c r="E60" s="45"/>
      <c r="F60" s="49"/>
      <c r="G60" s="87"/>
    </row>
    <row r="61" spans="1:7">
      <c r="A61" s="10"/>
      <c r="B61" s="12">
        <f>Vars!A56</f>
        <v>0</v>
      </c>
      <c r="C61" s="49"/>
      <c r="D61" s="49"/>
      <c r="E61" s="45"/>
      <c r="F61" s="49"/>
      <c r="G61" s="87"/>
    </row>
    <row r="62" spans="1:7">
      <c r="A62" s="10"/>
      <c r="B62" s="12">
        <f>Vars!A57</f>
        <v>0</v>
      </c>
      <c r="C62" s="49"/>
      <c r="D62" s="49"/>
      <c r="E62" s="45"/>
      <c r="F62" s="49"/>
      <c r="G62" s="87"/>
    </row>
    <row r="63" spans="1:7">
      <c r="A63" s="10"/>
      <c r="B63" s="12">
        <f>Vars!A58</f>
        <v>0</v>
      </c>
      <c r="C63" s="49"/>
      <c r="D63" s="49"/>
      <c r="E63" s="45"/>
      <c r="F63" s="49"/>
      <c r="G63" s="87"/>
    </row>
    <row r="64" spans="1:7">
      <c r="A64" s="10"/>
      <c r="B64" s="12">
        <f>Vars!A59</f>
        <v>0</v>
      </c>
      <c r="C64" s="49"/>
      <c r="D64" s="49"/>
      <c r="E64" s="45"/>
      <c r="F64" s="49"/>
      <c r="G64" s="87"/>
    </row>
    <row r="65" spans="1:7">
      <c r="A65" s="10"/>
      <c r="B65" s="12">
        <f>Vars!A60</f>
        <v>0</v>
      </c>
      <c r="C65" s="49"/>
      <c r="D65" s="49"/>
      <c r="E65" s="45"/>
      <c r="F65" s="49"/>
      <c r="G65" s="87"/>
    </row>
    <row r="66" spans="1:7">
      <c r="A66" s="10"/>
      <c r="B66" s="12">
        <f>Vars!A61</f>
        <v>0</v>
      </c>
      <c r="C66" s="49"/>
      <c r="D66" s="49"/>
      <c r="E66" s="45"/>
      <c r="F66" s="49"/>
      <c r="G66" s="87"/>
    </row>
    <row r="67" spans="1:7">
      <c r="A67" s="10"/>
      <c r="B67" s="12">
        <f>Vars!A62</f>
        <v>0</v>
      </c>
      <c r="C67" s="49"/>
      <c r="D67" s="49"/>
      <c r="E67" s="45"/>
      <c r="F67" s="49"/>
      <c r="G67" s="87"/>
    </row>
    <row r="68" spans="1:7">
      <c r="A68" s="10"/>
      <c r="B68" s="12">
        <f>Vars!A63</f>
        <v>0</v>
      </c>
      <c r="C68" s="50"/>
      <c r="D68" s="50"/>
      <c r="E68" s="45"/>
      <c r="F68" s="50"/>
      <c r="G68" s="87"/>
    </row>
    <row r="69" spans="1:7">
      <c r="A69" s="10"/>
      <c r="B69" s="12">
        <f>Vars!A64</f>
        <v>0</v>
      </c>
      <c r="C69" s="50"/>
      <c r="D69" s="50"/>
      <c r="E69" s="45"/>
      <c r="F69" s="50"/>
      <c r="G69" s="87"/>
    </row>
    <row r="70" spans="1:7">
      <c r="A70" s="10"/>
      <c r="B70" s="12">
        <f>Vars!A65</f>
        <v>0</v>
      </c>
      <c r="C70" s="50"/>
      <c r="D70" s="50"/>
      <c r="E70" s="45"/>
      <c r="F70" s="50"/>
      <c r="G70" s="87"/>
    </row>
    <row r="71" spans="1:7">
      <c r="A71" s="10"/>
      <c r="B71" s="12">
        <f>Vars!A66</f>
        <v>0</v>
      </c>
      <c r="C71" s="50"/>
      <c r="D71" s="50"/>
      <c r="E71" s="45"/>
      <c r="F71" s="50"/>
      <c r="G71" s="87"/>
    </row>
    <row r="72" spans="1:7">
      <c r="B72" s="12">
        <f>Vars!A67</f>
        <v>0</v>
      </c>
      <c r="C72" s="50"/>
      <c r="D72" s="50"/>
      <c r="E72" s="50"/>
      <c r="F72" s="50"/>
      <c r="G72" s="87"/>
    </row>
    <row r="73" spans="1:7">
      <c r="B73" s="12"/>
      <c r="C73" s="49"/>
      <c r="D73" s="49"/>
      <c r="E73" s="45"/>
      <c r="F73" s="49"/>
    </row>
    <row r="74" spans="1:7">
      <c r="B74" s="12"/>
      <c r="C74" s="49"/>
      <c r="D74" s="49"/>
      <c r="E74" s="45"/>
      <c r="F74" s="49"/>
    </row>
    <row r="75" spans="1:7">
      <c r="B75" s="12"/>
      <c r="C75" s="49"/>
      <c r="D75" s="49"/>
      <c r="E75" s="45"/>
      <c r="F75" s="49"/>
    </row>
    <row r="76" spans="1:7">
      <c r="B76" s="12"/>
      <c r="C76" s="49"/>
      <c r="D76" s="49"/>
      <c r="E76" s="45"/>
      <c r="F76" s="49"/>
    </row>
    <row r="77" spans="1:7">
      <c r="B77" s="12"/>
      <c r="C77" s="49"/>
      <c r="D77" s="49"/>
      <c r="E77" s="45"/>
      <c r="F77" s="49"/>
    </row>
    <row r="78" spans="1:7">
      <c r="B78" s="12"/>
      <c r="C78" s="49"/>
      <c r="D78" s="49"/>
      <c r="E78" s="45"/>
      <c r="F78" s="49"/>
    </row>
    <row r="79" spans="1:7">
      <c r="B79" s="12"/>
      <c r="C79" s="49"/>
      <c r="D79" s="49"/>
      <c r="E79" s="45"/>
      <c r="F79" s="49"/>
    </row>
    <row r="80" spans="1:7">
      <c r="B80" s="12"/>
      <c r="C80" s="50"/>
      <c r="D80" s="50"/>
      <c r="E80" s="50"/>
      <c r="F80" s="50"/>
    </row>
    <row r="81" spans="1:7">
      <c r="B81" s="12"/>
      <c r="C81" s="50"/>
      <c r="D81" s="50"/>
      <c r="E81" s="50"/>
      <c r="F81" s="50"/>
    </row>
    <row r="82" spans="1:7">
      <c r="B82" s="12"/>
      <c r="C82" s="50"/>
      <c r="D82" s="50"/>
      <c r="E82" s="50"/>
      <c r="F82" s="50"/>
    </row>
    <row r="83" spans="1:7">
      <c r="B83" s="12"/>
      <c r="C83" s="50"/>
      <c r="D83" s="50"/>
      <c r="E83" s="50"/>
      <c r="F83" s="50"/>
    </row>
    <row r="84" spans="1:7">
      <c r="A84" s="14"/>
      <c r="B84" s="12"/>
      <c r="C84" s="50"/>
      <c r="D84" s="50"/>
      <c r="E84" s="50"/>
      <c r="F84" s="50"/>
    </row>
    <row r="85" spans="1:7">
      <c r="A85" s="14"/>
      <c r="C85" s="26"/>
      <c r="F85" s="30"/>
    </row>
    <row r="86" spans="1:7">
      <c r="A86" s="14"/>
      <c r="C86" s="26"/>
      <c r="F86" s="30"/>
    </row>
    <row r="87" spans="1:7">
      <c r="A87" s="17" t="s">
        <v>66</v>
      </c>
      <c r="B87" s="29" t="s">
        <v>1</v>
      </c>
      <c r="C87" s="3" t="s">
        <v>29</v>
      </c>
    </row>
    <row r="88" spans="1:7">
      <c r="B88" s="3" t="s">
        <v>57</v>
      </c>
      <c r="C88" s="83" t="str">
        <f>C10</f>
        <v>Idaho</v>
      </c>
      <c r="D88" s="83" t="str">
        <f>D10</f>
        <v>Montana</v>
      </c>
      <c r="E88" s="83" t="str">
        <f>E10</f>
        <v>Oregon</v>
      </c>
      <c r="F88" s="83" t="str">
        <f>F10</f>
        <v>Washington</v>
      </c>
    </row>
    <row r="89" spans="1:7">
      <c r="B89" s="12">
        <f>Vars!A71</f>
        <v>0</v>
      </c>
      <c r="C89" s="45"/>
      <c r="D89" s="45"/>
      <c r="E89" s="45"/>
      <c r="F89" s="45"/>
    </row>
    <row r="90" spans="1:7">
      <c r="B90" s="12">
        <f>Vars!A72</f>
        <v>0</v>
      </c>
      <c r="C90" s="45"/>
      <c r="D90" s="45"/>
      <c r="E90" s="45"/>
      <c r="F90" s="45"/>
    </row>
    <row r="91" spans="1:7">
      <c r="B91" s="12">
        <f>Vars!A73</f>
        <v>0</v>
      </c>
      <c r="C91" s="45"/>
      <c r="D91" s="45"/>
      <c r="E91" s="45"/>
      <c r="F91" s="45"/>
    </row>
    <row r="92" spans="1:7">
      <c r="B92" s="12">
        <f>Vars!A74</f>
        <v>0</v>
      </c>
      <c r="C92" s="45"/>
      <c r="D92" s="45"/>
      <c r="E92" s="45"/>
      <c r="F92" s="45"/>
    </row>
    <row r="93" spans="1:7">
      <c r="B93" s="12">
        <f>Vars!A75</f>
        <v>0</v>
      </c>
      <c r="C93" s="45"/>
      <c r="D93" s="45"/>
      <c r="E93" s="45"/>
      <c r="F93" s="45"/>
    </row>
    <row r="94" spans="1:7">
      <c r="B94" s="12">
        <f>Vars!A76</f>
        <v>0</v>
      </c>
      <c r="C94" s="45"/>
      <c r="D94" s="45"/>
      <c r="E94" s="45"/>
      <c r="F94" s="45"/>
      <c r="G94"/>
    </row>
    <row r="95" spans="1:7">
      <c r="B95" s="12">
        <f>Vars!A77</f>
        <v>0</v>
      </c>
      <c r="C95" s="45"/>
      <c r="D95" s="45"/>
      <c r="E95" s="45"/>
      <c r="F95" s="45"/>
      <c r="G95"/>
    </row>
    <row r="96" spans="1:7">
      <c r="B96" s="12">
        <f>Vars!A78</f>
        <v>0</v>
      </c>
      <c r="C96" s="45"/>
      <c r="D96" s="45"/>
      <c r="E96" s="45"/>
      <c r="F96" s="45"/>
      <c r="G96"/>
    </row>
    <row r="97" spans="2:7">
      <c r="B97" s="12">
        <f>Vars!A79</f>
        <v>0</v>
      </c>
      <c r="C97" s="45"/>
      <c r="D97" s="45"/>
      <c r="E97" s="45"/>
      <c r="F97" s="45"/>
      <c r="G97"/>
    </row>
    <row r="98" spans="2:7">
      <c r="B98" s="12">
        <f>Vars!A80</f>
        <v>0</v>
      </c>
      <c r="C98" s="45"/>
      <c r="D98" s="45"/>
      <c r="E98" s="45"/>
      <c r="F98" s="45"/>
      <c r="G98"/>
    </row>
    <row r="99" spans="2:7">
      <c r="B99" s="12">
        <f>Vars!A81</f>
        <v>0</v>
      </c>
      <c r="C99" s="45"/>
      <c r="D99" s="45"/>
      <c r="E99" s="45"/>
      <c r="F99" s="45"/>
      <c r="G99"/>
    </row>
    <row r="100" spans="2:7">
      <c r="B100" s="12">
        <f>Vars!A82</f>
        <v>0</v>
      </c>
      <c r="C100" s="45"/>
      <c r="D100" s="45"/>
      <c r="E100" s="45"/>
      <c r="F100" s="45"/>
      <c r="G100"/>
    </row>
    <row r="101" spans="2:7">
      <c r="B101" s="12">
        <f>Vars!A83</f>
        <v>0</v>
      </c>
      <c r="C101" s="45"/>
      <c r="D101" s="45"/>
      <c r="E101" s="45"/>
      <c r="F101" s="45"/>
      <c r="G101"/>
    </row>
    <row r="102" spans="2:7">
      <c r="B102" s="12">
        <f>Vars!A84</f>
        <v>0</v>
      </c>
      <c r="C102" s="45"/>
      <c r="D102" s="45"/>
      <c r="E102" s="45"/>
      <c r="F102" s="45"/>
      <c r="G102"/>
    </row>
    <row r="103" spans="2:7">
      <c r="B103" s="12">
        <f>Vars!A85</f>
        <v>0</v>
      </c>
      <c r="C103" s="45"/>
      <c r="D103" s="45"/>
      <c r="E103" s="45"/>
      <c r="F103" s="45"/>
      <c r="G103"/>
    </row>
    <row r="104" spans="2:7">
      <c r="B104" s="12">
        <f>Vars!A86</f>
        <v>0</v>
      </c>
      <c r="C104" s="45"/>
      <c r="D104" s="45"/>
      <c r="E104" s="45"/>
      <c r="F104" s="45"/>
      <c r="G104"/>
    </row>
    <row r="105" spans="2:7">
      <c r="B105" s="12">
        <f>Vars!A87</f>
        <v>0</v>
      </c>
      <c r="C105" s="45"/>
      <c r="D105" s="45"/>
      <c r="E105" s="45"/>
      <c r="F105" s="45"/>
      <c r="G105"/>
    </row>
    <row r="106" spans="2:7">
      <c r="B106" s="12">
        <f>Vars!A88</f>
        <v>0</v>
      </c>
      <c r="C106" s="49"/>
      <c r="D106" s="49"/>
      <c r="E106" s="49"/>
      <c r="F106" s="49"/>
      <c r="G106"/>
    </row>
    <row r="107" spans="2:7">
      <c r="B107" s="12">
        <f>Vars!A89</f>
        <v>0</v>
      </c>
      <c r="C107" s="45"/>
      <c r="D107" s="45"/>
      <c r="E107" s="45"/>
      <c r="F107" s="45"/>
      <c r="G107"/>
    </row>
    <row r="108" spans="2:7">
      <c r="B108" s="12">
        <f>Vars!A90</f>
        <v>0</v>
      </c>
      <c r="C108" s="45"/>
      <c r="D108" s="45"/>
      <c r="E108" s="45"/>
      <c r="F108" s="45"/>
      <c r="G108"/>
    </row>
    <row r="109" spans="2:7">
      <c r="B109" s="12">
        <f>Vars!A91</f>
        <v>0</v>
      </c>
      <c r="C109" s="45"/>
      <c r="D109" s="45"/>
      <c r="E109" s="45"/>
      <c r="F109" s="45"/>
      <c r="G109"/>
    </row>
    <row r="110" spans="2:7">
      <c r="B110" s="12">
        <f>Vars!A92</f>
        <v>0</v>
      </c>
      <c r="C110" s="45"/>
      <c r="D110" s="45"/>
      <c r="E110" s="45"/>
      <c r="F110" s="45"/>
      <c r="G110"/>
    </row>
    <row r="111" spans="2:7">
      <c r="B111" s="12">
        <f>Vars!A93</f>
        <v>0</v>
      </c>
      <c r="C111" s="45"/>
      <c r="D111" s="45"/>
      <c r="E111" s="45"/>
      <c r="F111" s="45"/>
      <c r="G111"/>
    </row>
    <row r="112" spans="2:7">
      <c r="B112" s="12">
        <f>Vars!A94</f>
        <v>0</v>
      </c>
      <c r="C112" s="45"/>
      <c r="D112" s="45"/>
      <c r="E112" s="45"/>
      <c r="F112" s="45"/>
      <c r="G112"/>
    </row>
    <row r="113" spans="2:7">
      <c r="B113" s="12">
        <f>Vars!A95</f>
        <v>0</v>
      </c>
      <c r="C113" s="45"/>
      <c r="D113" s="45"/>
      <c r="E113" s="45"/>
      <c r="F113" s="45"/>
      <c r="G113"/>
    </row>
    <row r="114" spans="2:7">
      <c r="B114" s="12">
        <f>Vars!A96</f>
        <v>0</v>
      </c>
      <c r="C114" s="45"/>
      <c r="D114" s="45"/>
      <c r="E114" s="45"/>
      <c r="F114" s="45"/>
      <c r="G114"/>
    </row>
    <row r="115" spans="2:7">
      <c r="B115" s="12">
        <f>Vars!A97</f>
        <v>0</v>
      </c>
      <c r="C115" s="45"/>
      <c r="D115" s="45"/>
      <c r="E115" s="45"/>
      <c r="F115" s="45"/>
      <c r="G115"/>
    </row>
    <row r="116" spans="2:7">
      <c r="B116" s="12">
        <f>Vars!A98</f>
        <v>0</v>
      </c>
      <c r="C116" s="49"/>
      <c r="D116" s="49"/>
      <c r="E116" s="49"/>
      <c r="F116" s="49"/>
      <c r="G116"/>
    </row>
    <row r="117" spans="2:7">
      <c r="B117" s="12">
        <f>Vars!A99</f>
        <v>0</v>
      </c>
      <c r="C117" s="45"/>
      <c r="D117" s="45"/>
      <c r="E117" s="45"/>
      <c r="F117" s="45"/>
      <c r="G117"/>
    </row>
    <row r="118" spans="2:7">
      <c r="B118" s="12">
        <f>Vars!A100</f>
        <v>0</v>
      </c>
      <c r="C118" s="45"/>
      <c r="D118" s="45"/>
      <c r="E118" s="45"/>
      <c r="F118" s="45"/>
      <c r="G118"/>
    </row>
    <row r="119" spans="2:7">
      <c r="B119" s="12">
        <f>Vars!A101</f>
        <v>0</v>
      </c>
      <c r="C119" s="45"/>
      <c r="D119" s="45"/>
      <c r="E119" s="45"/>
      <c r="F119" s="45"/>
      <c r="G119"/>
    </row>
    <row r="120" spans="2:7">
      <c r="B120" s="12">
        <f>Vars!A102</f>
        <v>0</v>
      </c>
      <c r="C120" s="45"/>
      <c r="D120" s="50"/>
      <c r="E120" s="50"/>
      <c r="F120" s="50"/>
      <c r="G120"/>
    </row>
    <row r="121" spans="2:7">
      <c r="B121" s="12">
        <f>Vars!A103</f>
        <v>0</v>
      </c>
      <c r="C121" s="45"/>
      <c r="D121" s="45"/>
      <c r="E121" s="45"/>
      <c r="F121" s="45"/>
      <c r="G121"/>
    </row>
    <row r="122" spans="2:7">
      <c r="B122" s="12">
        <f>Vars!A104</f>
        <v>0</v>
      </c>
      <c r="C122" s="45"/>
      <c r="D122" s="45"/>
      <c r="E122" s="45"/>
      <c r="F122" s="45"/>
      <c r="G122"/>
    </row>
    <row r="123" spans="2:7">
      <c r="B123" s="12">
        <f>Vars!A105</f>
        <v>0</v>
      </c>
      <c r="C123" s="45"/>
      <c r="D123" s="45"/>
      <c r="E123" s="45"/>
      <c r="F123" s="45"/>
      <c r="G123"/>
    </row>
    <row r="124" spans="2:7">
      <c r="B124" s="12">
        <f>Vars!A106</f>
        <v>0</v>
      </c>
      <c r="C124" s="45"/>
      <c r="D124" s="50"/>
      <c r="E124" s="50"/>
      <c r="F124" s="50"/>
      <c r="G124"/>
    </row>
    <row r="125" spans="2:7">
      <c r="B125" s="12">
        <f>Vars!A107</f>
        <v>0</v>
      </c>
      <c r="C125" s="45"/>
      <c r="D125" s="45"/>
      <c r="E125" s="45"/>
      <c r="F125" s="45"/>
      <c r="G125"/>
    </row>
    <row r="126" spans="2:7">
      <c r="B126" s="12">
        <f>Vars!A108</f>
        <v>0</v>
      </c>
      <c r="C126" s="45"/>
      <c r="D126" s="45"/>
      <c r="E126" s="45"/>
      <c r="F126" s="45"/>
      <c r="G126"/>
    </row>
    <row r="127" spans="2:7">
      <c r="B127" s="12">
        <f>Vars!A109</f>
        <v>0</v>
      </c>
      <c r="C127" s="45"/>
      <c r="D127" s="45"/>
      <c r="E127" s="45"/>
      <c r="F127" s="45"/>
      <c r="G127"/>
    </row>
    <row r="128" spans="2:7">
      <c r="B128" s="12">
        <f>Vars!A110</f>
        <v>0</v>
      </c>
      <c r="C128" s="45"/>
      <c r="D128" s="45"/>
      <c r="E128" s="45"/>
      <c r="F128" s="45"/>
      <c r="G128"/>
    </row>
    <row r="129" spans="2:7">
      <c r="B129" s="12">
        <f>Vars!A111</f>
        <v>0</v>
      </c>
      <c r="C129" s="45"/>
      <c r="D129" s="45"/>
      <c r="E129" s="45"/>
      <c r="F129" s="45"/>
      <c r="G129"/>
    </row>
    <row r="130" spans="2:7">
      <c r="B130" s="12">
        <f>Vars!A112</f>
        <v>0</v>
      </c>
      <c r="C130" s="45"/>
      <c r="D130" s="45"/>
      <c r="E130" s="45"/>
      <c r="F130" s="45"/>
      <c r="G130"/>
    </row>
    <row r="131" spans="2:7">
      <c r="B131" s="12">
        <f>Vars!A113</f>
        <v>0</v>
      </c>
      <c r="C131" s="45"/>
      <c r="D131" s="45"/>
      <c r="E131" s="45"/>
      <c r="F131" s="45"/>
      <c r="G131"/>
    </row>
    <row r="132" spans="2:7">
      <c r="B132" s="12">
        <f>Vars!A114</f>
        <v>0</v>
      </c>
      <c r="C132" s="45"/>
      <c r="D132" s="45"/>
      <c r="E132" s="45"/>
      <c r="F132" s="45"/>
      <c r="G132"/>
    </row>
    <row r="133" spans="2:7">
      <c r="B133" s="12">
        <f>Vars!A115</f>
        <v>0</v>
      </c>
      <c r="C133" s="45"/>
      <c r="D133" s="45"/>
      <c r="E133" s="45"/>
      <c r="F133" s="45"/>
      <c r="G133"/>
    </row>
    <row r="134" spans="2:7">
      <c r="B134" s="12">
        <f>Vars!A116</f>
        <v>0</v>
      </c>
      <c r="C134" s="45"/>
      <c r="D134" s="45"/>
      <c r="E134" s="45"/>
      <c r="F134" s="45"/>
      <c r="G134"/>
    </row>
    <row r="135" spans="2:7">
      <c r="B135" s="12">
        <f>Vars!A117</f>
        <v>0</v>
      </c>
      <c r="C135" s="45"/>
      <c r="D135" s="45"/>
      <c r="E135" s="45"/>
      <c r="F135" s="45"/>
      <c r="G135"/>
    </row>
    <row r="136" spans="2:7">
      <c r="B136" s="12">
        <f>Vars!A118</f>
        <v>0</v>
      </c>
      <c r="C136" s="45"/>
      <c r="D136" s="45"/>
      <c r="E136" s="45"/>
      <c r="F136" s="45"/>
      <c r="G136"/>
    </row>
    <row r="137" spans="2:7">
      <c r="B137" s="12">
        <f>Vars!A119</f>
        <v>0</v>
      </c>
      <c r="C137" s="45"/>
      <c r="D137" s="45"/>
      <c r="E137" s="45"/>
      <c r="F137" s="45"/>
      <c r="G137"/>
    </row>
    <row r="138" spans="2:7">
      <c r="B138" s="12">
        <f>Vars!A120</f>
        <v>0</v>
      </c>
      <c r="C138" s="45"/>
      <c r="D138" s="45"/>
      <c r="E138" s="45"/>
      <c r="F138" s="45"/>
      <c r="G138"/>
    </row>
    <row r="139" spans="2:7">
      <c r="B139" s="12">
        <f>Vars!A121</f>
        <v>0</v>
      </c>
      <c r="C139" s="45"/>
      <c r="D139" s="45"/>
      <c r="E139" s="45"/>
      <c r="F139" s="45"/>
      <c r="G139"/>
    </row>
    <row r="140" spans="2:7">
      <c r="B140" s="12">
        <f>Vars!A122</f>
        <v>0</v>
      </c>
      <c r="C140" s="45"/>
      <c r="D140" s="45"/>
      <c r="E140" s="45"/>
      <c r="F140" s="45"/>
      <c r="G140"/>
    </row>
    <row r="141" spans="2:7">
      <c r="B141" s="12">
        <f>Vars!A123</f>
        <v>0</v>
      </c>
      <c r="C141" s="50"/>
      <c r="D141" s="45"/>
      <c r="E141" s="45"/>
      <c r="F141" s="45"/>
      <c r="G141"/>
    </row>
    <row r="142" spans="2:7">
      <c r="B142" s="12">
        <f>Vars!A124</f>
        <v>0</v>
      </c>
      <c r="C142" s="50"/>
      <c r="D142" s="50"/>
      <c r="E142" s="50"/>
      <c r="F142" s="50"/>
      <c r="G142"/>
    </row>
    <row r="143" spans="2:7">
      <c r="B143" s="12">
        <f>Vars!A125</f>
        <v>0</v>
      </c>
      <c r="C143" s="50"/>
      <c r="D143" s="45"/>
      <c r="E143" s="45"/>
      <c r="F143" s="45"/>
      <c r="G143"/>
    </row>
    <row r="144" spans="2:7">
      <c r="B144" s="12">
        <f>Vars!A126</f>
        <v>0</v>
      </c>
      <c r="C144" s="50"/>
      <c r="D144" s="45"/>
      <c r="E144" s="45"/>
      <c r="F144" s="45"/>
      <c r="G144"/>
    </row>
    <row r="145" spans="2:7">
      <c r="B145" s="12">
        <f>Vars!A127</f>
        <v>0</v>
      </c>
      <c r="C145" s="50"/>
      <c r="D145" s="45"/>
      <c r="E145" s="45"/>
      <c r="F145" s="45"/>
      <c r="G145"/>
    </row>
    <row r="146" spans="2:7">
      <c r="B146" s="12"/>
      <c r="C146" s="45"/>
      <c r="D146" s="45"/>
      <c r="E146" s="45"/>
      <c r="F146" s="45"/>
      <c r="G146"/>
    </row>
    <row r="147" spans="2:7">
      <c r="B147" s="12"/>
      <c r="C147" s="50"/>
      <c r="D147" s="50"/>
      <c r="E147" s="50"/>
      <c r="F147" s="50"/>
      <c r="G147"/>
    </row>
    <row r="148" spans="2:7">
      <c r="B148" s="12"/>
      <c r="C148" s="45"/>
      <c r="D148" s="45"/>
      <c r="E148" s="45"/>
      <c r="F148" s="45"/>
      <c r="G148"/>
    </row>
    <row r="149" spans="2:7">
      <c r="B149" s="12"/>
      <c r="C149" s="45"/>
      <c r="D149" s="45"/>
      <c r="E149" s="45"/>
      <c r="F149" s="45"/>
      <c r="G149"/>
    </row>
    <row r="150" spans="2:7">
      <c r="B150" s="12"/>
      <c r="C150" s="45"/>
      <c r="D150" s="45"/>
      <c r="E150" s="45"/>
      <c r="F150" s="45"/>
      <c r="G150"/>
    </row>
    <row r="151" spans="2:7">
      <c r="B151" s="12"/>
      <c r="C151" s="45"/>
      <c r="D151" s="45"/>
      <c r="E151" s="45"/>
      <c r="F151" s="45"/>
      <c r="G151"/>
    </row>
    <row r="152" spans="2:7">
      <c r="G152"/>
    </row>
    <row r="153" spans="2:7">
      <c r="G153"/>
    </row>
    <row r="154" spans="2:7">
      <c r="G154"/>
    </row>
    <row r="155" spans="2:7">
      <c r="G155"/>
    </row>
    <row r="156" spans="2:7">
      <c r="G156"/>
    </row>
    <row r="157" spans="2:7">
      <c r="G157"/>
    </row>
    <row r="158" spans="2:7">
      <c r="G158"/>
    </row>
    <row r="159" spans="2:7">
      <c r="G159"/>
    </row>
    <row r="160" spans="2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</sheetData>
  <phoneticPr fontId="0" type="noConversion"/>
  <pageMargins left="0.75" right="0.75" top="1" bottom="1" header="0.5" footer="0.5"/>
  <pageSetup scale="61" fitToHeight="0" orientation="landscape" r:id="rId1"/>
  <headerFooter alignWithMargins="0">
    <oddFooter xml:space="preserve">&amp;L&amp;D &amp;T&amp;C&amp;P of &amp;N&amp;R&amp;F &amp;A  </oddFooter>
  </headerFooter>
  <rowBreaks count="4" manualBreakCount="4">
    <brk id="69" max="19" man="1"/>
    <brk id="73" max="19" man="1"/>
    <brk id="91" max="19" man="1"/>
    <brk id="145" max="19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5"/>
  <dimension ref="A1:U57"/>
  <sheetViews>
    <sheetView workbookViewId="0">
      <selection activeCell="L33" sqref="L33"/>
    </sheetView>
  </sheetViews>
  <sheetFormatPr defaultRowHeight="12.75"/>
  <cols>
    <col min="1" max="2" width="9.140625" style="96"/>
    <col min="3" max="3" width="10.7109375" style="96" customWidth="1"/>
    <col min="4" max="6" width="9.140625" style="96"/>
    <col min="7" max="7" width="10" style="96" customWidth="1"/>
    <col min="8" max="13" width="9.140625" style="96"/>
    <col min="14" max="14" width="10.28515625" style="96" bestFit="1" customWidth="1"/>
    <col min="15" max="19" width="9.140625" style="96"/>
    <col min="20" max="20" width="11.28515625" style="96" bestFit="1" customWidth="1"/>
    <col min="21" max="16384" width="9.140625" style="96"/>
  </cols>
  <sheetData>
    <row r="1" spans="1:21">
      <c r="A1" s="96" t="s">
        <v>217</v>
      </c>
    </row>
    <row r="2" spans="1:21">
      <c r="A2" s="96" t="s">
        <v>216</v>
      </c>
      <c r="O2" s="96" t="s">
        <v>215</v>
      </c>
    </row>
    <row r="6" spans="1:21">
      <c r="A6" s="195" t="s">
        <v>214</v>
      </c>
      <c r="B6" s="195"/>
      <c r="C6" s="195"/>
      <c r="D6" s="195"/>
      <c r="E6" s="195"/>
      <c r="F6" s="195" t="s">
        <v>204</v>
      </c>
      <c r="G6" s="195"/>
      <c r="H6" s="195"/>
      <c r="I6" s="195"/>
      <c r="J6" s="195"/>
      <c r="K6" s="195"/>
      <c r="L6" s="195"/>
      <c r="M6" s="195"/>
      <c r="N6" s="106"/>
      <c r="O6" s="106"/>
      <c r="P6" s="106"/>
      <c r="Q6" s="106"/>
      <c r="R6" s="106"/>
    </row>
    <row r="7" spans="1:21">
      <c r="A7" s="196"/>
      <c r="B7" s="196"/>
      <c r="C7" s="196"/>
      <c r="D7" s="196"/>
      <c r="E7" s="196"/>
      <c r="F7" s="195" t="s">
        <v>203</v>
      </c>
      <c r="G7" s="195"/>
      <c r="H7" s="195"/>
      <c r="I7" s="195"/>
      <c r="J7" s="195" t="s">
        <v>202</v>
      </c>
      <c r="K7" s="195"/>
      <c r="L7" s="195"/>
      <c r="M7" s="195"/>
      <c r="N7" s="106"/>
      <c r="O7" s="106"/>
      <c r="P7" s="106"/>
      <c r="Q7" s="106"/>
      <c r="R7" s="106"/>
    </row>
    <row r="8" spans="1:21" ht="63.75">
      <c r="A8" s="101" t="s">
        <v>175</v>
      </c>
      <c r="B8" s="101" t="s">
        <v>199</v>
      </c>
      <c r="C8" s="101" t="s">
        <v>198</v>
      </c>
      <c r="D8" s="102" t="s">
        <v>200</v>
      </c>
      <c r="E8" s="101" t="s">
        <v>196</v>
      </c>
      <c r="F8" s="101" t="s">
        <v>199</v>
      </c>
      <c r="G8" s="101" t="s">
        <v>198</v>
      </c>
      <c r="H8" s="101" t="s">
        <v>197</v>
      </c>
      <c r="I8" s="101" t="s">
        <v>196</v>
      </c>
      <c r="J8" s="101" t="s">
        <v>199</v>
      </c>
      <c r="K8" s="101" t="s">
        <v>198</v>
      </c>
      <c r="L8" s="101" t="s">
        <v>197</v>
      </c>
      <c r="M8" s="101" t="s">
        <v>196</v>
      </c>
      <c r="N8" s="101" t="s">
        <v>213</v>
      </c>
      <c r="O8" s="101" t="s">
        <v>212</v>
      </c>
      <c r="P8" s="101" t="s">
        <v>211</v>
      </c>
      <c r="Q8" s="101" t="s">
        <v>210</v>
      </c>
      <c r="R8" s="101" t="s">
        <v>209</v>
      </c>
    </row>
    <row r="9" spans="1:21">
      <c r="A9" s="100" t="s">
        <v>176</v>
      </c>
      <c r="B9" s="98">
        <v>7118</v>
      </c>
      <c r="C9" s="98">
        <v>872207</v>
      </c>
      <c r="D9" s="98">
        <v>5.3</v>
      </c>
      <c r="E9" s="97">
        <v>1.9</v>
      </c>
      <c r="F9" s="98">
        <v>4467</v>
      </c>
      <c r="G9" s="98">
        <v>733315</v>
      </c>
      <c r="H9" s="98">
        <v>5.2</v>
      </c>
      <c r="I9" s="97">
        <v>1.9</v>
      </c>
      <c r="J9" s="98">
        <v>2651</v>
      </c>
      <c r="K9" s="98">
        <v>138892</v>
      </c>
      <c r="L9" s="98">
        <v>5.4</v>
      </c>
      <c r="M9" s="97">
        <v>2</v>
      </c>
      <c r="N9" s="105">
        <f>'Water Use by Sprinklers'!O8+'Water Use by Sprinklers'!R8+'Water Use by Sprinklers'!AA8</f>
        <v>589417</v>
      </c>
      <c r="O9" s="105">
        <f>'Water Use by Sprinklers'!U8</f>
        <v>199658</v>
      </c>
      <c r="P9" s="104">
        <f t="shared" ref="P9:Q13" si="0">N9/($N9+$O9)</f>
        <v>0.74697208757088995</v>
      </c>
      <c r="Q9" s="104">
        <f t="shared" si="0"/>
        <v>0.25302791242911005</v>
      </c>
      <c r="R9" s="104">
        <f>G9/G$13</f>
        <v>0.46378057233639941</v>
      </c>
      <c r="T9" s="103"/>
      <c r="U9" s="103"/>
    </row>
    <row r="10" spans="1:21">
      <c r="A10" s="100" t="s">
        <v>165</v>
      </c>
      <c r="B10" s="98">
        <v>3354</v>
      </c>
      <c r="C10" s="98">
        <v>549849</v>
      </c>
      <c r="D10" s="98">
        <v>3.7</v>
      </c>
      <c r="E10" s="97">
        <v>1.5</v>
      </c>
      <c r="F10" s="98">
        <v>1721</v>
      </c>
      <c r="G10" s="98">
        <v>335257</v>
      </c>
      <c r="H10" s="98">
        <v>3.7</v>
      </c>
      <c r="I10" s="97">
        <v>1.4</v>
      </c>
      <c r="J10" s="98">
        <v>1633</v>
      </c>
      <c r="K10" s="98">
        <v>214592</v>
      </c>
      <c r="L10" s="98">
        <v>3.5</v>
      </c>
      <c r="M10" s="97">
        <v>1.6</v>
      </c>
      <c r="N10" s="105">
        <f>'Water Use by Sprinklers'!O9+'Water Use by Sprinklers'!R9+'Water Use by Sprinklers'!AA9</f>
        <v>186873</v>
      </c>
      <c r="O10" s="105">
        <f>'Water Use by Sprinklers'!U9</f>
        <v>44766</v>
      </c>
      <c r="P10" s="104">
        <f t="shared" si="0"/>
        <v>0.80674238793985464</v>
      </c>
      <c r="Q10" s="104">
        <f t="shared" si="0"/>
        <v>0.1932576120601453</v>
      </c>
      <c r="R10" s="104">
        <f>G10/G$13</f>
        <v>0.21203123260779375</v>
      </c>
      <c r="T10" s="103"/>
      <c r="U10" s="103"/>
    </row>
    <row r="11" spans="1:21">
      <c r="A11" s="100" t="s">
        <v>177</v>
      </c>
      <c r="B11" s="98">
        <v>2406</v>
      </c>
      <c r="C11" s="98">
        <v>317447</v>
      </c>
      <c r="D11" s="98">
        <v>4.7</v>
      </c>
      <c r="E11" s="97">
        <v>2.5</v>
      </c>
      <c r="F11" s="98">
        <v>1852</v>
      </c>
      <c r="G11" s="98">
        <v>255282</v>
      </c>
      <c r="H11" s="98">
        <v>4.8</v>
      </c>
      <c r="I11" s="97">
        <v>2.4</v>
      </c>
      <c r="J11" s="98">
        <v>554</v>
      </c>
      <c r="K11" s="98">
        <v>62165</v>
      </c>
      <c r="L11" s="98">
        <v>4.5</v>
      </c>
      <c r="M11" s="97">
        <v>2.6</v>
      </c>
      <c r="N11" s="105">
        <f>'Water Use by Sprinklers'!O10+'Water Use by Sprinklers'!R10+'Water Use by Sprinklers'!AA10</f>
        <v>373405</v>
      </c>
      <c r="O11" s="105">
        <f>'Water Use by Sprinklers'!U10</f>
        <v>121504</v>
      </c>
      <c r="P11" s="104">
        <f t="shared" si="0"/>
        <v>0.75449223998755321</v>
      </c>
      <c r="Q11" s="104">
        <f t="shared" si="0"/>
        <v>0.24550776001244673</v>
      </c>
      <c r="R11" s="104">
        <f>G11/G$13</f>
        <v>0.16145153456179229</v>
      </c>
      <c r="T11" s="103"/>
      <c r="U11" s="103"/>
    </row>
    <row r="12" spans="1:21">
      <c r="A12" s="100" t="s">
        <v>178</v>
      </c>
      <c r="B12" s="98">
        <v>2709</v>
      </c>
      <c r="C12" s="98">
        <v>275809</v>
      </c>
      <c r="D12" s="98">
        <v>6.3</v>
      </c>
      <c r="E12" s="97">
        <v>2.2999999999999998</v>
      </c>
      <c r="F12" s="98">
        <v>2460</v>
      </c>
      <c r="G12" s="98">
        <v>257314</v>
      </c>
      <c r="H12" s="98">
        <v>6.3</v>
      </c>
      <c r="I12" s="97">
        <v>2.2999999999999998</v>
      </c>
      <c r="J12" s="98">
        <v>249</v>
      </c>
      <c r="K12" s="98">
        <v>18495</v>
      </c>
      <c r="L12" s="98">
        <v>6.6</v>
      </c>
      <c r="M12" s="97">
        <v>2.2999999999999998</v>
      </c>
      <c r="N12" s="105">
        <f>'Water Use by Sprinklers'!O11+'Water Use by Sprinklers'!R11+'Water Use by Sprinklers'!AA11</f>
        <v>167947</v>
      </c>
      <c r="O12" s="105">
        <f>'Water Use by Sprinklers'!U11</f>
        <v>45923</v>
      </c>
      <c r="P12" s="104">
        <f t="shared" si="0"/>
        <v>0.78527610230513867</v>
      </c>
      <c r="Q12" s="104">
        <f t="shared" si="0"/>
        <v>0.21472389769486136</v>
      </c>
      <c r="R12" s="104">
        <f>G12/G$13</f>
        <v>0.16273666049401456</v>
      </c>
      <c r="T12" s="103"/>
      <c r="U12" s="103"/>
    </row>
    <row r="13" spans="1:21">
      <c r="A13" s="99" t="s">
        <v>194</v>
      </c>
      <c r="B13" s="98">
        <f>SUM(B9:B12)</f>
        <v>15587</v>
      </c>
      <c r="C13" s="98">
        <f>SUM(C9:C12)</f>
        <v>2015312</v>
      </c>
      <c r="D13" s="98">
        <f>SUMPRODUCT(C9:C12,D9:D12)/C13</f>
        <v>4.9058091253364244</v>
      </c>
      <c r="E13" s="97">
        <f>SUMPRODUCT(C9:C12,E9:E12)/C13</f>
        <v>1.9401189493239757</v>
      </c>
      <c r="F13" s="98">
        <f>SUM(F9:F12)</f>
        <v>10500</v>
      </c>
      <c r="G13" s="98">
        <f>SUM(G9:G12)</f>
        <v>1581168</v>
      </c>
      <c r="H13" s="98">
        <f>SUMPRODUCT(G9:G12,H9:H12)/G13</f>
        <v>4.9963828638070087</v>
      </c>
      <c r="I13" s="97">
        <f>SUMPRODUCT(G9:G12,I9:I12)/G13</f>
        <v>1.939804815174605</v>
      </c>
      <c r="J13" s="98">
        <f>SUM(J9:J12)</f>
        <v>5087</v>
      </c>
      <c r="K13" s="98">
        <f>SUM(K9:K12)</f>
        <v>434144</v>
      </c>
      <c r="L13" s="98">
        <f>SUMPRODUCT(K9:K12,L9:L12)/K13</f>
        <v>4.3831039931451317</v>
      </c>
      <c r="M13" s="97">
        <f>SUMPRODUCT(K9:K12,M9:M12)/K13</f>
        <v>1.9009791682022554</v>
      </c>
      <c r="N13" s="105">
        <f>'Water Use by Sprinklers'!O12+'Water Use by Sprinklers'!R12+'Water Use by Sprinklers'!AA12</f>
        <v>1317642</v>
      </c>
      <c r="O13" s="105">
        <f>'Water Use by Sprinklers'!U12</f>
        <v>411851</v>
      </c>
      <c r="P13" s="104">
        <f t="shared" si="0"/>
        <v>0.76186604976140404</v>
      </c>
      <c r="Q13" s="104">
        <f t="shared" si="0"/>
        <v>0.23813395023859593</v>
      </c>
      <c r="R13" s="104">
        <f>G13/G$13</f>
        <v>1</v>
      </c>
      <c r="T13" s="103"/>
      <c r="U13" s="103"/>
    </row>
    <row r="17" spans="1:13">
      <c r="A17" s="195" t="s">
        <v>208</v>
      </c>
      <c r="B17" s="195"/>
      <c r="C17" s="195"/>
      <c r="D17" s="195"/>
      <c r="E17" s="195"/>
      <c r="F17" s="195" t="s">
        <v>204</v>
      </c>
      <c r="G17" s="195"/>
      <c r="H17" s="195"/>
      <c r="I17" s="195"/>
      <c r="J17" s="195"/>
      <c r="K17" s="195"/>
      <c r="L17" s="195"/>
      <c r="M17" s="195"/>
    </row>
    <row r="18" spans="1:13">
      <c r="A18" s="196"/>
      <c r="B18" s="196"/>
      <c r="C18" s="196"/>
      <c r="D18" s="196"/>
      <c r="E18" s="196"/>
      <c r="F18" s="195" t="s">
        <v>203</v>
      </c>
      <c r="G18" s="195"/>
      <c r="H18" s="195"/>
      <c r="I18" s="195"/>
      <c r="J18" s="195" t="s">
        <v>202</v>
      </c>
      <c r="K18" s="195"/>
      <c r="L18" s="195"/>
      <c r="M18" s="195"/>
    </row>
    <row r="19" spans="1:13" ht="63.75">
      <c r="A19" s="101" t="s">
        <v>175</v>
      </c>
      <c r="B19" s="101" t="s">
        <v>199</v>
      </c>
      <c r="C19" s="101" t="s">
        <v>198</v>
      </c>
      <c r="D19" s="102" t="s">
        <v>200</v>
      </c>
      <c r="E19" s="101" t="s">
        <v>196</v>
      </c>
      <c r="F19" s="101" t="s">
        <v>199</v>
      </c>
      <c r="G19" s="101" t="s">
        <v>198</v>
      </c>
      <c r="H19" s="101" t="s">
        <v>197</v>
      </c>
      <c r="I19" s="101" t="s">
        <v>196</v>
      </c>
      <c r="J19" s="101" t="s">
        <v>199</v>
      </c>
      <c r="K19" s="101" t="s">
        <v>198</v>
      </c>
      <c r="L19" s="101" t="s">
        <v>197</v>
      </c>
      <c r="M19" s="101" t="s">
        <v>196</v>
      </c>
    </row>
    <row r="20" spans="1:13">
      <c r="A20" s="100" t="s">
        <v>176</v>
      </c>
      <c r="B20" s="98">
        <v>888</v>
      </c>
      <c r="C20" s="98">
        <v>132254</v>
      </c>
      <c r="D20" s="98">
        <v>188</v>
      </c>
      <c r="E20" s="97">
        <v>2.4</v>
      </c>
      <c r="F20" s="98">
        <v>358</v>
      </c>
      <c r="G20" s="98">
        <v>90012</v>
      </c>
      <c r="H20" s="98">
        <v>187</v>
      </c>
      <c r="I20" s="97">
        <v>2.1</v>
      </c>
      <c r="J20" s="98">
        <v>530</v>
      </c>
      <c r="K20" s="98">
        <v>42242</v>
      </c>
      <c r="L20" s="98">
        <v>188</v>
      </c>
      <c r="M20" s="97">
        <v>2.8</v>
      </c>
    </row>
    <row r="21" spans="1:13">
      <c r="A21" s="100" t="s">
        <v>165</v>
      </c>
      <c r="B21" s="98">
        <v>298</v>
      </c>
      <c r="C21" s="98">
        <v>41170</v>
      </c>
      <c r="D21" s="98">
        <v>156</v>
      </c>
      <c r="E21" s="97">
        <v>1.8</v>
      </c>
      <c r="F21" s="98">
        <v>86</v>
      </c>
      <c r="G21" s="98">
        <v>19138</v>
      </c>
      <c r="H21" s="98">
        <v>157</v>
      </c>
      <c r="I21" s="97">
        <v>2.4</v>
      </c>
      <c r="J21" s="98">
        <v>212</v>
      </c>
      <c r="K21" s="98">
        <v>22032</v>
      </c>
      <c r="L21" s="98">
        <v>155</v>
      </c>
      <c r="M21" s="97">
        <v>1.3</v>
      </c>
    </row>
    <row r="22" spans="1:13">
      <c r="A22" s="100" t="s">
        <v>177</v>
      </c>
      <c r="B22" s="98">
        <v>300</v>
      </c>
      <c r="C22" s="98">
        <v>37983</v>
      </c>
      <c r="D22" s="98">
        <v>209</v>
      </c>
      <c r="E22" s="97">
        <v>2.7</v>
      </c>
      <c r="F22" s="98">
        <v>118</v>
      </c>
      <c r="G22" s="98">
        <v>24718</v>
      </c>
      <c r="H22" s="98">
        <v>206</v>
      </c>
      <c r="I22" s="97">
        <v>2.5</v>
      </c>
      <c r="J22" s="98">
        <v>182</v>
      </c>
      <c r="K22" s="98">
        <v>13265</v>
      </c>
      <c r="L22" s="98">
        <v>216</v>
      </c>
      <c r="M22" s="97">
        <v>3</v>
      </c>
    </row>
    <row r="23" spans="1:13">
      <c r="A23" s="100" t="s">
        <v>178</v>
      </c>
      <c r="B23" s="98">
        <v>617</v>
      </c>
      <c r="C23" s="98">
        <v>98131</v>
      </c>
      <c r="D23" s="98">
        <v>210</v>
      </c>
      <c r="E23" s="97">
        <v>2.1</v>
      </c>
      <c r="F23" s="98">
        <v>521</v>
      </c>
      <c r="G23" s="98">
        <v>86812</v>
      </c>
      <c r="H23" s="98">
        <v>212</v>
      </c>
      <c r="I23" s="97">
        <v>2.2000000000000002</v>
      </c>
      <c r="J23" s="98">
        <v>96</v>
      </c>
      <c r="K23" s="98">
        <v>11319</v>
      </c>
      <c r="L23" s="98">
        <v>194</v>
      </c>
      <c r="M23" s="97">
        <v>2</v>
      </c>
    </row>
    <row r="24" spans="1:13">
      <c r="A24" s="99" t="s">
        <v>194</v>
      </c>
      <c r="B24" s="98">
        <f>SUM(B20:B23)</f>
        <v>2103</v>
      </c>
      <c r="C24" s="98">
        <f>SUM(C20:C23)</f>
        <v>309538</v>
      </c>
      <c r="D24" s="98">
        <f>SUMPRODUCT(C20:C23,D20:D23)/C24</f>
        <v>193.29526261719079</v>
      </c>
      <c r="E24" s="97">
        <f>SUMPRODUCT(C20:C23,E20:E23)/C24</f>
        <v>2.2619025773895287</v>
      </c>
      <c r="F24" s="98">
        <f>SUM(F20:F23)</f>
        <v>1083</v>
      </c>
      <c r="G24" s="98">
        <f>SUM(G20:G23)</f>
        <v>220680</v>
      </c>
      <c r="H24" s="98">
        <f>SUMPRODUCT(G20:G23,H20:H23)/G24</f>
        <v>196.3610748595251</v>
      </c>
      <c r="I24" s="97">
        <f>SUMPRODUCT(G20:G23,I20:I23)/G24</f>
        <v>2.2101586006887803</v>
      </c>
      <c r="J24" s="98">
        <f>SUM(J20:J23)</f>
        <v>1020</v>
      </c>
      <c r="K24" s="98">
        <f>SUM(K20:K23)</f>
        <v>88858</v>
      </c>
      <c r="L24" s="98">
        <f>SUMPRODUCT(K20:K23,L20:L23)/K24</f>
        <v>184.7620022957978</v>
      </c>
      <c r="M24" s="97">
        <f>SUMPRODUCT(K20:K23,M20:M23)/K24</f>
        <v>2.3560309707623399</v>
      </c>
    </row>
    <row r="28" spans="1:13">
      <c r="A28" s="195" t="s">
        <v>207</v>
      </c>
      <c r="B28" s="195"/>
      <c r="C28" s="195"/>
      <c r="D28" s="195"/>
      <c r="E28" s="195"/>
      <c r="F28" s="195" t="s">
        <v>204</v>
      </c>
      <c r="G28" s="195"/>
      <c r="H28" s="195"/>
      <c r="I28" s="195"/>
      <c r="J28" s="195"/>
      <c r="K28" s="195"/>
      <c r="L28" s="195"/>
      <c r="M28" s="195"/>
    </row>
    <row r="29" spans="1:13">
      <c r="A29" s="196"/>
      <c r="B29" s="196"/>
      <c r="C29" s="196"/>
      <c r="D29" s="196"/>
      <c r="E29" s="196"/>
      <c r="F29" s="195" t="s">
        <v>203</v>
      </c>
      <c r="G29" s="195"/>
      <c r="H29" s="195"/>
      <c r="I29" s="195"/>
      <c r="J29" s="195" t="s">
        <v>202</v>
      </c>
      <c r="K29" s="195"/>
      <c r="L29" s="195"/>
      <c r="M29" s="195"/>
    </row>
    <row r="30" spans="1:13" ht="63.75">
      <c r="A30" s="101" t="s">
        <v>175</v>
      </c>
      <c r="B30" s="101" t="s">
        <v>199</v>
      </c>
      <c r="C30" s="101" t="s">
        <v>198</v>
      </c>
      <c r="D30" s="102" t="s">
        <v>200</v>
      </c>
      <c r="E30" s="101" t="s">
        <v>196</v>
      </c>
      <c r="F30" s="101" t="s">
        <v>199</v>
      </c>
      <c r="G30" s="101" t="s">
        <v>198</v>
      </c>
      <c r="H30" s="101" t="s">
        <v>197</v>
      </c>
      <c r="I30" s="101" t="s">
        <v>196</v>
      </c>
      <c r="J30" s="101" t="s">
        <v>199</v>
      </c>
      <c r="K30" s="101" t="s">
        <v>198</v>
      </c>
      <c r="L30" s="101" t="s">
        <v>197</v>
      </c>
      <c r="M30" s="101" t="s">
        <v>196</v>
      </c>
    </row>
    <row r="31" spans="1:13">
      <c r="A31" s="100" t="s">
        <v>176</v>
      </c>
      <c r="B31" s="98">
        <v>1521</v>
      </c>
      <c r="C31" s="98">
        <v>203110</v>
      </c>
      <c r="D31" s="98">
        <v>27</v>
      </c>
      <c r="E31" s="97">
        <v>2.2000000000000002</v>
      </c>
      <c r="F31" s="98">
        <v>528</v>
      </c>
      <c r="G31" s="98">
        <v>161902</v>
      </c>
      <c r="H31" s="98">
        <v>28</v>
      </c>
      <c r="I31" s="97">
        <v>2.2999999999999998</v>
      </c>
      <c r="J31" s="98">
        <v>993</v>
      </c>
      <c r="K31" s="98">
        <v>41208</v>
      </c>
      <c r="L31" s="98">
        <v>27</v>
      </c>
      <c r="M31" s="97">
        <v>1.9</v>
      </c>
    </row>
    <row r="32" spans="1:13">
      <c r="A32" s="100" t="s">
        <v>165</v>
      </c>
      <c r="B32" s="98">
        <v>267</v>
      </c>
      <c r="C32" s="98">
        <v>36522</v>
      </c>
      <c r="D32" s="98">
        <v>23</v>
      </c>
      <c r="E32" s="97">
        <v>1.6</v>
      </c>
      <c r="F32" s="98">
        <v>76</v>
      </c>
      <c r="G32" s="98">
        <v>20296</v>
      </c>
      <c r="H32" s="98">
        <v>19</v>
      </c>
      <c r="I32" s="97">
        <v>1.8</v>
      </c>
      <c r="J32" s="98">
        <v>191</v>
      </c>
      <c r="K32" s="98">
        <v>16226</v>
      </c>
      <c r="L32" s="98">
        <v>27</v>
      </c>
      <c r="M32" s="97">
        <v>1.3</v>
      </c>
    </row>
    <row r="33" spans="1:17">
      <c r="A33" s="100" t="s">
        <v>177</v>
      </c>
      <c r="B33" s="98">
        <v>224</v>
      </c>
      <c r="C33" s="98">
        <v>33976</v>
      </c>
      <c r="D33" s="98">
        <v>26</v>
      </c>
      <c r="E33" s="97">
        <v>1.6</v>
      </c>
      <c r="F33" s="98">
        <v>175</v>
      </c>
      <c r="G33" s="98">
        <v>30167</v>
      </c>
      <c r="H33" s="98">
        <v>26</v>
      </c>
      <c r="I33" s="97">
        <v>1.4</v>
      </c>
      <c r="J33" s="98">
        <v>49</v>
      </c>
      <c r="K33" s="98">
        <v>3809</v>
      </c>
      <c r="L33" s="98">
        <v>32</v>
      </c>
      <c r="M33" s="97">
        <v>2.7</v>
      </c>
    </row>
    <row r="34" spans="1:17">
      <c r="A34" s="100" t="s">
        <v>178</v>
      </c>
      <c r="B34" s="98">
        <v>240</v>
      </c>
      <c r="C34" s="98">
        <v>67038</v>
      </c>
      <c r="D34" s="98">
        <v>28</v>
      </c>
      <c r="E34" s="97">
        <v>2.2000000000000002</v>
      </c>
      <c r="F34" s="98">
        <v>186</v>
      </c>
      <c r="G34" s="98">
        <v>55674</v>
      </c>
      <c r="H34" s="98">
        <v>28</v>
      </c>
      <c r="I34" s="97">
        <v>2.2999999999999998</v>
      </c>
      <c r="J34" s="98">
        <v>54</v>
      </c>
      <c r="K34" s="98">
        <v>11364</v>
      </c>
      <c r="L34" s="98">
        <v>27</v>
      </c>
      <c r="M34" s="97">
        <v>2</v>
      </c>
    </row>
    <row r="35" spans="1:17">
      <c r="A35" s="99" t="s">
        <v>194</v>
      </c>
      <c r="B35" s="98">
        <f>SUM(B31:B34)</f>
        <v>2252</v>
      </c>
      <c r="C35" s="98">
        <f>SUM(C31:C34)</f>
        <v>340646</v>
      </c>
      <c r="D35" s="98">
        <f>SUMPRODUCT(C31:C34,D31:D34)/C35</f>
        <v>26.66820100632328</v>
      </c>
      <c r="E35" s="97">
        <f>SUMPRODUCT(C31:C34,E31:E34)/C35</f>
        <v>2.0758276920909098</v>
      </c>
      <c r="F35" s="98">
        <f>SUM(F31:F34)</f>
        <v>965</v>
      </c>
      <c r="G35" s="98">
        <f>SUM(G31:G34)</f>
        <v>268039</v>
      </c>
      <c r="H35" s="98">
        <f>SUMPRODUCT(G31:G34,H31:H34)/G35</f>
        <v>27.09342297203019</v>
      </c>
      <c r="I35" s="97">
        <f>SUMPRODUCT(G31:G34,I31:I34)/G35</f>
        <v>2.1608474886117315</v>
      </c>
      <c r="J35" s="98">
        <f>SUM(J31:J34)</f>
        <v>1287</v>
      </c>
      <c r="K35" s="98">
        <f>SUM(K31:K34)</f>
        <v>72607</v>
      </c>
      <c r="L35" s="98">
        <f>SUMPRODUCT(K31:K34,L31:L34)/K35</f>
        <v>27.262302532813642</v>
      </c>
      <c r="M35" s="97">
        <f>SUMPRODUCT(K31:K34,M31:M34)/K35</f>
        <v>1.8235335435977247</v>
      </c>
    </row>
    <row r="39" spans="1:17">
      <c r="A39" s="195" t="s">
        <v>206</v>
      </c>
      <c r="B39" s="195"/>
      <c r="C39" s="195"/>
      <c r="D39" s="195"/>
      <c r="E39" s="195"/>
      <c r="F39" s="197" t="s">
        <v>204</v>
      </c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9"/>
    </row>
    <row r="40" spans="1:17">
      <c r="A40" s="196"/>
      <c r="B40" s="196"/>
      <c r="C40" s="196"/>
      <c r="D40" s="196"/>
      <c r="E40" s="196"/>
      <c r="F40" s="195" t="s">
        <v>203</v>
      </c>
      <c r="G40" s="195"/>
      <c r="H40" s="195"/>
      <c r="I40" s="195"/>
      <c r="J40" s="195" t="s">
        <v>202</v>
      </c>
      <c r="K40" s="195"/>
      <c r="L40" s="195"/>
      <c r="M40" s="195"/>
      <c r="N40" s="195" t="s">
        <v>201</v>
      </c>
      <c r="O40" s="195"/>
      <c r="P40" s="195"/>
      <c r="Q40" s="195"/>
    </row>
    <row r="41" spans="1:17" ht="63.75">
      <c r="A41" s="101" t="s">
        <v>175</v>
      </c>
      <c r="B41" s="101" t="s">
        <v>199</v>
      </c>
      <c r="C41" s="101" t="s">
        <v>198</v>
      </c>
      <c r="D41" s="102" t="s">
        <v>200</v>
      </c>
      <c r="E41" s="101" t="s">
        <v>196</v>
      </c>
      <c r="F41" s="101" t="s">
        <v>199</v>
      </c>
      <c r="G41" s="101" t="s">
        <v>198</v>
      </c>
      <c r="H41" s="101" t="s">
        <v>197</v>
      </c>
      <c r="I41" s="101" t="s">
        <v>196</v>
      </c>
      <c r="J41" s="101" t="s">
        <v>199</v>
      </c>
      <c r="K41" s="101" t="s">
        <v>198</v>
      </c>
      <c r="L41" s="101" t="s">
        <v>197</v>
      </c>
      <c r="M41" s="101" t="s">
        <v>196</v>
      </c>
      <c r="N41" s="101" t="s">
        <v>199</v>
      </c>
      <c r="O41" s="101" t="s">
        <v>198</v>
      </c>
      <c r="P41" s="101" t="s">
        <v>197</v>
      </c>
      <c r="Q41" s="101" t="s">
        <v>196</v>
      </c>
    </row>
    <row r="42" spans="1:17">
      <c r="A42" s="100" t="s">
        <v>176</v>
      </c>
      <c r="B42" s="98">
        <v>173</v>
      </c>
      <c r="C42" s="98">
        <v>10232</v>
      </c>
      <c r="D42" s="98">
        <v>192</v>
      </c>
      <c r="E42" s="97">
        <v>2.5</v>
      </c>
      <c r="F42" s="98">
        <v>77</v>
      </c>
      <c r="G42" s="98">
        <v>5887</v>
      </c>
      <c r="H42" s="98">
        <v>205</v>
      </c>
      <c r="I42" s="97">
        <v>1.6</v>
      </c>
      <c r="J42" s="98">
        <v>96</v>
      </c>
      <c r="K42" s="98">
        <v>4345</v>
      </c>
      <c r="L42" s="98">
        <v>173</v>
      </c>
      <c r="M42" s="97">
        <v>3.6</v>
      </c>
      <c r="N42" s="98" t="s">
        <v>195</v>
      </c>
      <c r="O42" s="98" t="s">
        <v>195</v>
      </c>
      <c r="P42" s="98" t="s">
        <v>195</v>
      </c>
      <c r="Q42" s="97" t="s">
        <v>195</v>
      </c>
    </row>
    <row r="43" spans="1:17">
      <c r="A43" s="100" t="s">
        <v>165</v>
      </c>
      <c r="B43" s="98">
        <v>54</v>
      </c>
      <c r="C43" s="98">
        <v>132</v>
      </c>
      <c r="D43" s="98">
        <v>105</v>
      </c>
      <c r="E43" s="97">
        <v>2.6</v>
      </c>
      <c r="F43" s="98">
        <v>34</v>
      </c>
      <c r="G43" s="98">
        <v>122</v>
      </c>
      <c r="H43" s="98">
        <v>104</v>
      </c>
      <c r="I43" s="97">
        <v>2.8</v>
      </c>
      <c r="J43" s="98">
        <v>10</v>
      </c>
      <c r="K43" s="98">
        <v>8</v>
      </c>
      <c r="L43" s="98">
        <v>99</v>
      </c>
      <c r="M43" s="97">
        <v>0.2</v>
      </c>
      <c r="N43" s="98">
        <v>10</v>
      </c>
      <c r="O43" s="98">
        <v>3</v>
      </c>
      <c r="P43" s="98">
        <v>195</v>
      </c>
      <c r="Q43" s="97">
        <v>1.4</v>
      </c>
    </row>
    <row r="44" spans="1:17">
      <c r="A44" s="100" t="s">
        <v>177</v>
      </c>
      <c r="B44" s="98">
        <v>645</v>
      </c>
      <c r="C44" s="98">
        <v>34173</v>
      </c>
      <c r="D44" s="98">
        <v>193</v>
      </c>
      <c r="E44" s="97">
        <v>1.3</v>
      </c>
      <c r="F44" s="98">
        <v>384</v>
      </c>
      <c r="G44" s="98">
        <v>34036</v>
      </c>
      <c r="H44" s="98">
        <v>194</v>
      </c>
      <c r="I44" s="97">
        <v>1.3</v>
      </c>
      <c r="J44" s="98">
        <v>5</v>
      </c>
      <c r="K44" s="98">
        <v>2</v>
      </c>
      <c r="L44" s="98">
        <v>179</v>
      </c>
      <c r="M44" s="97">
        <v>1</v>
      </c>
      <c r="N44" s="98">
        <v>256</v>
      </c>
      <c r="O44" s="98">
        <v>136</v>
      </c>
      <c r="P44" s="98">
        <v>166</v>
      </c>
      <c r="Q44" s="97">
        <v>1.5</v>
      </c>
    </row>
    <row r="45" spans="1:17">
      <c r="A45" s="100" t="s">
        <v>178</v>
      </c>
      <c r="B45" s="98">
        <v>182</v>
      </c>
      <c r="C45" s="98">
        <v>68424</v>
      </c>
      <c r="D45" s="98">
        <v>198</v>
      </c>
      <c r="E45" s="97">
        <v>2.2999999999999998</v>
      </c>
      <c r="F45" s="98">
        <v>131</v>
      </c>
      <c r="G45" s="98">
        <v>68166</v>
      </c>
      <c r="H45" s="98">
        <v>198</v>
      </c>
      <c r="I45" s="97">
        <v>2.2999999999999998</v>
      </c>
      <c r="J45" s="98">
        <v>8</v>
      </c>
      <c r="K45" s="98">
        <v>102</v>
      </c>
      <c r="L45" s="98">
        <v>203</v>
      </c>
      <c r="M45" s="97">
        <v>0.9</v>
      </c>
      <c r="N45" s="98">
        <v>43</v>
      </c>
      <c r="O45" s="98">
        <v>156</v>
      </c>
      <c r="P45" s="98">
        <v>170</v>
      </c>
      <c r="Q45" s="97">
        <v>2.8</v>
      </c>
    </row>
    <row r="46" spans="1:17">
      <c r="A46" s="99" t="s">
        <v>194</v>
      </c>
      <c r="B46" s="98">
        <f>SUM(B42:B45)</f>
        <v>1054</v>
      </c>
      <c r="C46" s="98">
        <f>SUM(C42:C45)</f>
        <v>112961</v>
      </c>
      <c r="D46" s="98">
        <f>SUMPRODUCT(C42:C45,D42:D45)/C46</f>
        <v>195.83524402227317</v>
      </c>
      <c r="E46" s="97">
        <f>SUMPRODUCT(C42:C45,E42:E45)/C46</f>
        <v>2.0159462115243314</v>
      </c>
      <c r="F46" s="98">
        <f>SUM(F42:F45)</f>
        <v>626</v>
      </c>
      <c r="G46" s="98">
        <f>SUM(G42:G45)</f>
        <v>108211</v>
      </c>
      <c r="H46" s="98">
        <f>SUMPRODUCT(G42:G45,H42:H45)/G46</f>
        <v>197.01670809806765</v>
      </c>
      <c r="I46" s="97">
        <f>SUMPRODUCT(G42:G45,I42:I45)/G46</f>
        <v>1.9479479905000416</v>
      </c>
      <c r="J46" s="98">
        <f>SUM(J42:J45)</f>
        <v>119</v>
      </c>
      <c r="K46" s="98">
        <f>SUM(K42:K45)</f>
        <v>4457</v>
      </c>
      <c r="L46" s="98">
        <f>SUMPRODUCT(K42:K45,L42:L45)/K46</f>
        <v>173.55642809064392</v>
      </c>
      <c r="M46" s="97">
        <f>SUMPRODUCT(K42:K45,M42:M45)/K46</f>
        <v>3.5309400942337894</v>
      </c>
      <c r="N46" s="98">
        <f>SUM(N42:N45)</f>
        <v>309</v>
      </c>
      <c r="O46" s="98">
        <f>SUM(O42:O45)</f>
        <v>295</v>
      </c>
      <c r="P46" s="98">
        <f>SUMPRODUCT(O42:O45,P42:P45)/O46</f>
        <v>168.41016949152544</v>
      </c>
      <c r="Q46" s="97">
        <f>SUMPRODUCT(O42:O45,Q42:Q45)/O46</f>
        <v>2.1864406779661016</v>
      </c>
    </row>
    <row r="50" spans="1:17">
      <c r="A50" s="195" t="s">
        <v>205</v>
      </c>
      <c r="B50" s="195"/>
      <c r="C50" s="195"/>
      <c r="D50" s="195"/>
      <c r="E50" s="195"/>
      <c r="F50" s="197" t="s">
        <v>204</v>
      </c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9"/>
    </row>
    <row r="51" spans="1:17">
      <c r="A51" s="196"/>
      <c r="B51" s="196"/>
      <c r="C51" s="196"/>
      <c r="D51" s="196"/>
      <c r="E51" s="196"/>
      <c r="F51" s="195" t="s">
        <v>203</v>
      </c>
      <c r="G51" s="195"/>
      <c r="H51" s="195"/>
      <c r="I51" s="195"/>
      <c r="J51" s="195" t="s">
        <v>202</v>
      </c>
      <c r="K51" s="195"/>
      <c r="L51" s="195"/>
      <c r="M51" s="195"/>
      <c r="N51" s="195" t="s">
        <v>201</v>
      </c>
      <c r="O51" s="195"/>
      <c r="P51" s="195"/>
      <c r="Q51" s="195"/>
    </row>
    <row r="52" spans="1:17" ht="63.75">
      <c r="A52" s="101" t="s">
        <v>175</v>
      </c>
      <c r="B52" s="101" t="s">
        <v>199</v>
      </c>
      <c r="C52" s="101" t="s">
        <v>198</v>
      </c>
      <c r="D52" s="102" t="s">
        <v>200</v>
      </c>
      <c r="E52" s="101" t="s">
        <v>196</v>
      </c>
      <c r="F52" s="101" t="s">
        <v>199</v>
      </c>
      <c r="G52" s="101" t="s">
        <v>198</v>
      </c>
      <c r="H52" s="101" t="s">
        <v>197</v>
      </c>
      <c r="I52" s="101" t="s">
        <v>196</v>
      </c>
      <c r="J52" s="101" t="s">
        <v>199</v>
      </c>
      <c r="K52" s="101" t="s">
        <v>198</v>
      </c>
      <c r="L52" s="101" t="s">
        <v>197</v>
      </c>
      <c r="M52" s="101" t="s">
        <v>196</v>
      </c>
      <c r="N52" s="101" t="s">
        <v>199</v>
      </c>
      <c r="O52" s="101" t="s">
        <v>198</v>
      </c>
      <c r="P52" s="101" t="s">
        <v>197</v>
      </c>
      <c r="Q52" s="101" t="s">
        <v>196</v>
      </c>
    </row>
    <row r="53" spans="1:17">
      <c r="A53" s="100" t="s">
        <v>176</v>
      </c>
      <c r="B53" s="98">
        <v>586</v>
      </c>
      <c r="C53" s="98">
        <v>345444</v>
      </c>
      <c r="D53" s="98">
        <v>402</v>
      </c>
      <c r="E53" s="97">
        <v>2</v>
      </c>
      <c r="F53" s="98">
        <v>570</v>
      </c>
      <c r="G53" s="98">
        <v>340357</v>
      </c>
      <c r="H53" s="98">
        <v>403</v>
      </c>
      <c r="I53" s="97">
        <v>2</v>
      </c>
      <c r="J53" s="98">
        <v>7</v>
      </c>
      <c r="K53" s="98">
        <v>3287</v>
      </c>
      <c r="L53" s="98">
        <v>280</v>
      </c>
      <c r="M53" s="97">
        <v>1.8</v>
      </c>
      <c r="N53" s="98">
        <v>9</v>
      </c>
      <c r="O53" s="98">
        <v>1800</v>
      </c>
      <c r="P53" s="98">
        <v>409</v>
      </c>
      <c r="Q53" s="97">
        <v>1.3</v>
      </c>
    </row>
    <row r="54" spans="1:17">
      <c r="A54" s="100" t="s">
        <v>165</v>
      </c>
      <c r="B54" s="98">
        <v>160</v>
      </c>
      <c r="C54" s="98">
        <v>3601</v>
      </c>
      <c r="D54" s="98">
        <v>322</v>
      </c>
      <c r="E54" s="97">
        <v>1.5</v>
      </c>
      <c r="F54" s="98">
        <v>140</v>
      </c>
      <c r="G54" s="98">
        <v>3599</v>
      </c>
      <c r="H54" s="98">
        <v>322</v>
      </c>
      <c r="I54" s="97">
        <v>1.5</v>
      </c>
      <c r="J54" s="98" t="s">
        <v>195</v>
      </c>
      <c r="K54" s="98" t="s">
        <v>195</v>
      </c>
      <c r="L54" s="98" t="s">
        <v>195</v>
      </c>
      <c r="M54" s="97" t="s">
        <v>195</v>
      </c>
      <c r="N54" s="98">
        <v>20</v>
      </c>
      <c r="O54" s="98">
        <v>3</v>
      </c>
      <c r="P54" s="98">
        <v>337</v>
      </c>
      <c r="Q54" s="97">
        <v>0.5</v>
      </c>
    </row>
    <row r="55" spans="1:17">
      <c r="A55" s="100" t="s">
        <v>177</v>
      </c>
      <c r="B55" s="98">
        <v>482</v>
      </c>
      <c r="C55" s="98">
        <v>35502</v>
      </c>
      <c r="D55" s="98">
        <v>344</v>
      </c>
      <c r="E55" s="97">
        <v>2.1</v>
      </c>
      <c r="F55" s="98">
        <v>238</v>
      </c>
      <c r="G55" s="98">
        <v>35293</v>
      </c>
      <c r="H55" s="98">
        <v>344</v>
      </c>
      <c r="I55" s="97">
        <v>2.1</v>
      </c>
      <c r="J55" s="98">
        <v>8</v>
      </c>
      <c r="K55" s="98">
        <v>131</v>
      </c>
      <c r="L55" s="98">
        <v>488</v>
      </c>
      <c r="M55" s="97">
        <v>4</v>
      </c>
      <c r="N55" s="98">
        <v>236</v>
      </c>
      <c r="O55" s="98">
        <v>78</v>
      </c>
      <c r="P55" s="98">
        <v>122</v>
      </c>
      <c r="Q55" s="97">
        <v>1.3</v>
      </c>
    </row>
    <row r="56" spans="1:17">
      <c r="A56" s="100" t="s">
        <v>178</v>
      </c>
      <c r="B56" s="98">
        <v>592</v>
      </c>
      <c r="C56" s="98">
        <v>136150</v>
      </c>
      <c r="D56" s="98">
        <v>512</v>
      </c>
      <c r="E56" s="97">
        <v>2.4</v>
      </c>
      <c r="F56" s="98">
        <v>508</v>
      </c>
      <c r="G56" s="98">
        <v>135156</v>
      </c>
      <c r="H56" s="98">
        <v>513</v>
      </c>
      <c r="I56" s="97">
        <v>2.4</v>
      </c>
      <c r="J56" s="98">
        <v>18</v>
      </c>
      <c r="K56" s="98">
        <v>833</v>
      </c>
      <c r="L56" s="98">
        <v>428</v>
      </c>
      <c r="M56" s="97">
        <v>2.5</v>
      </c>
      <c r="N56" s="98">
        <v>66</v>
      </c>
      <c r="O56" s="98">
        <v>161</v>
      </c>
      <c r="P56" s="98">
        <v>402</v>
      </c>
      <c r="Q56" s="97">
        <v>0.6</v>
      </c>
    </row>
    <row r="57" spans="1:17">
      <c r="A57" s="99" t="s">
        <v>194</v>
      </c>
      <c r="B57" s="98">
        <f>SUM(B53:B56)</f>
        <v>1820</v>
      </c>
      <c r="C57" s="98">
        <f>SUM(C53:C56)</f>
        <v>520697</v>
      </c>
      <c r="D57" s="98">
        <f>SUMPRODUCT(C53:C56,D53:D56)/C57</f>
        <v>426.25461256738566</v>
      </c>
      <c r="E57" s="97">
        <f>SUMPRODUCT(C53:C56,E53:E56)/C57</f>
        <v>2.1079508812226688</v>
      </c>
      <c r="F57" s="98">
        <f>SUM(F53:F56)</f>
        <v>1456</v>
      </c>
      <c r="G57" s="98">
        <f>SUM(G53:G56)</f>
        <v>514405</v>
      </c>
      <c r="H57" s="98">
        <f>SUMPRODUCT(G53:G56,H53:H56)/G57</f>
        <v>427.28699954316153</v>
      </c>
      <c r="I57" s="97">
        <f>SUMPRODUCT(G53:G56,I53:I56)/G57</f>
        <v>2.1084596767138732</v>
      </c>
      <c r="J57" s="98">
        <f>SUM(J53:J56)</f>
        <v>33</v>
      </c>
      <c r="K57" s="98">
        <f>SUM(K53:K56)</f>
        <v>4251</v>
      </c>
      <c r="L57" s="98">
        <f>SUMPRODUCT(K53:K56,L53:L56)/K57</f>
        <v>315.41096212655845</v>
      </c>
      <c r="M57" s="97">
        <f>SUMPRODUCT(K53:K56,M53:M56)/K57</f>
        <v>2.0049635379910611</v>
      </c>
      <c r="N57" s="98">
        <f>SUM(N53:N56)</f>
        <v>331</v>
      </c>
      <c r="O57" s="98">
        <f>SUM(O53:O56)</f>
        <v>2042</v>
      </c>
      <c r="P57" s="98">
        <f>SUMPRODUCT(O53:O56,P53:P56)/O57</f>
        <v>397.37952987267386</v>
      </c>
      <c r="Q57" s="97">
        <f>SUMPRODUCT(O53:O56,Q53:Q56)/O57</f>
        <v>1.2436336924583742</v>
      </c>
    </row>
  </sheetData>
  <mergeCells count="27">
    <mergeCell ref="N40:Q40"/>
    <mergeCell ref="F39:Q39"/>
    <mergeCell ref="F50:Q50"/>
    <mergeCell ref="N51:Q51"/>
    <mergeCell ref="A39:E39"/>
    <mergeCell ref="A40:E40"/>
    <mergeCell ref="F40:I40"/>
    <mergeCell ref="J40:M40"/>
    <mergeCell ref="A50:E50"/>
    <mergeCell ref="A51:E51"/>
    <mergeCell ref="F51:I51"/>
    <mergeCell ref="J51:M51"/>
    <mergeCell ref="A28:E28"/>
    <mergeCell ref="F28:M28"/>
    <mergeCell ref="A29:E29"/>
    <mergeCell ref="F29:I29"/>
    <mergeCell ref="J29:M29"/>
    <mergeCell ref="A6:E6"/>
    <mergeCell ref="F6:M6"/>
    <mergeCell ref="A7:E7"/>
    <mergeCell ref="F7:I7"/>
    <mergeCell ref="J7:M7"/>
    <mergeCell ref="A17:E17"/>
    <mergeCell ref="F17:M17"/>
    <mergeCell ref="A18:E18"/>
    <mergeCell ref="F18:I18"/>
    <mergeCell ref="J18:M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8">
    <tabColor rgb="FFFF0000"/>
  </sheetPr>
  <dimension ref="A1:AC27"/>
  <sheetViews>
    <sheetView zoomScale="110" zoomScaleNormal="110" workbookViewId="0">
      <selection activeCell="L11" activeCellId="2" sqref="A1:AC27"/>
    </sheetView>
  </sheetViews>
  <sheetFormatPr defaultRowHeight="12.75"/>
  <cols>
    <col min="1" max="16384" width="9.140625" style="107"/>
  </cols>
  <sheetData>
    <row r="1" spans="1:29">
      <c r="A1" s="107" t="s">
        <v>217</v>
      </c>
    </row>
    <row r="2" spans="1:29">
      <c r="A2" s="107" t="s">
        <v>236</v>
      </c>
      <c r="H2" s="107" t="s">
        <v>235</v>
      </c>
    </row>
    <row r="3" spans="1:29" ht="13.5" thickBot="1"/>
    <row r="4" spans="1:29" ht="13.5" thickBot="1">
      <c r="A4" s="132" t="s">
        <v>234</v>
      </c>
      <c r="B4" s="106"/>
      <c r="C4" s="131"/>
      <c r="D4" s="131"/>
      <c r="E4" s="200" t="s">
        <v>233</v>
      </c>
      <c r="F4" s="201"/>
      <c r="G4" s="201"/>
      <c r="H4" s="201"/>
      <c r="I4" s="201"/>
      <c r="J4" s="201"/>
      <c r="K4" s="201"/>
      <c r="L4" s="201"/>
      <c r="M4" s="202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</row>
    <row r="5" spans="1:29">
      <c r="A5" s="207" t="s">
        <v>175</v>
      </c>
      <c r="B5" s="203" t="s">
        <v>232</v>
      </c>
      <c r="C5" s="204"/>
      <c r="D5" s="210"/>
      <c r="E5" s="212" t="s">
        <v>231</v>
      </c>
      <c r="F5" s="206"/>
      <c r="G5" s="206"/>
      <c r="H5" s="206" t="s">
        <v>230</v>
      </c>
      <c r="I5" s="206"/>
      <c r="J5" s="206"/>
      <c r="K5" s="206" t="s">
        <v>229</v>
      </c>
      <c r="L5" s="213"/>
      <c r="M5" s="214"/>
      <c r="N5" s="203" t="s">
        <v>228</v>
      </c>
      <c r="O5" s="204"/>
      <c r="P5" s="204"/>
      <c r="Q5" s="204" t="s">
        <v>227</v>
      </c>
      <c r="R5" s="204"/>
      <c r="S5" s="204"/>
      <c r="T5" s="204" t="s">
        <v>226</v>
      </c>
      <c r="U5" s="204"/>
      <c r="V5" s="204"/>
      <c r="W5" s="204" t="s">
        <v>225</v>
      </c>
      <c r="X5" s="204"/>
      <c r="Y5" s="204"/>
      <c r="Z5" s="204" t="s">
        <v>224</v>
      </c>
      <c r="AA5" s="204"/>
      <c r="AB5" s="210"/>
      <c r="AC5" s="106"/>
    </row>
    <row r="6" spans="1:29" ht="13.5" thickBot="1">
      <c r="A6" s="208"/>
      <c r="B6" s="205"/>
      <c r="C6" s="206"/>
      <c r="D6" s="211"/>
      <c r="E6" s="212" t="s">
        <v>223</v>
      </c>
      <c r="F6" s="206"/>
      <c r="G6" s="206"/>
      <c r="H6" s="206" t="s">
        <v>222</v>
      </c>
      <c r="I6" s="206"/>
      <c r="J6" s="206"/>
      <c r="K6" s="206" t="s">
        <v>221</v>
      </c>
      <c r="L6" s="213"/>
      <c r="M6" s="214"/>
      <c r="N6" s="205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11"/>
      <c r="AC6" s="106"/>
    </row>
    <row r="7" spans="1:29" ht="51">
      <c r="A7" s="209"/>
      <c r="B7" s="127" t="s">
        <v>199</v>
      </c>
      <c r="C7" s="126" t="s">
        <v>220</v>
      </c>
      <c r="D7" s="130" t="s">
        <v>219</v>
      </c>
      <c r="E7" s="129" t="s">
        <v>199</v>
      </c>
      <c r="F7" s="126" t="s">
        <v>220</v>
      </c>
      <c r="G7" s="126" t="s">
        <v>219</v>
      </c>
      <c r="H7" s="126" t="s">
        <v>199</v>
      </c>
      <c r="I7" s="126" t="s">
        <v>220</v>
      </c>
      <c r="J7" s="126" t="s">
        <v>219</v>
      </c>
      <c r="K7" s="126" t="s">
        <v>199</v>
      </c>
      <c r="L7" s="126" t="s">
        <v>220</v>
      </c>
      <c r="M7" s="128" t="s">
        <v>219</v>
      </c>
      <c r="N7" s="127" t="s">
        <v>199</v>
      </c>
      <c r="O7" s="126" t="s">
        <v>220</v>
      </c>
      <c r="P7" s="102" t="s">
        <v>219</v>
      </c>
      <c r="Q7" s="126" t="s">
        <v>199</v>
      </c>
      <c r="R7" s="126" t="s">
        <v>220</v>
      </c>
      <c r="S7" s="102" t="s">
        <v>219</v>
      </c>
      <c r="T7" s="126" t="s">
        <v>199</v>
      </c>
      <c r="U7" s="126" t="s">
        <v>220</v>
      </c>
      <c r="V7" s="102" t="s">
        <v>219</v>
      </c>
      <c r="W7" s="126" t="s">
        <v>199</v>
      </c>
      <c r="X7" s="126" t="s">
        <v>220</v>
      </c>
      <c r="Y7" s="102" t="s">
        <v>219</v>
      </c>
      <c r="Z7" s="126" t="s">
        <v>199</v>
      </c>
      <c r="AA7" s="126" t="s">
        <v>220</v>
      </c>
      <c r="AB7" s="125" t="s">
        <v>219</v>
      </c>
      <c r="AC7" s="124" t="s">
        <v>218</v>
      </c>
    </row>
    <row r="8" spans="1:29">
      <c r="A8" s="123" t="s">
        <v>176</v>
      </c>
      <c r="B8" s="122">
        <v>8249</v>
      </c>
      <c r="C8" s="118">
        <v>3088161</v>
      </c>
      <c r="D8" s="120">
        <f>C8/C$12</f>
        <v>0.47519241750617308</v>
      </c>
      <c r="E8" s="121">
        <v>342</v>
      </c>
      <c r="F8" s="118">
        <v>230707</v>
      </c>
      <c r="G8" s="120">
        <f>F8/F$12</f>
        <v>0.48309430627710387</v>
      </c>
      <c r="H8" s="100">
        <v>1748</v>
      </c>
      <c r="I8" s="118">
        <v>1285602</v>
      </c>
      <c r="J8" s="120">
        <f>I8/I$12</f>
        <v>0.56143086039494872</v>
      </c>
      <c r="K8" s="100">
        <v>1206</v>
      </c>
      <c r="L8" s="118">
        <v>713280</v>
      </c>
      <c r="M8" s="120">
        <f>L8/L$12</f>
        <v>0.44833110931904935</v>
      </c>
      <c r="N8" s="119">
        <v>518</v>
      </c>
      <c r="O8" s="100">
        <v>124792</v>
      </c>
      <c r="P8" s="104">
        <f>O8/O$12</f>
        <v>0.57065249699336484</v>
      </c>
      <c r="Q8" s="99">
        <v>2784</v>
      </c>
      <c r="R8" s="99">
        <v>458719</v>
      </c>
      <c r="S8" s="104">
        <f>R8/R$12</f>
        <v>0.4882482544277929</v>
      </c>
      <c r="T8" s="99">
        <v>4261</v>
      </c>
      <c r="U8" s="99">
        <v>199658</v>
      </c>
      <c r="V8" s="104">
        <f>U8/U$12</f>
        <v>0.48478211780474006</v>
      </c>
      <c r="W8" s="100">
        <v>1005</v>
      </c>
      <c r="X8" s="100">
        <v>43178</v>
      </c>
      <c r="Y8" s="104">
        <f>X8/X$12</f>
        <v>0.15009507388648838</v>
      </c>
      <c r="Z8" s="99">
        <v>403</v>
      </c>
      <c r="AA8" s="99">
        <v>5906</v>
      </c>
      <c r="AB8" s="117">
        <f>AA8/AA$12</f>
        <v>3.7042379844329176E-2</v>
      </c>
      <c r="AC8" s="116">
        <f>C8/B8</f>
        <v>374.36792338465267</v>
      </c>
    </row>
    <row r="9" spans="1:29">
      <c r="A9" s="123" t="s">
        <v>165</v>
      </c>
      <c r="B9" s="122">
        <v>3208</v>
      </c>
      <c r="C9" s="118">
        <v>849332</v>
      </c>
      <c r="D9" s="120">
        <f>C9/C$12</f>
        <v>0.13069141354526304</v>
      </c>
      <c r="E9" s="121">
        <v>267</v>
      </c>
      <c r="F9" s="118">
        <v>58240</v>
      </c>
      <c r="G9" s="120">
        <f>F9/F$12</f>
        <v>0.12195300705040822</v>
      </c>
      <c r="H9" s="100">
        <v>791</v>
      </c>
      <c r="I9" s="118">
        <v>309955</v>
      </c>
      <c r="J9" s="120">
        <f>I9/I$12</f>
        <v>0.13535938986849455</v>
      </c>
      <c r="K9" s="100">
        <v>435</v>
      </c>
      <c r="L9" s="118">
        <v>227395</v>
      </c>
      <c r="M9" s="120">
        <f>L9/L$12</f>
        <v>0.14292879739177494</v>
      </c>
      <c r="N9" s="119">
        <v>227</v>
      </c>
      <c r="O9" s="100">
        <v>14067</v>
      </c>
      <c r="P9" s="104">
        <f>O9/O$12</f>
        <v>6.4325987845420082E-2</v>
      </c>
      <c r="Q9" s="99">
        <v>1352</v>
      </c>
      <c r="R9" s="99">
        <v>164267</v>
      </c>
      <c r="S9" s="104">
        <f>R9/R$12</f>
        <v>0.17484140837874659</v>
      </c>
      <c r="T9" s="99">
        <v>1074</v>
      </c>
      <c r="U9" s="99">
        <v>44766</v>
      </c>
      <c r="V9" s="104">
        <f>U9/U$12</f>
        <v>0.1086946492785012</v>
      </c>
      <c r="W9" s="100">
        <v>144</v>
      </c>
      <c r="X9" s="100">
        <v>4297</v>
      </c>
      <c r="Y9" s="104">
        <f>X9/X$12</f>
        <v>1.4937202568211603E-2</v>
      </c>
      <c r="Z9" s="99">
        <v>304</v>
      </c>
      <c r="AA9" s="99">
        <v>8539</v>
      </c>
      <c r="AB9" s="117">
        <f>AA9/AA$12</f>
        <v>5.355653259240211E-2</v>
      </c>
      <c r="AC9" s="116">
        <f>C9/B9</f>
        <v>264.75436408977555</v>
      </c>
    </row>
    <row r="10" spans="1:29">
      <c r="A10" s="123" t="s">
        <v>177</v>
      </c>
      <c r="B10" s="122">
        <v>8800</v>
      </c>
      <c r="C10" s="118">
        <v>1141042</v>
      </c>
      <c r="D10" s="120">
        <f>C10/C$12</f>
        <v>0.17557844505389414</v>
      </c>
      <c r="E10" s="121">
        <v>362</v>
      </c>
      <c r="F10" s="118">
        <v>73681</v>
      </c>
      <c r="G10" s="120">
        <f>F10/F$12</f>
        <v>0.15428604932144793</v>
      </c>
      <c r="H10" s="100">
        <v>1115</v>
      </c>
      <c r="I10" s="118">
        <v>267691</v>
      </c>
      <c r="J10" s="120">
        <f>I10/I$12</f>
        <v>0.11690242271712724</v>
      </c>
      <c r="K10" s="100">
        <v>603</v>
      </c>
      <c r="L10" s="118">
        <v>201770</v>
      </c>
      <c r="M10" s="120">
        <f>L10/L$12</f>
        <v>0.12682224081329155</v>
      </c>
      <c r="N10" s="119">
        <v>465</v>
      </c>
      <c r="O10" s="118">
        <v>60204</v>
      </c>
      <c r="P10" s="104">
        <f>O10/O$12</f>
        <v>0.27530260696990622</v>
      </c>
      <c r="Q10" s="99">
        <v>2240</v>
      </c>
      <c r="R10" s="99">
        <v>224305</v>
      </c>
      <c r="S10" s="104">
        <f>R10/R$12</f>
        <v>0.23874425238419619</v>
      </c>
      <c r="T10" s="99">
        <v>3278</v>
      </c>
      <c r="U10" s="99">
        <v>121504</v>
      </c>
      <c r="V10" s="104">
        <f>U10/U$12</f>
        <v>0.29501931523779229</v>
      </c>
      <c r="W10" s="100">
        <v>2073</v>
      </c>
      <c r="X10" s="118">
        <v>69242</v>
      </c>
      <c r="Y10" s="104">
        <f>X10/X$12</f>
        <v>0.24069857580360898</v>
      </c>
      <c r="Z10" s="99">
        <v>1601</v>
      </c>
      <c r="AA10" s="99">
        <v>88896</v>
      </c>
      <c r="AB10" s="117">
        <f>AA10/AA$12</f>
        <v>0.55755492696266284</v>
      </c>
      <c r="AC10" s="116">
        <f>C10/B10</f>
        <v>129.66386363636363</v>
      </c>
    </row>
    <row r="11" spans="1:29" ht="25.5">
      <c r="A11" s="123" t="s">
        <v>178</v>
      </c>
      <c r="B11" s="122">
        <v>8618</v>
      </c>
      <c r="C11" s="118">
        <v>1420224</v>
      </c>
      <c r="D11" s="120">
        <f>C11/C$12</f>
        <v>0.21853772389466974</v>
      </c>
      <c r="E11" s="121">
        <v>218</v>
      </c>
      <c r="F11" s="118">
        <v>114933</v>
      </c>
      <c r="G11" s="120">
        <f>F11/F$12</f>
        <v>0.24066663735103996</v>
      </c>
      <c r="H11" s="100">
        <v>834</v>
      </c>
      <c r="I11" s="118">
        <v>426619</v>
      </c>
      <c r="J11" s="120">
        <f>I11/I$12</f>
        <v>0.18630732701942951</v>
      </c>
      <c r="K11" s="100">
        <v>807</v>
      </c>
      <c r="L11" s="118">
        <v>448522</v>
      </c>
      <c r="M11" s="120">
        <f>L11/L$12</f>
        <v>0.28191785247588419</v>
      </c>
      <c r="N11" s="119">
        <v>491</v>
      </c>
      <c r="O11" s="100">
        <v>19620</v>
      </c>
      <c r="P11" s="104">
        <f>O11/O$12</f>
        <v>8.9718908191308885E-2</v>
      </c>
      <c r="Q11" s="99">
        <v>1309</v>
      </c>
      <c r="R11" s="99">
        <v>92229</v>
      </c>
      <c r="S11" s="104">
        <f>R11/R$12</f>
        <v>9.8166084809264309E-2</v>
      </c>
      <c r="T11" s="99">
        <v>3529</v>
      </c>
      <c r="U11" s="99">
        <v>45923</v>
      </c>
      <c r="V11" s="104">
        <f>U11/U$12</f>
        <v>0.11150391767896642</v>
      </c>
      <c r="W11" s="118">
        <v>3236</v>
      </c>
      <c r="X11" s="118">
        <v>170954</v>
      </c>
      <c r="Y11" s="104">
        <f>X11/X$12</f>
        <v>0.59426914774169104</v>
      </c>
      <c r="Z11" s="99">
        <v>517</v>
      </c>
      <c r="AA11" s="99">
        <v>56098</v>
      </c>
      <c r="AB11" s="117">
        <f>AA11/AA$12</f>
        <v>0.35184616060060586</v>
      </c>
      <c r="AC11" s="116">
        <f>C11/B11</f>
        <v>164.79740078904618</v>
      </c>
    </row>
    <row r="12" spans="1:29" ht="13.5" thickBot="1">
      <c r="A12" s="115" t="s">
        <v>194</v>
      </c>
      <c r="B12" s="113">
        <f>SUM(B8:B11)</f>
        <v>28875</v>
      </c>
      <c r="C12" s="110">
        <f>SUM(C8:C11)</f>
        <v>6498759</v>
      </c>
      <c r="D12" s="112">
        <f>C12/C$12</f>
        <v>1</v>
      </c>
      <c r="E12" s="114">
        <f>SUM(E8:E11)</f>
        <v>1189</v>
      </c>
      <c r="F12" s="110">
        <f>SUM(F8:F11)</f>
        <v>477561</v>
      </c>
      <c r="G12" s="112">
        <f>F12/F$12</f>
        <v>1</v>
      </c>
      <c r="H12" s="110">
        <f>SUM(H8:H11)</f>
        <v>4488</v>
      </c>
      <c r="I12" s="110">
        <f>SUM(I8:I11)</f>
        <v>2289867</v>
      </c>
      <c r="J12" s="112">
        <f>I12/I$12</f>
        <v>1</v>
      </c>
      <c r="K12" s="113">
        <f>SUM(K8:K11)</f>
        <v>3051</v>
      </c>
      <c r="L12" s="110">
        <f>SUM(L8:L11)</f>
        <v>1590967</v>
      </c>
      <c r="M12" s="112">
        <f>L12/L$12</f>
        <v>1</v>
      </c>
      <c r="N12" s="110">
        <f>SUM(N8:N11)</f>
        <v>1701</v>
      </c>
      <c r="O12" s="110">
        <f>SUM(O8:O11)</f>
        <v>218683</v>
      </c>
      <c r="P12" s="111">
        <f>O12/O$12</f>
        <v>1</v>
      </c>
      <c r="Q12" s="110">
        <f>SUM(Q8:Q11)</f>
        <v>7685</v>
      </c>
      <c r="R12" s="110">
        <f>SUM(R8:R11)</f>
        <v>939520</v>
      </c>
      <c r="S12" s="111">
        <f>R12/R$12</f>
        <v>1</v>
      </c>
      <c r="T12" s="110">
        <f>SUM(T8:T11)</f>
        <v>12142</v>
      </c>
      <c r="U12" s="110">
        <f>SUM(U8:U11)</f>
        <v>411851</v>
      </c>
      <c r="V12" s="111">
        <f>U12/U$12</f>
        <v>1</v>
      </c>
      <c r="W12" s="110">
        <f>SUM(W8:W11)</f>
        <v>6458</v>
      </c>
      <c r="X12" s="110">
        <f>SUM(X8:X11)</f>
        <v>287671</v>
      </c>
      <c r="Y12" s="111">
        <f>X12/X$12</f>
        <v>1</v>
      </c>
      <c r="Z12" s="110">
        <f>SUM(Z8:Z11)</f>
        <v>2825</v>
      </c>
      <c r="AA12" s="110">
        <f>SUM(AA8:AA11)</f>
        <v>159439</v>
      </c>
      <c r="AB12" s="109">
        <f>AA12/AA$12</f>
        <v>1</v>
      </c>
      <c r="AC12" s="108">
        <f>C12/B12</f>
        <v>225.06524675324675</v>
      </c>
    </row>
    <row r="16" spans="1:29">
      <c r="A16" s="107" t="s">
        <v>217</v>
      </c>
    </row>
    <row r="17" spans="1:29">
      <c r="A17" s="107" t="s">
        <v>339</v>
      </c>
      <c r="H17" s="107" t="s">
        <v>325</v>
      </c>
      <c r="J17" s="107" t="s">
        <v>326</v>
      </c>
      <c r="K17" t="s">
        <v>327</v>
      </c>
    </row>
    <row r="18" spans="1:29" ht="13.5" thickBot="1"/>
    <row r="19" spans="1:29" ht="13.5" thickBot="1">
      <c r="A19" s="132" t="s">
        <v>234</v>
      </c>
      <c r="B19" s="95"/>
      <c r="C19" s="95"/>
      <c r="D19" s="95"/>
      <c r="E19" s="215" t="s">
        <v>233</v>
      </c>
      <c r="F19" s="216"/>
      <c r="G19" s="216"/>
      <c r="H19" s="216"/>
      <c r="I19" s="216"/>
      <c r="J19" s="216"/>
      <c r="K19" s="216"/>
      <c r="L19" s="216"/>
      <c r="M19" s="217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</row>
    <row r="20" spans="1:29">
      <c r="A20" s="207" t="s">
        <v>175</v>
      </c>
      <c r="B20" s="203" t="s">
        <v>232</v>
      </c>
      <c r="C20" s="204"/>
      <c r="D20" s="210"/>
      <c r="E20" s="218" t="s">
        <v>231</v>
      </c>
      <c r="F20" s="218"/>
      <c r="G20" s="219"/>
      <c r="H20" s="220" t="s">
        <v>230</v>
      </c>
      <c r="I20" s="218"/>
      <c r="J20" s="219"/>
      <c r="K20" s="218" t="s">
        <v>229</v>
      </c>
      <c r="L20" s="221"/>
      <c r="M20" s="221"/>
      <c r="N20" s="203" t="s">
        <v>228</v>
      </c>
      <c r="O20" s="204"/>
      <c r="P20" s="204"/>
      <c r="Q20" s="204" t="s">
        <v>323</v>
      </c>
      <c r="R20" s="204"/>
      <c r="S20" s="204"/>
      <c r="T20" s="204" t="s">
        <v>226</v>
      </c>
      <c r="U20" s="204"/>
      <c r="V20" s="204"/>
      <c r="W20" s="204" t="s">
        <v>225</v>
      </c>
      <c r="X20" s="204"/>
      <c r="Y20" s="204"/>
      <c r="Z20" s="204" t="s">
        <v>224</v>
      </c>
      <c r="AA20" s="204"/>
      <c r="AB20" s="210"/>
      <c r="AC20" s="165"/>
    </row>
    <row r="21" spans="1:29">
      <c r="A21" s="208"/>
      <c r="B21" s="205"/>
      <c r="C21" s="206"/>
      <c r="D21" s="211"/>
      <c r="E21" s="222" t="s">
        <v>223</v>
      </c>
      <c r="F21" s="222"/>
      <c r="G21" s="223"/>
      <c r="H21" s="224" t="s">
        <v>222</v>
      </c>
      <c r="I21" s="222"/>
      <c r="J21" s="223"/>
      <c r="K21" s="222" t="s">
        <v>221</v>
      </c>
      <c r="L21" s="225"/>
      <c r="M21" s="225"/>
      <c r="N21" s="205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11"/>
      <c r="AC21" s="165"/>
    </row>
    <row r="22" spans="1:29" ht="51">
      <c r="A22" s="209"/>
      <c r="B22" s="127" t="s">
        <v>199</v>
      </c>
      <c r="C22" s="126" t="s">
        <v>220</v>
      </c>
      <c r="D22" s="130" t="s">
        <v>324</v>
      </c>
      <c r="E22" s="166" t="s">
        <v>199</v>
      </c>
      <c r="F22" s="166" t="s">
        <v>220</v>
      </c>
      <c r="G22" s="166" t="s">
        <v>324</v>
      </c>
      <c r="H22" s="166" t="s">
        <v>199</v>
      </c>
      <c r="I22" s="166" t="s">
        <v>220</v>
      </c>
      <c r="J22" s="166" t="s">
        <v>324</v>
      </c>
      <c r="K22" s="166" t="s">
        <v>199</v>
      </c>
      <c r="L22" s="166" t="s">
        <v>220</v>
      </c>
      <c r="M22" s="167" t="s">
        <v>324</v>
      </c>
      <c r="N22" s="168" t="s">
        <v>199</v>
      </c>
      <c r="O22" s="166" t="s">
        <v>220</v>
      </c>
      <c r="P22" s="166" t="s">
        <v>324</v>
      </c>
      <c r="Q22" s="126" t="s">
        <v>199</v>
      </c>
      <c r="R22" s="126" t="s">
        <v>220</v>
      </c>
      <c r="S22" s="126" t="s">
        <v>324</v>
      </c>
      <c r="T22" s="126" t="s">
        <v>199</v>
      </c>
      <c r="U22" s="126" t="s">
        <v>220</v>
      </c>
      <c r="V22" s="126" t="s">
        <v>324</v>
      </c>
      <c r="W22" s="126" t="s">
        <v>199</v>
      </c>
      <c r="X22" s="126" t="s">
        <v>220</v>
      </c>
      <c r="Y22" s="126" t="s">
        <v>324</v>
      </c>
      <c r="Z22" s="126" t="s">
        <v>199</v>
      </c>
      <c r="AA22" s="126" t="s">
        <v>220</v>
      </c>
      <c r="AB22" s="130" t="s">
        <v>324</v>
      </c>
      <c r="AC22" s="129" t="s">
        <v>218</v>
      </c>
    </row>
    <row r="23" spans="1:29">
      <c r="A23" s="123" t="s">
        <v>176</v>
      </c>
      <c r="B23" s="122">
        <v>5922</v>
      </c>
      <c r="C23" s="118">
        <v>2488172</v>
      </c>
      <c r="D23" s="182">
        <v>1.6</v>
      </c>
      <c r="E23" s="121">
        <v>121</v>
      </c>
      <c r="F23" s="118">
        <v>66956</v>
      </c>
      <c r="G23" s="182">
        <v>1.1000000000000001</v>
      </c>
      <c r="H23" s="100">
        <v>442</v>
      </c>
      <c r="I23" s="118">
        <v>434862</v>
      </c>
      <c r="J23" s="182">
        <v>1.8</v>
      </c>
      <c r="K23" s="100">
        <v>228</v>
      </c>
      <c r="L23" s="118">
        <v>238099</v>
      </c>
      <c r="M23" s="182">
        <v>1.6</v>
      </c>
      <c r="N23" s="119">
        <v>16</v>
      </c>
      <c r="O23" s="100">
        <v>2560</v>
      </c>
      <c r="P23" s="182">
        <v>2.5</v>
      </c>
      <c r="Q23" s="99"/>
      <c r="R23" s="99"/>
      <c r="S23" s="182">
        <v>1.6</v>
      </c>
      <c r="T23" s="99">
        <v>1774</v>
      </c>
      <c r="U23" s="99">
        <v>17924</v>
      </c>
      <c r="V23" s="182">
        <v>1</v>
      </c>
      <c r="W23" s="100">
        <v>261</v>
      </c>
      <c r="X23" s="100">
        <v>10349</v>
      </c>
      <c r="Y23" s="182">
        <v>0.6</v>
      </c>
      <c r="Z23" s="99" t="s">
        <v>195</v>
      </c>
      <c r="AA23" s="99" t="s">
        <v>195</v>
      </c>
      <c r="AB23" s="182" t="s">
        <v>195</v>
      </c>
      <c r="AC23" s="116">
        <f>C23/B23</f>
        <v>420.15737926376227</v>
      </c>
    </row>
    <row r="24" spans="1:29">
      <c r="A24" s="123" t="s">
        <v>165</v>
      </c>
      <c r="B24" s="122">
        <v>1722</v>
      </c>
      <c r="C24" s="118">
        <v>410310</v>
      </c>
      <c r="D24" s="182">
        <v>1.1000000000000001</v>
      </c>
      <c r="E24" s="121">
        <v>86</v>
      </c>
      <c r="F24" s="118">
        <v>8040</v>
      </c>
      <c r="G24" s="182">
        <v>1.4</v>
      </c>
      <c r="H24" s="100">
        <v>191</v>
      </c>
      <c r="I24" s="118">
        <v>74829</v>
      </c>
      <c r="J24" s="182">
        <v>1.1000000000000001</v>
      </c>
      <c r="K24" s="100">
        <v>72</v>
      </c>
      <c r="L24" s="118">
        <v>36378</v>
      </c>
      <c r="M24" s="182">
        <v>0.9</v>
      </c>
      <c r="N24" s="119" t="s">
        <v>195</v>
      </c>
      <c r="O24" s="100" t="s">
        <v>195</v>
      </c>
      <c r="P24" s="182" t="s">
        <v>195</v>
      </c>
      <c r="Q24" s="99"/>
      <c r="R24" s="99"/>
      <c r="S24" s="182">
        <v>0.9</v>
      </c>
      <c r="T24" s="99">
        <v>286</v>
      </c>
      <c r="U24" s="99">
        <v>11295</v>
      </c>
      <c r="V24" s="182">
        <v>1.1000000000000001</v>
      </c>
      <c r="W24" s="100">
        <v>3</v>
      </c>
      <c r="X24" s="100">
        <v>48</v>
      </c>
      <c r="Y24" s="182">
        <v>1</v>
      </c>
      <c r="Z24" s="99">
        <v>83</v>
      </c>
      <c r="AA24" s="99">
        <v>830</v>
      </c>
      <c r="AB24" s="182">
        <v>1.3</v>
      </c>
      <c r="AC24" s="116">
        <f>C24/B24</f>
        <v>238.27526132404182</v>
      </c>
    </row>
    <row r="25" spans="1:29">
      <c r="A25" s="123" t="s">
        <v>177</v>
      </c>
      <c r="B25" s="122">
        <v>6098</v>
      </c>
      <c r="C25" s="118">
        <v>787128</v>
      </c>
      <c r="D25" s="182">
        <v>1.5</v>
      </c>
      <c r="E25" s="121">
        <v>21</v>
      </c>
      <c r="F25" s="118">
        <v>10125</v>
      </c>
      <c r="G25" s="182">
        <v>1.5</v>
      </c>
      <c r="H25" s="100">
        <v>335</v>
      </c>
      <c r="I25" s="118">
        <v>128652</v>
      </c>
      <c r="J25" s="182">
        <v>2.1</v>
      </c>
      <c r="K25" s="100">
        <v>286</v>
      </c>
      <c r="L25" s="118">
        <v>81848</v>
      </c>
      <c r="M25" s="182">
        <v>1.6</v>
      </c>
      <c r="N25" s="119">
        <v>18</v>
      </c>
      <c r="O25" s="118">
        <v>796</v>
      </c>
      <c r="P25" s="182">
        <v>1.3</v>
      </c>
      <c r="Q25" s="99"/>
      <c r="R25" s="99"/>
      <c r="S25" s="182">
        <v>2.5</v>
      </c>
      <c r="T25" s="99">
        <v>1356</v>
      </c>
      <c r="U25" s="99">
        <v>35401</v>
      </c>
      <c r="V25" s="182">
        <v>1.7</v>
      </c>
      <c r="W25" s="100">
        <v>879</v>
      </c>
      <c r="X25" s="118">
        <v>30685</v>
      </c>
      <c r="Y25" s="182">
        <v>1.2</v>
      </c>
      <c r="Z25" s="99">
        <v>536</v>
      </c>
      <c r="AA25" s="99">
        <v>17162</v>
      </c>
      <c r="AB25" s="182">
        <v>1.3</v>
      </c>
      <c r="AC25" s="116">
        <f>C25/B25</f>
        <v>129.07969826172516</v>
      </c>
    </row>
    <row r="26" spans="1:29" ht="25.5">
      <c r="A26" s="123" t="s">
        <v>178</v>
      </c>
      <c r="B26" s="122">
        <v>6991</v>
      </c>
      <c r="C26" s="118">
        <v>1080189</v>
      </c>
      <c r="D26" s="182">
        <v>2</v>
      </c>
      <c r="E26" s="121">
        <v>57</v>
      </c>
      <c r="F26" s="118">
        <v>44144</v>
      </c>
      <c r="G26" s="182">
        <v>3</v>
      </c>
      <c r="H26" s="100">
        <v>167</v>
      </c>
      <c r="I26" s="118">
        <v>176917</v>
      </c>
      <c r="J26" s="182">
        <v>2.1</v>
      </c>
      <c r="K26" s="100">
        <v>140</v>
      </c>
      <c r="L26" s="118">
        <v>228596</v>
      </c>
      <c r="M26" s="182">
        <v>2.1</v>
      </c>
      <c r="N26" s="119">
        <v>168</v>
      </c>
      <c r="O26" s="100">
        <v>1344</v>
      </c>
      <c r="P26" s="182">
        <v>0.6</v>
      </c>
      <c r="Q26" s="99"/>
      <c r="R26" s="99"/>
      <c r="S26" s="182">
        <v>1.9</v>
      </c>
      <c r="T26" s="99">
        <v>2134</v>
      </c>
      <c r="U26" s="99">
        <v>20146</v>
      </c>
      <c r="V26" s="182">
        <v>1.6</v>
      </c>
      <c r="W26" s="118">
        <v>1928</v>
      </c>
      <c r="X26" s="118">
        <v>79015</v>
      </c>
      <c r="Y26" s="182">
        <v>2.6</v>
      </c>
      <c r="Z26" s="99">
        <v>297</v>
      </c>
      <c r="AA26" s="99">
        <v>36103</v>
      </c>
      <c r="AB26" s="182">
        <v>1.4</v>
      </c>
      <c r="AC26" s="116">
        <f>C26/B26</f>
        <v>154.51137176369619</v>
      </c>
    </row>
    <row r="27" spans="1:29" ht="13.5" thickBot="1">
      <c r="A27" s="169" t="s">
        <v>194</v>
      </c>
      <c r="B27" s="113">
        <f>SUM(B23:B26)</f>
        <v>20733</v>
      </c>
      <c r="C27" s="113">
        <f>SUM(C23:C26)</f>
        <v>4765799</v>
      </c>
      <c r="D27" s="183"/>
      <c r="E27" s="113">
        <f>SUM(E23:E26)</f>
        <v>285</v>
      </c>
      <c r="F27" s="113">
        <f>SUM(F23:F26)</f>
        <v>129265</v>
      </c>
      <c r="G27" s="183"/>
      <c r="H27" s="113">
        <f>SUM(H23:H26)</f>
        <v>1135</v>
      </c>
      <c r="I27" s="113">
        <f>SUM(I23:I26)</f>
        <v>815260</v>
      </c>
      <c r="J27" s="183"/>
      <c r="K27" s="113">
        <f>SUM(K23:K26)</f>
        <v>726</v>
      </c>
      <c r="L27" s="113">
        <f>SUM(L23:L26)</f>
        <v>584921</v>
      </c>
      <c r="M27" s="183"/>
      <c r="N27" s="113">
        <f>SUM(N23:N26)</f>
        <v>202</v>
      </c>
      <c r="O27" s="113">
        <f>SUM(O23:O26)</f>
        <v>4700</v>
      </c>
      <c r="P27" s="183"/>
      <c r="Q27" s="110"/>
      <c r="R27" s="110"/>
      <c r="S27" s="183"/>
      <c r="T27" s="113">
        <f>SUM(T23:T26)</f>
        <v>5550</v>
      </c>
      <c r="U27" s="113">
        <f>SUM(U23:U26)</f>
        <v>84766</v>
      </c>
      <c r="V27" s="183"/>
      <c r="W27" s="113">
        <f>SUM(W23:W26)</f>
        <v>3071</v>
      </c>
      <c r="X27" s="113">
        <f>SUM(X23:X26)</f>
        <v>120097</v>
      </c>
      <c r="Y27" s="183"/>
      <c r="Z27" s="110"/>
      <c r="AA27" s="110"/>
      <c r="AB27" s="183"/>
      <c r="AC27" s="108">
        <f>C27/B27</f>
        <v>229.86538368784065</v>
      </c>
    </row>
  </sheetData>
  <mergeCells count="28">
    <mergeCell ref="N20:P21"/>
    <mergeCell ref="Q20:S21"/>
    <mergeCell ref="T20:V21"/>
    <mergeCell ref="W20:Y21"/>
    <mergeCell ref="Z20:AB21"/>
    <mergeCell ref="E19:M19"/>
    <mergeCell ref="A20:A22"/>
    <mergeCell ref="B20:D21"/>
    <mergeCell ref="E20:G20"/>
    <mergeCell ref="H20:J20"/>
    <mergeCell ref="K20:M20"/>
    <mergeCell ref="E21:G21"/>
    <mergeCell ref="H21:J21"/>
    <mergeCell ref="K21:M21"/>
    <mergeCell ref="T5:V6"/>
    <mergeCell ref="W5:Y6"/>
    <mergeCell ref="Z5:AB6"/>
    <mergeCell ref="E6:G6"/>
    <mergeCell ref="H6:J6"/>
    <mergeCell ref="K6:M6"/>
    <mergeCell ref="E5:G5"/>
    <mergeCell ref="H5:J5"/>
    <mergeCell ref="K5:M5"/>
    <mergeCell ref="E4:M4"/>
    <mergeCell ref="N5:P6"/>
    <mergeCell ref="A5:A7"/>
    <mergeCell ref="B5:D6"/>
    <mergeCell ref="Q5:S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9">
    <tabColor rgb="FFFF0000"/>
  </sheetPr>
  <dimension ref="A1:R48"/>
  <sheetViews>
    <sheetView topLeftCell="A22" workbookViewId="0">
      <selection activeCell="C22" sqref="C22"/>
    </sheetView>
  </sheetViews>
  <sheetFormatPr defaultRowHeight="12.75"/>
  <cols>
    <col min="1" max="1" width="27.5703125" style="107" customWidth="1"/>
    <col min="2" max="3" width="9.140625" style="107"/>
    <col min="4" max="4" width="11" style="107" customWidth="1"/>
    <col min="5" max="5" width="9.140625" style="107"/>
    <col min="6" max="6" width="9.7109375" style="107" bestFit="1" customWidth="1"/>
    <col min="7" max="7" width="11.5703125" style="107" customWidth="1"/>
    <col min="8" max="16384" width="9.140625" style="107"/>
  </cols>
  <sheetData>
    <row r="1" spans="1:18">
      <c r="A1" s="107" t="s">
        <v>217</v>
      </c>
    </row>
    <row r="2" spans="1:18">
      <c r="A2" s="107" t="s">
        <v>256</v>
      </c>
      <c r="K2" s="107" t="s">
        <v>255</v>
      </c>
    </row>
    <row r="5" spans="1:18" s="136" customFormat="1" ht="12.75" customHeight="1">
      <c r="A5" s="206" t="s">
        <v>175</v>
      </c>
      <c r="B5" s="206" t="s">
        <v>254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8" s="136" customFormat="1" ht="12.75" customHeight="1">
      <c r="A6" s="206"/>
      <c r="B6" s="206" t="s">
        <v>199</v>
      </c>
      <c r="C6" s="206" t="s">
        <v>253</v>
      </c>
      <c r="D6" s="206" t="s">
        <v>252</v>
      </c>
      <c r="E6" s="206" t="s">
        <v>238</v>
      </c>
      <c r="F6" s="206" t="s">
        <v>237</v>
      </c>
      <c r="G6" s="206" t="s">
        <v>251</v>
      </c>
      <c r="H6" s="228" t="s">
        <v>250</v>
      </c>
      <c r="I6" s="206" t="s">
        <v>249</v>
      </c>
      <c r="J6" s="206"/>
      <c r="K6" s="206"/>
      <c r="L6" s="206"/>
      <c r="M6" s="206"/>
      <c r="N6" s="206"/>
      <c r="O6" s="206"/>
      <c r="P6" s="232" t="s">
        <v>248</v>
      </c>
      <c r="Q6" s="232" t="s">
        <v>247</v>
      </c>
      <c r="R6" s="229" t="s">
        <v>246</v>
      </c>
    </row>
    <row r="7" spans="1:18" s="136" customFormat="1" ht="12.75" customHeight="1">
      <c r="A7" s="206"/>
      <c r="B7" s="206"/>
      <c r="C7" s="206"/>
      <c r="D7" s="206"/>
      <c r="E7" s="206"/>
      <c r="F7" s="206"/>
      <c r="G7" s="206"/>
      <c r="H7" s="228"/>
      <c r="I7" s="126" t="s">
        <v>245</v>
      </c>
      <c r="J7" s="126" t="s">
        <v>244</v>
      </c>
      <c r="K7" s="126" t="s">
        <v>243</v>
      </c>
      <c r="L7" s="126" t="s">
        <v>242</v>
      </c>
      <c r="M7" s="126" t="s">
        <v>241</v>
      </c>
      <c r="N7" s="126" t="s">
        <v>240</v>
      </c>
      <c r="O7" s="126" t="s">
        <v>239</v>
      </c>
      <c r="P7" s="232"/>
      <c r="Q7" s="232"/>
      <c r="R7" s="230"/>
    </row>
    <row r="8" spans="1:18" s="136" customFormat="1" ht="43.5" customHeight="1">
      <c r="A8" s="206"/>
      <c r="B8" s="206"/>
      <c r="C8" s="206"/>
      <c r="D8" s="206"/>
      <c r="E8" s="206"/>
      <c r="F8" s="206"/>
      <c r="G8" s="206"/>
      <c r="H8" s="228"/>
      <c r="I8" s="126"/>
      <c r="J8" s="141">
        <v>1999</v>
      </c>
      <c r="K8" s="141">
        <v>4999</v>
      </c>
      <c r="L8" s="141">
        <v>9999</v>
      </c>
      <c r="M8" s="141">
        <v>19999</v>
      </c>
      <c r="N8" s="141">
        <v>49999</v>
      </c>
      <c r="O8" s="126"/>
      <c r="P8" s="232"/>
      <c r="Q8" s="232"/>
      <c r="R8" s="231"/>
    </row>
    <row r="9" spans="1:18" s="136" customFormat="1">
      <c r="A9" s="135" t="s">
        <v>176</v>
      </c>
      <c r="B9" s="118">
        <v>7334</v>
      </c>
      <c r="C9" s="118">
        <v>24145</v>
      </c>
      <c r="D9" s="139">
        <f>E9+F9</f>
        <v>2987983</v>
      </c>
      <c r="E9" s="118">
        <v>1437386</v>
      </c>
      <c r="F9" s="118">
        <v>1550597</v>
      </c>
      <c r="G9" s="138">
        <v>180959</v>
      </c>
      <c r="H9" s="137">
        <f>(G9/(E9+F9))*1000</f>
        <v>60.562258888353782</v>
      </c>
      <c r="I9" s="140">
        <v>2068</v>
      </c>
      <c r="J9" s="140">
        <v>410</v>
      </c>
      <c r="K9" s="140">
        <v>1742</v>
      </c>
      <c r="L9" s="140">
        <v>1054</v>
      </c>
      <c r="M9" s="140">
        <v>669</v>
      </c>
      <c r="N9" s="140">
        <v>569</v>
      </c>
      <c r="O9" s="140">
        <v>822</v>
      </c>
      <c r="P9" s="104">
        <f t="shared" ref="P9:Q13" si="0">E9/E$13</f>
        <v>0.56885581062544666</v>
      </c>
      <c r="Q9" s="104">
        <f t="shared" si="0"/>
        <v>0.36925227103921637</v>
      </c>
      <c r="R9" s="104">
        <f>E9/D9</f>
        <v>0.48105561510892131</v>
      </c>
    </row>
    <row r="10" spans="1:18" s="136" customFormat="1">
      <c r="A10" s="135" t="s">
        <v>165</v>
      </c>
      <c r="B10" s="118">
        <v>3427</v>
      </c>
      <c r="C10" s="118">
        <v>8031</v>
      </c>
      <c r="D10" s="139">
        <f>E10+F10</f>
        <v>1063620</v>
      </c>
      <c r="E10" s="118">
        <v>54843</v>
      </c>
      <c r="F10" s="118">
        <v>1008777</v>
      </c>
      <c r="G10" s="138">
        <v>19138</v>
      </c>
      <c r="H10" s="137">
        <f>(G10/(E10+F10))*1000</f>
        <v>17.993268272503339</v>
      </c>
      <c r="I10" s="140">
        <v>1662</v>
      </c>
      <c r="J10" s="140">
        <v>450</v>
      </c>
      <c r="K10" s="140">
        <v>543</v>
      </c>
      <c r="L10" s="140">
        <v>231</v>
      </c>
      <c r="M10" s="140">
        <v>288</v>
      </c>
      <c r="N10" s="140">
        <v>199</v>
      </c>
      <c r="O10" s="140">
        <v>54</v>
      </c>
      <c r="P10" s="104">
        <f t="shared" si="0"/>
        <v>2.1704510286124516E-2</v>
      </c>
      <c r="Q10" s="104">
        <f t="shared" si="0"/>
        <v>0.24022566677358953</v>
      </c>
      <c r="R10" s="104">
        <f>E10/D10</f>
        <v>5.1562588142381675E-2</v>
      </c>
    </row>
    <row r="11" spans="1:18" s="136" customFormat="1">
      <c r="A11" s="135" t="s">
        <v>177</v>
      </c>
      <c r="B11" s="118">
        <v>8329</v>
      </c>
      <c r="C11" s="118">
        <v>20122</v>
      </c>
      <c r="D11" s="139">
        <f>E11+F11</f>
        <v>1234379</v>
      </c>
      <c r="E11" s="118">
        <v>511998</v>
      </c>
      <c r="F11" s="118">
        <v>722381</v>
      </c>
      <c r="G11" s="138">
        <v>53003</v>
      </c>
      <c r="H11" s="137">
        <f>(G11/(E11+F11))*1000</f>
        <v>42.939000096404747</v>
      </c>
      <c r="I11" s="140">
        <v>4351</v>
      </c>
      <c r="J11" s="140">
        <v>1017</v>
      </c>
      <c r="K11" s="140">
        <v>1375</v>
      </c>
      <c r="L11" s="140">
        <v>586</v>
      </c>
      <c r="M11" s="140">
        <v>489</v>
      </c>
      <c r="N11" s="140">
        <v>343</v>
      </c>
      <c r="O11" s="140">
        <v>168</v>
      </c>
      <c r="P11" s="104">
        <f t="shared" si="0"/>
        <v>0.20262687776881608</v>
      </c>
      <c r="Q11" s="104">
        <f t="shared" si="0"/>
        <v>0.17202459749733823</v>
      </c>
      <c r="R11" s="104">
        <f>E11/D11</f>
        <v>0.41478184577022131</v>
      </c>
    </row>
    <row r="12" spans="1:18" s="136" customFormat="1">
      <c r="A12" s="135" t="s">
        <v>178</v>
      </c>
      <c r="B12" s="118">
        <v>7727</v>
      </c>
      <c r="C12" s="118">
        <v>17898</v>
      </c>
      <c r="D12" s="139">
        <f>E12+F12</f>
        <v>1440109</v>
      </c>
      <c r="E12" s="118">
        <v>522575</v>
      </c>
      <c r="F12" s="118">
        <v>917534</v>
      </c>
      <c r="G12" s="138">
        <v>93964</v>
      </c>
      <c r="H12" s="137">
        <f>(G12/(E12+F12))*1000</f>
        <v>65.247838878862638</v>
      </c>
      <c r="I12" s="140">
        <v>4087</v>
      </c>
      <c r="J12" s="140">
        <v>1238</v>
      </c>
      <c r="K12" s="140">
        <v>782</v>
      </c>
      <c r="L12" s="140">
        <v>696</v>
      </c>
      <c r="M12" s="140">
        <v>261</v>
      </c>
      <c r="N12" s="140">
        <v>363</v>
      </c>
      <c r="O12" s="140">
        <v>300</v>
      </c>
      <c r="P12" s="104">
        <f t="shared" si="0"/>
        <v>0.20681280131961269</v>
      </c>
      <c r="Q12" s="104">
        <f t="shared" si="0"/>
        <v>0.21849746468985584</v>
      </c>
      <c r="R12" s="104">
        <f>E12/D12</f>
        <v>0.36287183817336049</v>
      </c>
    </row>
    <row r="13" spans="1:18" s="136" customFormat="1">
      <c r="A13" s="134" t="s">
        <v>194</v>
      </c>
      <c r="B13" s="133">
        <f>SUM(B9:B12)</f>
        <v>26817</v>
      </c>
      <c r="C13" s="133">
        <f>SUM(C9:C12)</f>
        <v>70196</v>
      </c>
      <c r="D13" s="139">
        <f>E13+F13</f>
        <v>6726091</v>
      </c>
      <c r="E13" s="133">
        <f>SUM(E9:E12)</f>
        <v>2526802</v>
      </c>
      <c r="F13" s="133">
        <f>SUM(F9:F12)</f>
        <v>4199289</v>
      </c>
      <c r="G13" s="138">
        <f>SUM(G9:G12)</f>
        <v>347064</v>
      </c>
      <c r="H13" s="137">
        <f>(G13/(E13+F13))*1000</f>
        <v>51.599658702209055</v>
      </c>
      <c r="I13" s="133">
        <f t="shared" ref="I13:O13" si="1">SUM(I9:I12)</f>
        <v>12168</v>
      </c>
      <c r="J13" s="133">
        <f t="shared" si="1"/>
        <v>3115</v>
      </c>
      <c r="K13" s="133">
        <f t="shared" si="1"/>
        <v>4442</v>
      </c>
      <c r="L13" s="133">
        <f t="shared" si="1"/>
        <v>2567</v>
      </c>
      <c r="M13" s="133">
        <f t="shared" si="1"/>
        <v>1707</v>
      </c>
      <c r="N13" s="133">
        <f t="shared" si="1"/>
        <v>1474</v>
      </c>
      <c r="O13" s="133">
        <f t="shared" si="1"/>
        <v>1344</v>
      </c>
      <c r="P13" s="104">
        <f t="shared" si="0"/>
        <v>1</v>
      </c>
      <c r="Q13" s="104">
        <f t="shared" si="0"/>
        <v>1</v>
      </c>
      <c r="R13" s="104">
        <f>E13/D13</f>
        <v>0.37567169400473471</v>
      </c>
    </row>
    <row r="18" spans="1:11">
      <c r="A18" s="206" t="s">
        <v>175</v>
      </c>
    </row>
    <row r="19" spans="1:11">
      <c r="A19" s="206"/>
      <c r="B19" s="206" t="s">
        <v>238</v>
      </c>
      <c r="C19" s="206" t="s">
        <v>237</v>
      </c>
    </row>
    <row r="20" spans="1:11">
      <c r="A20" s="206"/>
      <c r="B20" s="206"/>
      <c r="C20" s="206"/>
    </row>
    <row r="21" spans="1:11">
      <c r="A21" s="206"/>
      <c r="B21" s="206"/>
      <c r="C21" s="206"/>
    </row>
    <row r="22" spans="1:11">
      <c r="A22" s="135" t="s">
        <v>176</v>
      </c>
      <c r="B22" s="118">
        <v>1437386</v>
      </c>
      <c r="C22" s="118">
        <v>1550597</v>
      </c>
      <c r="D22" s="30">
        <f>C22/(B22+C22)</f>
        <v>0.51894438489107875</v>
      </c>
    </row>
    <row r="23" spans="1:11">
      <c r="A23" s="135" t="s">
        <v>165</v>
      </c>
      <c r="B23" s="118">
        <v>54843</v>
      </c>
      <c r="C23" s="118">
        <v>1008777</v>
      </c>
      <c r="D23" s="30">
        <f>C23/(B23+C23)</f>
        <v>0.94843741185761832</v>
      </c>
    </row>
    <row r="24" spans="1:11">
      <c r="A24" s="135" t="s">
        <v>177</v>
      </c>
      <c r="B24" s="118">
        <v>511998</v>
      </c>
      <c r="C24" s="118">
        <v>722381</v>
      </c>
      <c r="D24" s="30">
        <f>C24/(B24+C24)</f>
        <v>0.58521815422977874</v>
      </c>
    </row>
    <row r="25" spans="1:11">
      <c r="A25" s="135" t="s">
        <v>178</v>
      </c>
      <c r="B25" s="118">
        <v>522575</v>
      </c>
      <c r="C25" s="118">
        <v>917534</v>
      </c>
      <c r="D25" s="30">
        <f>C25/(B25+C25)</f>
        <v>0.63712816182663956</v>
      </c>
    </row>
    <row r="26" spans="1:11">
      <c r="A26" s="134" t="s">
        <v>194</v>
      </c>
      <c r="B26" s="133">
        <f>SUM(B22:B25)</f>
        <v>2526802</v>
      </c>
      <c r="C26" s="133">
        <f>SUM(C22:C25)</f>
        <v>4199289</v>
      </c>
      <c r="D26" s="30">
        <f>C26/(B26+C26)</f>
        <v>0.62432830599526534</v>
      </c>
    </row>
    <row r="31" spans="1:11">
      <c r="A31" s="170"/>
      <c r="B31" s="226" t="s">
        <v>328</v>
      </c>
      <c r="C31" s="227"/>
      <c r="D31" s="212"/>
      <c r="E31" s="95"/>
      <c r="F31" s="95"/>
      <c r="G31" s="95"/>
      <c r="H31" s="95"/>
      <c r="I31" s="95"/>
      <c r="J31" s="95"/>
      <c r="K31" s="95"/>
    </row>
    <row r="32" spans="1:11" ht="63.75">
      <c r="A32" s="164" t="s">
        <v>175</v>
      </c>
      <c r="B32" s="164" t="s">
        <v>199</v>
      </c>
      <c r="C32" s="164" t="s">
        <v>253</v>
      </c>
      <c r="D32" s="164" t="s">
        <v>252</v>
      </c>
      <c r="E32" s="164" t="s">
        <v>329</v>
      </c>
      <c r="F32" s="164" t="s">
        <v>251</v>
      </c>
      <c r="G32" s="164" t="s">
        <v>250</v>
      </c>
      <c r="H32" s="171" t="s">
        <v>330</v>
      </c>
      <c r="I32" s="171" t="s">
        <v>331</v>
      </c>
      <c r="J32" s="171" t="s">
        <v>332</v>
      </c>
      <c r="K32" s="171" t="s">
        <v>333</v>
      </c>
    </row>
    <row r="33" spans="1:11">
      <c r="A33" s="172" t="s">
        <v>176</v>
      </c>
      <c r="B33" s="118">
        <f>B9</f>
        <v>7334</v>
      </c>
      <c r="C33" s="118">
        <f>C9</f>
        <v>24145</v>
      </c>
      <c r="D33" s="118">
        <f>D9</f>
        <v>2987983</v>
      </c>
      <c r="E33" s="118">
        <f>D33/B33</f>
        <v>407.41518952822469</v>
      </c>
      <c r="F33" s="173">
        <f>G9</f>
        <v>180959</v>
      </c>
      <c r="G33" s="174">
        <f>F33/D33*1000</f>
        <v>60.562258888353782</v>
      </c>
      <c r="H33" s="181">
        <f>B43</f>
        <v>277.23973289112047</v>
      </c>
      <c r="I33" s="184">
        <f>'Water Use by Sprinklers'!D23</f>
        <v>1.6</v>
      </c>
      <c r="J33" s="118">
        <f>(H33*8760000)/D33</f>
        <v>812.79580912147605</v>
      </c>
      <c r="K33" s="118">
        <f>J33/I33</f>
        <v>507.99738070092252</v>
      </c>
    </row>
    <row r="34" spans="1:11">
      <c r="A34" s="172" t="s">
        <v>165</v>
      </c>
      <c r="B34" s="118">
        <f t="shared" ref="B34:C36" si="2">B10</f>
        <v>3427</v>
      </c>
      <c r="C34" s="118">
        <f t="shared" si="2"/>
        <v>8031</v>
      </c>
      <c r="D34" s="118">
        <f t="shared" ref="D34" si="3">D10</f>
        <v>1063620</v>
      </c>
      <c r="E34" s="118">
        <f>D34/B34</f>
        <v>310.36475051065071</v>
      </c>
      <c r="F34" s="173">
        <f t="shared" ref="F34:F36" si="4">G10</f>
        <v>19138</v>
      </c>
      <c r="G34" s="174">
        <f>F34/D34*1000</f>
        <v>17.993268272503339</v>
      </c>
      <c r="H34" s="181">
        <f t="shared" ref="H34:H36" si="5">B44</f>
        <v>151.24411131189621</v>
      </c>
      <c r="I34" s="184">
        <f>'Water Use by Sprinklers'!D24</f>
        <v>1.1000000000000001</v>
      </c>
      <c r="J34" s="118">
        <f>(H34*8760000)/D34</f>
        <v>1245.6501523967308</v>
      </c>
      <c r="K34" s="118">
        <f>J34/I34</f>
        <v>1132.4092294515733</v>
      </c>
    </row>
    <row r="35" spans="1:11">
      <c r="A35" s="172" t="s">
        <v>177</v>
      </c>
      <c r="B35" s="118">
        <f t="shared" si="2"/>
        <v>8329</v>
      </c>
      <c r="C35" s="118">
        <f t="shared" si="2"/>
        <v>20122</v>
      </c>
      <c r="D35" s="118">
        <f t="shared" ref="D35" si="6">D11</f>
        <v>1234379</v>
      </c>
      <c r="E35" s="118">
        <f>D35/B35</f>
        <v>148.20254532356824</v>
      </c>
      <c r="F35" s="173">
        <f t="shared" si="4"/>
        <v>53003</v>
      </c>
      <c r="G35" s="174">
        <f>F35/D35*1000</f>
        <v>42.939000096404747</v>
      </c>
      <c r="H35" s="181">
        <f t="shared" si="5"/>
        <v>288.38150505266827</v>
      </c>
      <c r="I35" s="184">
        <f>'Water Use by Sprinklers'!D25</f>
        <v>1.5</v>
      </c>
      <c r="J35" s="118">
        <f>(H35*8760000)/D35</f>
        <v>2046.5529503186413</v>
      </c>
      <c r="K35" s="118">
        <f>J35/I35</f>
        <v>1364.3686335457608</v>
      </c>
    </row>
    <row r="36" spans="1:11">
      <c r="A36" s="172" t="s">
        <v>178</v>
      </c>
      <c r="B36" s="118">
        <f t="shared" si="2"/>
        <v>7727</v>
      </c>
      <c r="C36" s="118">
        <f t="shared" si="2"/>
        <v>17898</v>
      </c>
      <c r="D36" s="118">
        <f t="shared" ref="D36" si="7">D12</f>
        <v>1440109</v>
      </c>
      <c r="E36" s="118">
        <f>D36/B36</f>
        <v>186.37362495146888</v>
      </c>
      <c r="F36" s="173">
        <f t="shared" si="4"/>
        <v>93964</v>
      </c>
      <c r="G36" s="174">
        <f>F36/D36*1000</f>
        <v>65.247838878862638</v>
      </c>
      <c r="H36" s="181">
        <f t="shared" si="5"/>
        <v>22.963835045243886</v>
      </c>
      <c r="I36" s="184">
        <f>'Water Use by Sprinklers'!D26</f>
        <v>2</v>
      </c>
      <c r="J36" s="118">
        <f>(H36*8760000)/D36</f>
        <v>139.68608973094149</v>
      </c>
      <c r="K36" s="118">
        <f>J36/I36</f>
        <v>69.843044865470745</v>
      </c>
    </row>
    <row r="37" spans="1:11">
      <c r="A37" s="172"/>
      <c r="B37" s="118"/>
      <c r="C37" s="118"/>
      <c r="D37" s="118"/>
      <c r="E37" s="118"/>
      <c r="F37" s="173"/>
      <c r="G37" s="175"/>
      <c r="H37" s="181"/>
      <c r="I37" s="184"/>
      <c r="J37" s="118"/>
      <c r="K37" s="118"/>
    </row>
    <row r="42" spans="1:11" customFormat="1">
      <c r="A42" t="s">
        <v>341</v>
      </c>
      <c r="B42" s="180">
        <v>2016</v>
      </c>
    </row>
    <row r="43" spans="1:11" customFormat="1">
      <c r="A43" t="s">
        <v>338</v>
      </c>
      <c r="B43" s="177">
        <f>[9]Sheet1!$AG$17</f>
        <v>277.23973289112047</v>
      </c>
    </row>
    <row r="44" spans="1:11" customFormat="1">
      <c r="A44" t="s">
        <v>337</v>
      </c>
      <c r="B44" s="177">
        <f>[9]Sheet1!$AG$19</f>
        <v>151.24411131189621</v>
      </c>
    </row>
    <row r="45" spans="1:11" customFormat="1">
      <c r="A45" t="s">
        <v>336</v>
      </c>
      <c r="B45" s="177">
        <f>[9]Sheet1!$AG$20</f>
        <v>288.38150505266827</v>
      </c>
    </row>
    <row r="46" spans="1:11" customFormat="1">
      <c r="A46" t="s">
        <v>335</v>
      </c>
      <c r="B46" s="177">
        <f>[9]Sheet1!$AG$18</f>
        <v>22.963835045243886</v>
      </c>
    </row>
    <row r="47" spans="1:11" customFormat="1">
      <c r="A47" t="s">
        <v>110</v>
      </c>
      <c r="B47" s="177">
        <f>SUM(B43:B46)</f>
        <v>739.82918430092889</v>
      </c>
    </row>
    <row r="48" spans="1:11" customFormat="1">
      <c r="A48" s="176" t="s">
        <v>334</v>
      </c>
    </row>
  </sheetData>
  <mergeCells count="17">
    <mergeCell ref="R6:R8"/>
    <mergeCell ref="I6:O6"/>
    <mergeCell ref="P6:P8"/>
    <mergeCell ref="Q6:Q8"/>
    <mergeCell ref="A5:A8"/>
    <mergeCell ref="B5:O5"/>
    <mergeCell ref="B6:B8"/>
    <mergeCell ref="C6:C8"/>
    <mergeCell ref="D6:D8"/>
    <mergeCell ref="E6:E8"/>
    <mergeCell ref="F6:F8"/>
    <mergeCell ref="G6:G8"/>
    <mergeCell ref="B31:D31"/>
    <mergeCell ref="H6:H8"/>
    <mergeCell ref="A18:A21"/>
    <mergeCell ref="B19:B21"/>
    <mergeCell ref="C19:C21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2"/>
  <dimension ref="A5:Q37"/>
  <sheetViews>
    <sheetView topLeftCell="A13" zoomScaleNormal="100" workbookViewId="0">
      <selection activeCell="Q22" sqref="Q22"/>
    </sheetView>
  </sheetViews>
  <sheetFormatPr defaultRowHeight="12.75"/>
  <cols>
    <col min="1" max="1" width="13.42578125" style="106" customWidth="1"/>
    <col min="2" max="2" width="11.28515625" style="106" customWidth="1"/>
    <col min="3" max="3" width="12.140625" style="106" customWidth="1"/>
    <col min="4" max="4" width="11.42578125" style="106" customWidth="1"/>
    <col min="5" max="5" width="12.5703125" style="106" customWidth="1"/>
    <col min="6" max="13" width="9.140625" style="106"/>
    <col min="14" max="14" width="11.5703125" style="106" bestFit="1" customWidth="1"/>
    <col min="15" max="17" width="9.140625" style="106"/>
    <col min="18" max="18" width="11.5703125" style="106" bestFit="1" customWidth="1"/>
    <col min="19" max="16384" width="9.140625" style="106"/>
  </cols>
  <sheetData>
    <row r="5" spans="1:15">
      <c r="A5" s="107" t="s">
        <v>217</v>
      </c>
    </row>
    <row r="6" spans="1:15">
      <c r="A6" s="107" t="s">
        <v>274</v>
      </c>
      <c r="G6" s="106" t="s">
        <v>309</v>
      </c>
    </row>
    <row r="8" spans="1:15">
      <c r="A8" s="195" t="s">
        <v>175</v>
      </c>
      <c r="B8" s="195" t="s">
        <v>308</v>
      </c>
      <c r="C8" s="195"/>
      <c r="D8" s="195"/>
      <c r="E8" s="195"/>
      <c r="F8" s="195" t="s">
        <v>307</v>
      </c>
      <c r="G8" s="195"/>
      <c r="H8" s="195"/>
      <c r="I8" s="195"/>
      <c r="J8" s="195"/>
      <c r="K8" s="195"/>
    </row>
    <row r="9" spans="1:15" ht="76.5">
      <c r="A9" s="195"/>
      <c r="B9" s="102" t="s">
        <v>306</v>
      </c>
      <c r="C9" s="102" t="s">
        <v>305</v>
      </c>
      <c r="D9" s="102" t="s">
        <v>304</v>
      </c>
      <c r="E9" s="102" t="s">
        <v>303</v>
      </c>
      <c r="F9" s="102" t="s">
        <v>302</v>
      </c>
      <c r="G9" s="102" t="s">
        <v>301</v>
      </c>
      <c r="H9" s="102" t="s">
        <v>300</v>
      </c>
      <c r="I9" s="102" t="s">
        <v>299</v>
      </c>
      <c r="J9" s="102" t="s">
        <v>298</v>
      </c>
      <c r="K9" s="101" t="s">
        <v>297</v>
      </c>
      <c r="L9" s="163" t="s">
        <v>296</v>
      </c>
      <c r="M9" s="163" t="s">
        <v>295</v>
      </c>
      <c r="N9" s="163" t="s">
        <v>294</v>
      </c>
      <c r="O9" s="163" t="s">
        <v>293</v>
      </c>
    </row>
    <row r="10" spans="1:15">
      <c r="A10" s="100" t="s">
        <v>176</v>
      </c>
      <c r="B10" s="162">
        <v>149</v>
      </c>
      <c r="C10" s="162">
        <v>127</v>
      </c>
      <c r="D10" s="162">
        <v>138</v>
      </c>
      <c r="E10" s="162">
        <v>150</v>
      </c>
      <c r="F10" s="162">
        <v>1561</v>
      </c>
      <c r="G10" s="162">
        <v>2739</v>
      </c>
      <c r="H10" s="162">
        <v>2485</v>
      </c>
      <c r="I10" s="162">
        <v>1215</v>
      </c>
      <c r="J10" s="162">
        <v>1007</v>
      </c>
      <c r="K10" s="162">
        <v>134</v>
      </c>
      <c r="L10" s="98">
        <f>((F$15*F10)+(G$15*G10)+(H$15*H10)+(I$15*I10))/SUM(F10:I10)</f>
        <v>115.11875000000001</v>
      </c>
      <c r="M10" s="98">
        <f>((J$15*J10)+(K$15*K10))/SUM(J10:K10)</f>
        <v>382.296231375986</v>
      </c>
      <c r="N10" s="104">
        <f>SUM(F10:I10)/SUM(F10:K10)</f>
        <v>0.87517777048462964</v>
      </c>
      <c r="O10" s="161">
        <f>1-N10</f>
        <v>0.12482222951537036</v>
      </c>
    </row>
    <row r="11" spans="1:15">
      <c r="A11" s="100" t="s">
        <v>165</v>
      </c>
      <c r="B11" s="162">
        <v>43</v>
      </c>
      <c r="C11" s="162">
        <v>53</v>
      </c>
      <c r="D11" s="162">
        <v>27</v>
      </c>
      <c r="E11" s="162">
        <v>18</v>
      </c>
      <c r="F11" s="162">
        <v>1083</v>
      </c>
      <c r="G11" s="162">
        <v>331</v>
      </c>
      <c r="H11" s="162">
        <v>189</v>
      </c>
      <c r="I11" s="162">
        <v>26</v>
      </c>
      <c r="J11" s="162" t="s">
        <v>195</v>
      </c>
      <c r="K11" s="162" t="s">
        <v>195</v>
      </c>
      <c r="L11" s="98">
        <f>((F$15*F11)+(G$15*G11)+(H$15*H11)+(I$15*I11))/SUM(F11:I11)</f>
        <v>53.253529772866791</v>
      </c>
      <c r="M11" s="98" t="e">
        <f>((J$15*J11)+(K$15*K11))/SUM(J11:K11)</f>
        <v>#VALUE!</v>
      </c>
      <c r="N11" s="104">
        <f>SUM(F11:I11)/SUM(F11:K11)</f>
        <v>1</v>
      </c>
      <c r="O11" s="161">
        <f>1-N11</f>
        <v>0</v>
      </c>
    </row>
    <row r="12" spans="1:15">
      <c r="A12" s="100" t="s">
        <v>177</v>
      </c>
      <c r="B12" s="162">
        <v>71</v>
      </c>
      <c r="C12" s="162">
        <v>70</v>
      </c>
      <c r="D12" s="162">
        <v>100</v>
      </c>
      <c r="E12" s="162">
        <v>55</v>
      </c>
      <c r="F12" s="162">
        <v>5145</v>
      </c>
      <c r="G12" s="162">
        <v>1479</v>
      </c>
      <c r="H12" s="162">
        <v>1164</v>
      </c>
      <c r="I12" s="162">
        <v>588</v>
      </c>
      <c r="J12" s="162">
        <v>204</v>
      </c>
      <c r="K12" s="162">
        <v>21</v>
      </c>
      <c r="L12" s="98">
        <f>((F$15*F12)+(G$15*G12)+(H$15*H12)+(I$15*I12))/SUM(F12:I12)</f>
        <v>66.994985673352431</v>
      </c>
      <c r="M12" s="98">
        <f>((J$15*J12)+(K$15*K12))/SUM(J12:K12)</f>
        <v>375.66666666666669</v>
      </c>
      <c r="N12" s="104">
        <f>SUM(F12:I12)/SUM(F12:K12)</f>
        <v>0.97384025113358907</v>
      </c>
      <c r="O12" s="161">
        <f>1-N12</f>
        <v>2.6159748866410926E-2</v>
      </c>
    </row>
    <row r="13" spans="1:15">
      <c r="A13" s="100" t="s">
        <v>178</v>
      </c>
      <c r="B13" s="162">
        <v>110</v>
      </c>
      <c r="C13" s="162">
        <v>79</v>
      </c>
      <c r="D13" s="162">
        <v>84</v>
      </c>
      <c r="E13" s="162">
        <v>107</v>
      </c>
      <c r="F13" s="162">
        <v>2874</v>
      </c>
      <c r="G13" s="162">
        <v>1926</v>
      </c>
      <c r="H13" s="162">
        <v>716</v>
      </c>
      <c r="I13" s="162">
        <v>646</v>
      </c>
      <c r="J13" s="162">
        <v>384</v>
      </c>
      <c r="K13" s="162">
        <v>225</v>
      </c>
      <c r="L13" s="98">
        <f>((F$15*F13)+(G$15*G13)+(H$15*H13)+(I$15*I13))/SUM(F13:I13)</f>
        <v>78.740668614086331</v>
      </c>
      <c r="M13" s="98">
        <f>((J$15*J13)+(K$15*K13))/SUM(J13:K13)</f>
        <v>451.60098522167488</v>
      </c>
      <c r="N13" s="104">
        <f>SUM(F13:I13)/SUM(F13:K13)</f>
        <v>0.91005759858218871</v>
      </c>
      <c r="O13" s="161">
        <f>1-N13</f>
        <v>8.9942401417811291E-2</v>
      </c>
    </row>
    <row r="14" spans="1:15">
      <c r="A14" s="99" t="s">
        <v>194</v>
      </c>
      <c r="B14" s="100">
        <f t="shared" ref="B14:K14" si="0">SUM(B10:B13)</f>
        <v>373</v>
      </c>
      <c r="C14" s="100">
        <f t="shared" si="0"/>
        <v>329</v>
      </c>
      <c r="D14" s="100">
        <f t="shared" si="0"/>
        <v>349</v>
      </c>
      <c r="E14" s="100">
        <f t="shared" si="0"/>
        <v>330</v>
      </c>
      <c r="F14" s="100">
        <f t="shared" si="0"/>
        <v>10663</v>
      </c>
      <c r="G14" s="100">
        <f t="shared" si="0"/>
        <v>6475</v>
      </c>
      <c r="H14" s="100">
        <f t="shared" si="0"/>
        <v>4554</v>
      </c>
      <c r="I14" s="100">
        <f t="shared" si="0"/>
        <v>2475</v>
      </c>
      <c r="J14" s="100">
        <f t="shared" si="0"/>
        <v>1595</v>
      </c>
      <c r="K14" s="100">
        <f t="shared" si="0"/>
        <v>380</v>
      </c>
      <c r="L14" s="98">
        <f>((F$15*F14)+(G$15*G14)+(H$15*H14)+(I$15*I14))/SUM(F14:I14)</f>
        <v>84.994000082757481</v>
      </c>
      <c r="M14" s="98">
        <f>((J$15*J14)+(K$15*K14))/SUM(J14:K14)</f>
        <v>402.91139240506328</v>
      </c>
      <c r="N14" s="104">
        <f>SUM(F14:I14)/SUM(F14:K14)</f>
        <v>0.92445107489863054</v>
      </c>
      <c r="O14" s="161">
        <f>1-N14</f>
        <v>7.5548925101369457E-2</v>
      </c>
    </row>
    <row r="15" spans="1:15">
      <c r="E15" s="142" t="s">
        <v>292</v>
      </c>
      <c r="F15" s="106">
        <v>25</v>
      </c>
      <c r="G15" s="106">
        <v>75</v>
      </c>
      <c r="H15" s="106">
        <v>150</v>
      </c>
      <c r="I15" s="106">
        <v>250</v>
      </c>
      <c r="J15" s="106">
        <v>350</v>
      </c>
      <c r="K15" s="106">
        <v>625</v>
      </c>
    </row>
    <row r="17" spans="1:17">
      <c r="A17" s="107" t="s">
        <v>217</v>
      </c>
    </row>
    <row r="18" spans="1:17">
      <c r="A18" s="107" t="s">
        <v>291</v>
      </c>
      <c r="G18" s="106" t="s">
        <v>290</v>
      </c>
    </row>
    <row r="19" spans="1:17">
      <c r="A19" s="232" t="s">
        <v>175</v>
      </c>
      <c r="B19" s="235" t="s">
        <v>289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</row>
    <row r="20" spans="1:17" ht="12.75" customHeight="1">
      <c r="A20" s="232"/>
      <c r="B20" s="236" t="s">
        <v>288</v>
      </c>
      <c r="C20" s="236" t="s">
        <v>287</v>
      </c>
      <c r="D20" s="236" t="s">
        <v>286</v>
      </c>
      <c r="E20" s="236" t="s">
        <v>285</v>
      </c>
      <c r="F20" s="236" t="s">
        <v>264</v>
      </c>
      <c r="G20" s="236" t="s">
        <v>284</v>
      </c>
      <c r="H20" s="160" t="s">
        <v>283</v>
      </c>
      <c r="I20" s="160"/>
      <c r="J20" s="160"/>
      <c r="K20" s="160"/>
      <c r="L20" s="160"/>
      <c r="M20" s="160"/>
      <c r="N20" s="160"/>
    </row>
    <row r="21" spans="1:17" ht="38.25">
      <c r="A21" s="232"/>
      <c r="B21" s="236"/>
      <c r="C21" s="236"/>
      <c r="D21" s="236"/>
      <c r="E21" s="236"/>
      <c r="F21" s="236"/>
      <c r="G21" s="236"/>
      <c r="H21" s="159" t="s">
        <v>282</v>
      </c>
      <c r="I21" s="159" t="s">
        <v>281</v>
      </c>
      <c r="J21" s="159" t="s">
        <v>280</v>
      </c>
      <c r="K21" s="159" t="s">
        <v>279</v>
      </c>
      <c r="L21" s="159" t="s">
        <v>278</v>
      </c>
      <c r="M21" s="159" t="s">
        <v>277</v>
      </c>
      <c r="N21" s="159" t="s">
        <v>276</v>
      </c>
      <c r="O21" s="142" t="s">
        <v>275</v>
      </c>
      <c r="Q21" s="106" t="s">
        <v>346</v>
      </c>
    </row>
    <row r="22" spans="1:17">
      <c r="A22" s="100" t="s">
        <v>176</v>
      </c>
      <c r="B22" s="157">
        <v>4366</v>
      </c>
      <c r="C22" s="157">
        <v>11621</v>
      </c>
      <c r="D22" s="158">
        <v>22</v>
      </c>
      <c r="E22" s="158">
        <v>55</v>
      </c>
      <c r="F22" s="158">
        <v>792</v>
      </c>
      <c r="G22" s="158">
        <v>1538</v>
      </c>
      <c r="H22" s="157">
        <v>4173</v>
      </c>
      <c r="I22" s="157">
        <v>3806</v>
      </c>
      <c r="J22" s="157">
        <v>2547</v>
      </c>
      <c r="K22" s="158">
        <v>172</v>
      </c>
      <c r="L22" s="158">
        <v>545</v>
      </c>
      <c r="M22" s="158">
        <v>378</v>
      </c>
      <c r="N22" s="157">
        <v>3417</v>
      </c>
      <c r="O22" s="154">
        <f>C22/$C$26</f>
        <v>0.33975558414220558</v>
      </c>
      <c r="Q22" s="185">
        <f>(E22*2.31+20+D22)*G22/3960</f>
        <v>65.656287878787879</v>
      </c>
    </row>
    <row r="23" spans="1:17">
      <c r="A23" s="100" t="s">
        <v>165</v>
      </c>
      <c r="B23" s="157">
        <v>2223</v>
      </c>
      <c r="C23" s="157">
        <v>5487</v>
      </c>
      <c r="D23" s="158">
        <v>24</v>
      </c>
      <c r="E23" s="158">
        <v>45</v>
      </c>
      <c r="F23" s="158">
        <v>989</v>
      </c>
      <c r="G23" s="157">
        <v>1032</v>
      </c>
      <c r="H23" s="157">
        <v>1354</v>
      </c>
      <c r="I23" s="157">
        <v>1808</v>
      </c>
      <c r="J23" s="157">
        <v>1564</v>
      </c>
      <c r="K23" s="158">
        <v>258</v>
      </c>
      <c r="L23" s="158">
        <v>241</v>
      </c>
      <c r="M23" s="158">
        <v>262</v>
      </c>
      <c r="N23" s="157">
        <v>3609</v>
      </c>
      <c r="O23" s="154">
        <f>C23/$C$26</f>
        <v>0.16041983393755116</v>
      </c>
      <c r="Q23" s="185">
        <f t="shared" ref="Q23:Q25" si="1">(E23*2.31+20+D23)*G23/3960</f>
        <v>38.556666666666665</v>
      </c>
    </row>
    <row r="24" spans="1:17">
      <c r="A24" s="100" t="s">
        <v>177</v>
      </c>
      <c r="B24" s="157">
        <v>4776</v>
      </c>
      <c r="C24" s="157">
        <v>8995</v>
      </c>
      <c r="D24" s="158">
        <v>36</v>
      </c>
      <c r="E24" s="158">
        <v>60</v>
      </c>
      <c r="F24" s="158">
        <v>888</v>
      </c>
      <c r="G24" s="157">
        <v>984</v>
      </c>
      <c r="H24" s="157">
        <v>4205</v>
      </c>
      <c r="I24" s="157">
        <v>2356</v>
      </c>
      <c r="J24" s="158">
        <v>593</v>
      </c>
      <c r="K24" s="158">
        <v>243</v>
      </c>
      <c r="L24" s="157">
        <v>164</v>
      </c>
      <c r="M24" s="158">
        <v>1434</v>
      </c>
      <c r="N24" s="157">
        <v>3055</v>
      </c>
      <c r="O24" s="154">
        <f>C24/$C$26</f>
        <v>0.26298093790199978</v>
      </c>
      <c r="Q24" s="185">
        <f t="shared" si="1"/>
        <v>48.355151515151512</v>
      </c>
    </row>
    <row r="25" spans="1:17">
      <c r="A25" s="100" t="s">
        <v>178</v>
      </c>
      <c r="B25" s="157">
        <v>2866</v>
      </c>
      <c r="C25" s="157">
        <v>8101</v>
      </c>
      <c r="D25" s="158">
        <v>20</v>
      </c>
      <c r="E25" s="158">
        <v>60</v>
      </c>
      <c r="F25" s="158">
        <v>866</v>
      </c>
      <c r="G25" s="158">
        <v>1821</v>
      </c>
      <c r="H25" s="157">
        <v>2473</v>
      </c>
      <c r="I25" s="157">
        <v>2805</v>
      </c>
      <c r="J25" s="157">
        <v>1965</v>
      </c>
      <c r="K25" s="158">
        <v>317</v>
      </c>
      <c r="L25" s="158">
        <v>312</v>
      </c>
      <c r="M25" s="158">
        <v>229</v>
      </c>
      <c r="N25" s="157">
        <v>3820</v>
      </c>
      <c r="O25" s="154">
        <f>C25/$C$26</f>
        <v>0.23684364401824348</v>
      </c>
      <c r="Q25" s="185">
        <f t="shared" si="1"/>
        <v>82.12893939393939</v>
      </c>
    </row>
    <row r="26" spans="1:17">
      <c r="A26" s="99" t="s">
        <v>194</v>
      </c>
      <c r="B26" s="118">
        <f>SUM(B22:B25)</f>
        <v>14231</v>
      </c>
      <c r="C26" s="118">
        <f>SUM(C22:C25)</f>
        <v>34204</v>
      </c>
      <c r="D26" s="156">
        <f>SUMPRODUCT(D22:D25,O22:O25)</f>
        <v>25.528885510466615</v>
      </c>
      <c r="E26" s="155">
        <f>SUMPRODUCT($O22:$O25,E22:E25)</f>
        <v>55.894924570225697</v>
      </c>
      <c r="F26" s="155">
        <f>SUMPRODUCT($O22:$O25,F22:F25)</f>
        <v>866.3753069816396</v>
      </c>
      <c r="G26" s="155">
        <f>SUMPRODUCT(G22:G25,O22:O25)</f>
        <v>1378.1628756870543</v>
      </c>
      <c r="H26" s="100"/>
      <c r="I26" s="100"/>
      <c r="J26" s="100"/>
      <c r="K26" s="100"/>
      <c r="L26" s="100"/>
      <c r="M26" s="100"/>
      <c r="N26" s="100"/>
      <c r="O26" s="154">
        <f>C26/$C$26</f>
        <v>1</v>
      </c>
    </row>
    <row r="29" spans="1:17">
      <c r="A29" s="107" t="s">
        <v>217</v>
      </c>
    </row>
    <row r="30" spans="1:17">
      <c r="A30" s="107" t="s">
        <v>274</v>
      </c>
      <c r="G30" s="106" t="s">
        <v>273</v>
      </c>
    </row>
    <row r="31" spans="1:17">
      <c r="A31" s="233" t="s">
        <v>175</v>
      </c>
      <c r="B31" s="197" t="s">
        <v>272</v>
      </c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17" ht="51">
      <c r="A32" s="234"/>
      <c r="B32" s="101" t="s">
        <v>199</v>
      </c>
      <c r="C32" s="101" t="s">
        <v>271</v>
      </c>
      <c r="D32" s="101" t="s">
        <v>270</v>
      </c>
      <c r="E32" s="101" t="s">
        <v>269</v>
      </c>
      <c r="F32" s="102" t="s">
        <v>268</v>
      </c>
      <c r="G32" s="101" t="s">
        <v>267</v>
      </c>
      <c r="H32" s="101" t="s">
        <v>266</v>
      </c>
      <c r="I32" s="102" t="s">
        <v>265</v>
      </c>
      <c r="J32" s="102" t="s">
        <v>264</v>
      </c>
      <c r="K32" s="101" t="s">
        <v>263</v>
      </c>
    </row>
    <row r="33" spans="1:13">
      <c r="A33" s="100" t="s">
        <v>176</v>
      </c>
      <c r="B33" s="153">
        <v>3073</v>
      </c>
      <c r="C33" s="153">
        <v>9141</v>
      </c>
      <c r="D33" s="152">
        <v>297</v>
      </c>
      <c r="E33" s="152">
        <v>149</v>
      </c>
      <c r="F33" s="150">
        <v>201</v>
      </c>
      <c r="G33" s="151">
        <v>1241</v>
      </c>
      <c r="H33" s="150">
        <v>62</v>
      </c>
      <c r="I33" s="150">
        <v>181</v>
      </c>
      <c r="J33" s="149">
        <v>1208</v>
      </c>
      <c r="K33" s="146">
        <f>C33/C$37</f>
        <v>0.3496672022033509</v>
      </c>
      <c r="M33" s="185"/>
    </row>
    <row r="34" spans="1:13">
      <c r="A34" s="100" t="s">
        <v>165</v>
      </c>
      <c r="B34" s="152">
        <v>1051</v>
      </c>
      <c r="C34" s="152">
        <v>1629</v>
      </c>
      <c r="D34" s="152">
        <v>137</v>
      </c>
      <c r="E34" s="152">
        <v>43</v>
      </c>
      <c r="F34" s="150">
        <v>88</v>
      </c>
      <c r="G34" s="151">
        <v>254</v>
      </c>
      <c r="H34" s="150">
        <v>62</v>
      </c>
      <c r="I34" s="150">
        <v>53</v>
      </c>
      <c r="J34" s="149">
        <v>419</v>
      </c>
      <c r="K34" s="146">
        <f>C34/C$37</f>
        <v>6.2313518476015607E-2</v>
      </c>
      <c r="M34" s="185"/>
    </row>
    <row r="35" spans="1:13">
      <c r="A35" s="100" t="s">
        <v>177</v>
      </c>
      <c r="B35" s="153">
        <v>4744</v>
      </c>
      <c r="C35" s="153">
        <v>8601</v>
      </c>
      <c r="D35" s="152">
        <v>202</v>
      </c>
      <c r="E35" s="152">
        <v>71</v>
      </c>
      <c r="F35" s="150">
        <v>119</v>
      </c>
      <c r="G35" s="151">
        <v>380</v>
      </c>
      <c r="H35" s="150">
        <v>63</v>
      </c>
      <c r="I35" s="150">
        <v>56</v>
      </c>
      <c r="J35" s="149">
        <v>732</v>
      </c>
      <c r="K35" s="146">
        <f>C35/C$37</f>
        <v>0.32901078723892585</v>
      </c>
      <c r="M35" s="185"/>
    </row>
    <row r="36" spans="1:13">
      <c r="A36" s="100" t="s">
        <v>178</v>
      </c>
      <c r="B36" s="153">
        <v>4176</v>
      </c>
      <c r="C36" s="153">
        <v>6771</v>
      </c>
      <c r="D36" s="152">
        <v>291</v>
      </c>
      <c r="E36" s="152">
        <v>110</v>
      </c>
      <c r="F36" s="150">
        <v>175</v>
      </c>
      <c r="G36" s="151">
        <v>483</v>
      </c>
      <c r="H36" s="150">
        <v>64</v>
      </c>
      <c r="I36" s="150">
        <v>110</v>
      </c>
      <c r="J36" s="149">
        <v>1117</v>
      </c>
      <c r="K36" s="146">
        <f>C36/C$37</f>
        <v>0.25900849208170762</v>
      </c>
      <c r="M36" s="185"/>
    </row>
    <row r="37" spans="1:13">
      <c r="A37" s="148" t="s">
        <v>194</v>
      </c>
      <c r="B37" s="118">
        <f>SUM(B33:B36)</f>
        <v>13044</v>
      </c>
      <c r="C37" s="118">
        <f>SUM(C33:C36)</f>
        <v>26142</v>
      </c>
      <c r="D37" s="118">
        <f t="shared" ref="D37:J37" si="2">SUMPRODUCT(D33:D36,$K33:$K36)</f>
        <v>254.21976130364931</v>
      </c>
      <c r="E37" s="147">
        <f t="shared" si="2"/>
        <v>106.63059444571954</v>
      </c>
      <c r="F37" s="147">
        <f t="shared" si="2"/>
        <v>160.24546706449391</v>
      </c>
      <c r="G37" s="147">
        <f t="shared" si="2"/>
        <v>699.88983245352301</v>
      </c>
      <c r="H37" s="147">
        <f t="shared" si="2"/>
        <v>62.847027771402345</v>
      </c>
      <c r="I37" s="147">
        <f t="shared" si="2"/>
        <v>113.50791829240305</v>
      </c>
      <c r="J37" s="147">
        <f t="shared" si="2"/>
        <v>978.65572641725953</v>
      </c>
      <c r="K37" s="146">
        <f>C37/C$37</f>
        <v>1</v>
      </c>
      <c r="M37" s="185"/>
    </row>
  </sheetData>
  <mergeCells count="13">
    <mergeCell ref="A31:A32"/>
    <mergeCell ref="B31:K31"/>
    <mergeCell ref="A8:A9"/>
    <mergeCell ref="B8:E8"/>
    <mergeCell ref="F8:K8"/>
    <mergeCell ref="A19:A21"/>
    <mergeCell ref="B19:M19"/>
    <mergeCell ref="B20:B21"/>
    <mergeCell ref="C20:C21"/>
    <mergeCell ref="D20:D21"/>
    <mergeCell ref="E20:E21"/>
    <mergeCell ref="G20:G21"/>
    <mergeCell ref="F20:F2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3"/>
  <dimension ref="A1:M21"/>
  <sheetViews>
    <sheetView workbookViewId="0">
      <selection activeCell="D30" sqref="D30"/>
    </sheetView>
  </sheetViews>
  <sheetFormatPr defaultRowHeight="12.75"/>
  <cols>
    <col min="1" max="1" width="9.140625" style="107"/>
    <col min="2" max="2" width="11.5703125" style="107" customWidth="1"/>
    <col min="3" max="3" width="12.140625" style="107" customWidth="1"/>
    <col min="4" max="16384" width="9.140625" style="107"/>
  </cols>
  <sheetData>
    <row r="1" spans="1:13">
      <c r="A1" s="107" t="s">
        <v>217</v>
      </c>
      <c r="F1" s="142"/>
      <c r="G1" s="142"/>
      <c r="H1" s="142"/>
      <c r="I1" s="142"/>
      <c r="J1" s="142"/>
      <c r="K1" s="142"/>
      <c r="L1" s="142"/>
      <c r="M1" s="142"/>
    </row>
    <row r="2" spans="1:13">
      <c r="A2" s="107" t="s">
        <v>262</v>
      </c>
      <c r="F2" s="142"/>
      <c r="G2" s="142" t="s">
        <v>261</v>
      </c>
      <c r="H2" s="142"/>
      <c r="I2" s="142"/>
      <c r="J2" s="142"/>
      <c r="K2" s="142"/>
      <c r="L2" s="142"/>
      <c r="M2" s="142"/>
    </row>
    <row r="3" spans="1:1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>
      <c r="A4" s="132" t="s">
        <v>234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>
      <c r="A5" s="213" t="s">
        <v>175</v>
      </c>
      <c r="B5" s="214" t="s">
        <v>260</v>
      </c>
      <c r="C5" s="237"/>
      <c r="D5" s="214" t="s">
        <v>259</v>
      </c>
      <c r="E5" s="237"/>
      <c r="F5" s="238"/>
      <c r="G5" s="214" t="s">
        <v>258</v>
      </c>
      <c r="H5" s="237"/>
      <c r="I5" s="238"/>
      <c r="J5" s="214" t="s">
        <v>257</v>
      </c>
      <c r="K5" s="237"/>
      <c r="L5" s="238"/>
    </row>
    <row r="6" spans="1:13" ht="25.5">
      <c r="A6" s="213"/>
      <c r="B6" s="102" t="s">
        <v>252</v>
      </c>
      <c r="C6" s="102"/>
      <c r="D6" s="102" t="s">
        <v>199</v>
      </c>
      <c r="E6" s="102" t="s">
        <v>252</v>
      </c>
      <c r="F6" s="102"/>
      <c r="G6" s="102" t="s">
        <v>199</v>
      </c>
      <c r="H6" s="102" t="s">
        <v>252</v>
      </c>
      <c r="I6" s="102"/>
      <c r="J6" s="102" t="s">
        <v>199</v>
      </c>
      <c r="K6" s="102" t="s">
        <v>252</v>
      </c>
      <c r="L6" s="102"/>
    </row>
    <row r="7" spans="1:13">
      <c r="A7" s="99" t="s">
        <v>176</v>
      </c>
      <c r="B7" s="133">
        <v>3511751</v>
      </c>
      <c r="C7" s="133"/>
      <c r="D7" s="133">
        <v>8249</v>
      </c>
      <c r="E7" s="133">
        <v>3088161</v>
      </c>
      <c r="F7" s="145"/>
      <c r="G7" s="133">
        <v>7902</v>
      </c>
      <c r="H7" s="133">
        <v>757753</v>
      </c>
      <c r="I7" s="145"/>
      <c r="J7" s="99">
        <v>252</v>
      </c>
      <c r="K7" s="99">
        <v>28149</v>
      </c>
      <c r="L7" s="99"/>
    </row>
    <row r="8" spans="1:13">
      <c r="A8" s="99" t="s">
        <v>165</v>
      </c>
      <c r="B8" s="133">
        <f>1872286</f>
        <v>1872286</v>
      </c>
      <c r="C8" s="133"/>
      <c r="D8" s="133">
        <f>3208</f>
        <v>3208</v>
      </c>
      <c r="E8" s="133">
        <f>849332</f>
        <v>849332</v>
      </c>
      <c r="F8" s="145"/>
      <c r="G8" s="133">
        <f>5350</f>
        <v>5350</v>
      </c>
      <c r="H8" s="133">
        <f>1144584</f>
        <v>1144584</v>
      </c>
      <c r="I8" s="145"/>
      <c r="J8" s="99">
        <v>344</v>
      </c>
      <c r="K8" s="99">
        <v>1079</v>
      </c>
      <c r="L8" s="99"/>
    </row>
    <row r="9" spans="1:13">
      <c r="A9" s="99" t="s">
        <v>177</v>
      </c>
      <c r="B9" s="133">
        <v>1553034</v>
      </c>
      <c r="C9" s="133"/>
      <c r="D9" s="133">
        <v>8800</v>
      </c>
      <c r="E9" s="133">
        <v>1141042</v>
      </c>
      <c r="F9" s="145"/>
      <c r="G9" s="133">
        <v>3975</v>
      </c>
      <c r="H9" s="133">
        <v>571531</v>
      </c>
      <c r="I9" s="145"/>
      <c r="J9" s="99">
        <v>2373</v>
      </c>
      <c r="K9" s="133">
        <v>85456</v>
      </c>
      <c r="L9" s="99"/>
    </row>
    <row r="10" spans="1:13">
      <c r="A10" s="99" t="s">
        <v>178</v>
      </c>
      <c r="B10" s="133">
        <v>1623123</v>
      </c>
      <c r="C10" s="133"/>
      <c r="D10" s="133">
        <v>8618</v>
      </c>
      <c r="E10" s="133">
        <v>1420224</v>
      </c>
      <c r="F10" s="145"/>
      <c r="G10" s="99">
        <v>1259</v>
      </c>
      <c r="H10" s="133">
        <v>169489</v>
      </c>
      <c r="I10" s="145"/>
      <c r="J10" s="99">
        <v>2277</v>
      </c>
      <c r="K10" s="133">
        <v>250033</v>
      </c>
      <c r="L10" s="99"/>
    </row>
    <row r="11" spans="1:13">
      <c r="A11" s="144" t="s">
        <v>194</v>
      </c>
      <c r="B11" s="133">
        <f>SUM(B7:B10)</f>
        <v>8560194</v>
      </c>
      <c r="C11" s="133"/>
      <c r="D11" s="133">
        <f>SUM(D7:D10)</f>
        <v>28875</v>
      </c>
      <c r="E11" s="133">
        <f>SUM(E7:E10)</f>
        <v>6498759</v>
      </c>
      <c r="F11" s="145"/>
      <c r="G11" s="133">
        <f>SUM(G7:G10)</f>
        <v>18486</v>
      </c>
      <c r="H11" s="133">
        <f>SUM(H7:H10)</f>
        <v>2643357</v>
      </c>
      <c r="I11" s="145"/>
      <c r="J11" s="133">
        <f>SUM(J7:J10)</f>
        <v>5246</v>
      </c>
      <c r="K11" s="133">
        <f>SUM(K7:K10)</f>
        <v>364717</v>
      </c>
      <c r="L11" s="145"/>
    </row>
    <row r="12" spans="1:13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13" t="s">
        <v>175</v>
      </c>
      <c r="B14" s="214" t="s">
        <v>260</v>
      </c>
      <c r="C14" s="238"/>
      <c r="D14" s="237" t="s">
        <v>259</v>
      </c>
      <c r="E14" s="237"/>
      <c r="F14" s="237"/>
      <c r="G14" s="214" t="s">
        <v>258</v>
      </c>
      <c r="H14" s="237"/>
      <c r="I14" s="238"/>
      <c r="J14" s="214" t="s">
        <v>257</v>
      </c>
      <c r="K14" s="237"/>
      <c r="L14" s="238"/>
    </row>
    <row r="15" spans="1:13" ht="25.5">
      <c r="A15" s="213"/>
      <c r="B15" s="102" t="s">
        <v>252</v>
      </c>
      <c r="C15" s="102" t="s">
        <v>219</v>
      </c>
      <c r="D15" s="102" t="s">
        <v>199</v>
      </c>
      <c r="E15" s="102" t="s">
        <v>252</v>
      </c>
      <c r="F15" s="102" t="s">
        <v>219</v>
      </c>
      <c r="G15" s="102" t="s">
        <v>199</v>
      </c>
      <c r="H15" s="102" t="s">
        <v>252</v>
      </c>
      <c r="I15" s="102" t="s">
        <v>219</v>
      </c>
      <c r="J15" s="102" t="s">
        <v>199</v>
      </c>
      <c r="K15" s="102" t="s">
        <v>252</v>
      </c>
      <c r="L15" s="102" t="s">
        <v>219</v>
      </c>
    </row>
    <row r="16" spans="1:13">
      <c r="A16" s="99" t="s">
        <v>176</v>
      </c>
      <c r="B16" s="133">
        <f>B7</f>
        <v>3511751</v>
      </c>
      <c r="C16" s="143">
        <f>B16/B$20</f>
        <v>0.41024198750635793</v>
      </c>
      <c r="D16" s="133">
        <f t="shared" ref="D16:E19" si="0">D7</f>
        <v>8249</v>
      </c>
      <c r="E16" s="133">
        <f t="shared" si="0"/>
        <v>3088161</v>
      </c>
      <c r="F16" s="143">
        <f>E16/E$20</f>
        <v>0.47519241750617308</v>
      </c>
      <c r="G16" s="133">
        <f t="shared" ref="G16:H19" si="1">G7</f>
        <v>7902</v>
      </c>
      <c r="H16" s="133">
        <f t="shared" si="1"/>
        <v>757753</v>
      </c>
      <c r="I16" s="143">
        <f>H16/H$20</f>
        <v>0.28666313328089998</v>
      </c>
      <c r="J16" s="99">
        <f t="shared" ref="J16:K19" si="2">J7</f>
        <v>252</v>
      </c>
      <c r="K16" s="99">
        <f t="shared" si="2"/>
        <v>28149</v>
      </c>
      <c r="L16" s="143">
        <f>K16/K$20</f>
        <v>7.7180389178458916E-2</v>
      </c>
    </row>
    <row r="17" spans="1:13">
      <c r="A17" s="99" t="s">
        <v>165</v>
      </c>
      <c r="B17" s="133">
        <f>B8</f>
        <v>1872286</v>
      </c>
      <c r="C17" s="143">
        <f>B17/B$20</f>
        <v>0.21872004302706224</v>
      </c>
      <c r="D17" s="133">
        <f t="shared" si="0"/>
        <v>3208</v>
      </c>
      <c r="E17" s="133">
        <f t="shared" si="0"/>
        <v>849332</v>
      </c>
      <c r="F17" s="143">
        <f>E17/E$20</f>
        <v>0.13069141354526304</v>
      </c>
      <c r="G17" s="133">
        <f t="shared" si="1"/>
        <v>5350</v>
      </c>
      <c r="H17" s="133">
        <f t="shared" si="1"/>
        <v>1144584</v>
      </c>
      <c r="I17" s="143">
        <f>H17/H$20</f>
        <v>0.43300394157883326</v>
      </c>
      <c r="J17" s="99">
        <f t="shared" si="2"/>
        <v>344</v>
      </c>
      <c r="K17" s="99">
        <f t="shared" si="2"/>
        <v>1079</v>
      </c>
      <c r="L17" s="143">
        <f>K17/K$20</f>
        <v>2.9584582018386857E-3</v>
      </c>
    </row>
    <row r="18" spans="1:13">
      <c r="A18" s="99" t="s">
        <v>177</v>
      </c>
      <c r="B18" s="133">
        <f>B9</f>
        <v>1553034</v>
      </c>
      <c r="C18" s="143">
        <f>B18/B$20</f>
        <v>0.18142509387053612</v>
      </c>
      <c r="D18" s="133">
        <f t="shared" si="0"/>
        <v>8800</v>
      </c>
      <c r="E18" s="133">
        <f t="shared" si="0"/>
        <v>1141042</v>
      </c>
      <c r="F18" s="143">
        <f>E18/E$20</f>
        <v>0.17557844505389414</v>
      </c>
      <c r="G18" s="133">
        <f t="shared" si="1"/>
        <v>3975</v>
      </c>
      <c r="H18" s="133">
        <f t="shared" si="1"/>
        <v>571531</v>
      </c>
      <c r="I18" s="143">
        <f>H18/H$20</f>
        <v>0.2162140792938676</v>
      </c>
      <c r="J18" s="99">
        <f t="shared" si="2"/>
        <v>2373</v>
      </c>
      <c r="K18" s="99">
        <f t="shared" si="2"/>
        <v>85456</v>
      </c>
      <c r="L18" s="143">
        <f>K18/K$20</f>
        <v>0.23430769610410263</v>
      </c>
    </row>
    <row r="19" spans="1:13">
      <c r="A19" s="99" t="s">
        <v>178</v>
      </c>
      <c r="B19" s="133">
        <f>B10</f>
        <v>1623123</v>
      </c>
      <c r="C19" s="143">
        <f>B19/B$20</f>
        <v>0.18961287559604373</v>
      </c>
      <c r="D19" s="133">
        <f t="shared" si="0"/>
        <v>8618</v>
      </c>
      <c r="E19" s="133">
        <f t="shared" si="0"/>
        <v>1420224</v>
      </c>
      <c r="F19" s="143">
        <f>E19/E$20</f>
        <v>0.21853772389466974</v>
      </c>
      <c r="G19" s="133">
        <f t="shared" si="1"/>
        <v>1259</v>
      </c>
      <c r="H19" s="133">
        <f t="shared" si="1"/>
        <v>169489</v>
      </c>
      <c r="I19" s="143">
        <f>H19/H$20</f>
        <v>6.4118845846399111E-2</v>
      </c>
      <c r="J19" s="99">
        <f t="shared" si="2"/>
        <v>2277</v>
      </c>
      <c r="K19" s="99">
        <f t="shared" si="2"/>
        <v>250033</v>
      </c>
      <c r="L19" s="143">
        <f>K19/K$20</f>
        <v>0.68555345651559974</v>
      </c>
    </row>
    <row r="20" spans="1:13">
      <c r="A20" s="144" t="s">
        <v>194</v>
      </c>
      <c r="B20" s="133">
        <f>SUM(B16:B19)</f>
        <v>8560194</v>
      </c>
      <c r="C20" s="143">
        <f>B20/B$20</f>
        <v>1</v>
      </c>
      <c r="D20" s="133">
        <f>SUM(D16:D19)</f>
        <v>28875</v>
      </c>
      <c r="E20" s="133">
        <f>SUM(E16:E19)</f>
        <v>6498759</v>
      </c>
      <c r="F20" s="143">
        <f>E11/E$20</f>
        <v>1</v>
      </c>
      <c r="G20" s="133">
        <f>SUM(G16:G19)</f>
        <v>18486</v>
      </c>
      <c r="H20" s="133">
        <f>SUM(H16:H19)</f>
        <v>2643357</v>
      </c>
      <c r="I20" s="143">
        <f>H11/H$20</f>
        <v>1</v>
      </c>
      <c r="J20" s="133">
        <f>SUM(J16:J19)</f>
        <v>5246</v>
      </c>
      <c r="K20" s="133">
        <f>SUM(K16:K19)</f>
        <v>364717</v>
      </c>
      <c r="L20" s="143">
        <f>K11/K$20</f>
        <v>1</v>
      </c>
    </row>
    <row r="21" spans="1:1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</row>
  </sheetData>
  <mergeCells count="10">
    <mergeCell ref="J14:L14"/>
    <mergeCell ref="D5:F5"/>
    <mergeCell ref="G5:I5"/>
    <mergeCell ref="J5:L5"/>
    <mergeCell ref="A14:A15"/>
    <mergeCell ref="B14:C14"/>
    <mergeCell ref="D14:F14"/>
    <mergeCell ref="G14:I14"/>
    <mergeCell ref="A5:A6"/>
    <mergeCell ref="B5:C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tabColor rgb="FFFF0000"/>
  </sheetPr>
  <dimension ref="B7:C28"/>
  <sheetViews>
    <sheetView topLeftCell="A3" zoomScale="120" zoomScaleNormal="120" workbookViewId="0">
      <selection activeCell="B26" sqref="B26:C26"/>
    </sheetView>
  </sheetViews>
  <sheetFormatPr defaultRowHeight="12.75"/>
  <cols>
    <col min="1" max="1" width="19" customWidth="1"/>
    <col min="2" max="2" width="93.28515625" customWidth="1"/>
    <col min="3" max="3" width="15.140625" bestFit="1" customWidth="1"/>
    <col min="4" max="12" width="12" customWidth="1"/>
    <col min="13" max="14" width="11.7109375" customWidth="1"/>
    <col min="15" max="16" width="10.7109375" customWidth="1"/>
    <col min="17" max="18" width="11.28515625" customWidth="1"/>
    <col min="19" max="19" width="10" customWidth="1"/>
    <col min="20" max="20" width="10.7109375" customWidth="1"/>
  </cols>
  <sheetData>
    <row r="7" spans="2:3">
      <c r="B7" t="s">
        <v>166</v>
      </c>
      <c r="C7" t="s">
        <v>167</v>
      </c>
    </row>
    <row r="8" spans="2:3">
      <c r="B8" t="s">
        <v>97</v>
      </c>
      <c r="C8" t="s">
        <v>170</v>
      </c>
    </row>
    <row r="9" spans="2:3">
      <c r="B9" t="s">
        <v>98</v>
      </c>
      <c r="C9" t="s">
        <v>170</v>
      </c>
    </row>
    <row r="10" spans="2:3">
      <c r="B10" t="s">
        <v>99</v>
      </c>
      <c r="C10" t="s">
        <v>170</v>
      </c>
    </row>
    <row r="11" spans="2:3">
      <c r="B11" t="s">
        <v>100</v>
      </c>
      <c r="C11" t="s">
        <v>170</v>
      </c>
    </row>
    <row r="12" spans="2:3">
      <c r="B12" t="s">
        <v>101</v>
      </c>
      <c r="C12" t="s">
        <v>170</v>
      </c>
    </row>
    <row r="13" spans="2:3">
      <c r="B13" t="s">
        <v>102</v>
      </c>
      <c r="C13" t="s">
        <v>170</v>
      </c>
    </row>
    <row r="14" spans="2:3">
      <c r="B14" t="s">
        <v>103</v>
      </c>
      <c r="C14" t="s">
        <v>192</v>
      </c>
    </row>
    <row r="15" spans="2:3">
      <c r="B15" t="s">
        <v>104</v>
      </c>
      <c r="C15" t="s">
        <v>192</v>
      </c>
    </row>
    <row r="16" spans="2:3">
      <c r="B16" t="s">
        <v>105</v>
      </c>
      <c r="C16" t="s">
        <v>171</v>
      </c>
    </row>
    <row r="17" spans="2:3">
      <c r="B17" t="s">
        <v>106</v>
      </c>
      <c r="C17" t="s">
        <v>171</v>
      </c>
    </row>
    <row r="18" spans="2:3">
      <c r="B18" t="s">
        <v>107</v>
      </c>
      <c r="C18" t="s">
        <v>171</v>
      </c>
    </row>
    <row r="19" spans="2:3">
      <c r="B19" t="s">
        <v>108</v>
      </c>
      <c r="C19" t="s">
        <v>171</v>
      </c>
    </row>
    <row r="20" spans="2:3">
      <c r="B20" t="s">
        <v>109</v>
      </c>
      <c r="C20" t="s">
        <v>171</v>
      </c>
    </row>
    <row r="21" spans="2:3" s="179" customFormat="1">
      <c r="B21" s="178" t="s">
        <v>158</v>
      </c>
      <c r="C21" s="179" t="s">
        <v>174</v>
      </c>
    </row>
    <row r="22" spans="2:3">
      <c r="B22" t="s">
        <v>159</v>
      </c>
      <c r="C22" t="s">
        <v>168</v>
      </c>
    </row>
    <row r="23" spans="2:3">
      <c r="B23" t="s">
        <v>160</v>
      </c>
      <c r="C23" t="s">
        <v>169</v>
      </c>
    </row>
    <row r="24" spans="2:3">
      <c r="B24" t="s">
        <v>163</v>
      </c>
      <c r="C24" t="s">
        <v>173</v>
      </c>
    </row>
    <row r="25" spans="2:3">
      <c r="B25" t="s">
        <v>164</v>
      </c>
      <c r="C25" t="s">
        <v>172</v>
      </c>
    </row>
    <row r="26" spans="2:3" s="179" customFormat="1">
      <c r="B26" s="89" t="s">
        <v>131</v>
      </c>
      <c r="C26" s="89" t="s">
        <v>174</v>
      </c>
    </row>
    <row r="27" spans="2:3">
      <c r="B27" t="s">
        <v>182</v>
      </c>
      <c r="C27" t="s">
        <v>345</v>
      </c>
    </row>
    <row r="28" spans="2:3">
      <c r="B28" t="s">
        <v>183</v>
      </c>
      <c r="C28" t="s">
        <v>344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8"/>
  <dimension ref="A1:C127"/>
  <sheetViews>
    <sheetView workbookViewId="0">
      <selection activeCell="A13" sqref="A13"/>
    </sheetView>
  </sheetViews>
  <sheetFormatPr defaultRowHeight="12.75"/>
  <cols>
    <col min="1" max="1" width="22.85546875" customWidth="1"/>
    <col min="2" max="2" width="111.5703125" customWidth="1"/>
    <col min="4" max="4" width="17.7109375" customWidth="1"/>
  </cols>
  <sheetData>
    <row r="1" spans="1:3">
      <c r="A1" t="s">
        <v>33</v>
      </c>
      <c r="B1" t="s">
        <v>42</v>
      </c>
    </row>
    <row r="5" spans="1:3">
      <c r="A5" s="64" t="s">
        <v>32</v>
      </c>
      <c r="B5" s="5" t="s">
        <v>34</v>
      </c>
      <c r="C5" s="5" t="s">
        <v>25</v>
      </c>
    </row>
    <row r="6" spans="1:3">
      <c r="A6" s="80" t="s">
        <v>179</v>
      </c>
      <c r="C6" s="1">
        <f>ROW()-5</f>
        <v>1</v>
      </c>
    </row>
    <row r="7" spans="1:3">
      <c r="A7" s="80" t="s">
        <v>189</v>
      </c>
      <c r="C7" s="1"/>
    </row>
    <row r="8" spans="1:3">
      <c r="A8" s="80" t="s">
        <v>186</v>
      </c>
      <c r="C8" s="1">
        <f t="shared" ref="C8:C62" si="0">ROW()-5</f>
        <v>3</v>
      </c>
    </row>
    <row r="9" spans="1:3">
      <c r="A9" s="80" t="s">
        <v>187</v>
      </c>
      <c r="C9" s="1">
        <f t="shared" si="0"/>
        <v>4</v>
      </c>
    </row>
    <row r="10" spans="1:3">
      <c r="A10" s="80" t="s">
        <v>180</v>
      </c>
      <c r="C10" s="1">
        <f t="shared" si="0"/>
        <v>5</v>
      </c>
    </row>
    <row r="11" spans="1:3">
      <c r="A11" s="80" t="s">
        <v>188</v>
      </c>
      <c r="C11" s="1">
        <f t="shared" si="0"/>
        <v>6</v>
      </c>
    </row>
    <row r="12" spans="1:3">
      <c r="A12" s="80" t="s">
        <v>193</v>
      </c>
      <c r="C12" s="1"/>
    </row>
    <row r="13" spans="1:3">
      <c r="A13" s="80" t="s">
        <v>190</v>
      </c>
      <c r="C13" s="1"/>
    </row>
    <row r="14" spans="1:3">
      <c r="A14" s="80" t="s">
        <v>191</v>
      </c>
      <c r="C14" s="1">
        <f t="shared" si="0"/>
        <v>9</v>
      </c>
    </row>
    <row r="15" spans="1:3">
      <c r="A15" s="80" t="s">
        <v>181</v>
      </c>
      <c r="C15" s="1">
        <f t="shared" si="0"/>
        <v>10</v>
      </c>
    </row>
    <row r="16" spans="1:3">
      <c r="A16" s="95" t="s">
        <v>184</v>
      </c>
      <c r="C16" s="1">
        <f t="shared" si="0"/>
        <v>11</v>
      </c>
    </row>
    <row r="17" spans="1:3">
      <c r="A17" s="95" t="s">
        <v>185</v>
      </c>
      <c r="C17" s="1">
        <f t="shared" si="0"/>
        <v>12</v>
      </c>
    </row>
    <row r="18" spans="1:3">
      <c r="A18" s="80"/>
      <c r="C18" s="1">
        <f t="shared" si="0"/>
        <v>13</v>
      </c>
    </row>
    <row r="19" spans="1:3">
      <c r="A19" s="80"/>
      <c r="C19" s="1">
        <f t="shared" si="0"/>
        <v>14</v>
      </c>
    </row>
    <row r="20" spans="1:3">
      <c r="A20" s="80"/>
      <c r="C20" s="1">
        <f t="shared" si="0"/>
        <v>15</v>
      </c>
    </row>
    <row r="21" spans="1:3">
      <c r="A21" s="80"/>
      <c r="C21" s="1">
        <f t="shared" si="0"/>
        <v>16</v>
      </c>
    </row>
    <row r="22" spans="1:3">
      <c r="A22" s="80"/>
      <c r="C22" s="1"/>
    </row>
    <row r="23" spans="1:3">
      <c r="A23" s="80"/>
      <c r="C23" s="1"/>
    </row>
    <row r="24" spans="1:3">
      <c r="A24" s="80"/>
      <c r="C24" s="1"/>
    </row>
    <row r="25" spans="1:3">
      <c r="A25" s="80"/>
      <c r="C25" s="1">
        <f t="shared" si="0"/>
        <v>20</v>
      </c>
    </row>
    <row r="26" spans="1:3">
      <c r="A26" s="80"/>
      <c r="C26" s="1">
        <f t="shared" si="0"/>
        <v>21</v>
      </c>
    </row>
    <row r="27" spans="1:3">
      <c r="A27" s="80"/>
      <c r="C27" s="1">
        <f t="shared" si="0"/>
        <v>22</v>
      </c>
    </row>
    <row r="28" spans="1:3">
      <c r="A28" s="80"/>
      <c r="C28" s="1">
        <f t="shared" si="0"/>
        <v>23</v>
      </c>
    </row>
    <row r="29" spans="1:3">
      <c r="A29" s="80"/>
      <c r="C29" s="1">
        <f t="shared" si="0"/>
        <v>24</v>
      </c>
    </row>
    <row r="30" spans="1:3">
      <c r="A30" s="80"/>
      <c r="C30" s="1">
        <f t="shared" si="0"/>
        <v>25</v>
      </c>
    </row>
    <row r="31" spans="1:3">
      <c r="A31" s="80"/>
      <c r="C31" s="1"/>
    </row>
    <row r="32" spans="1:3">
      <c r="A32" s="80"/>
      <c r="C32" s="1">
        <f t="shared" si="0"/>
        <v>27</v>
      </c>
    </row>
    <row r="33" spans="1:3">
      <c r="A33" s="80"/>
      <c r="C33" s="1">
        <f t="shared" si="0"/>
        <v>28</v>
      </c>
    </row>
    <row r="34" spans="1:3">
      <c r="A34" s="80"/>
      <c r="C34" s="1">
        <f t="shared" si="0"/>
        <v>29</v>
      </c>
    </row>
    <row r="35" spans="1:3">
      <c r="A35" s="80"/>
      <c r="C35" s="1">
        <f t="shared" si="0"/>
        <v>30</v>
      </c>
    </row>
    <row r="36" spans="1:3">
      <c r="A36" s="80"/>
      <c r="C36" s="1">
        <f t="shared" si="0"/>
        <v>31</v>
      </c>
    </row>
    <row r="37" spans="1:3">
      <c r="A37" s="80"/>
      <c r="C37" s="1">
        <f t="shared" si="0"/>
        <v>32</v>
      </c>
    </row>
    <row r="38" spans="1:3">
      <c r="A38" s="80"/>
      <c r="C38" s="1"/>
    </row>
    <row r="39" spans="1:3">
      <c r="A39" s="80"/>
      <c r="C39" s="1">
        <f t="shared" si="0"/>
        <v>34</v>
      </c>
    </row>
    <row r="40" spans="1:3">
      <c r="A40" s="80"/>
      <c r="C40" s="1">
        <f t="shared" si="0"/>
        <v>35</v>
      </c>
    </row>
    <row r="41" spans="1:3">
      <c r="A41" s="81"/>
      <c r="C41" s="1">
        <f t="shared" si="0"/>
        <v>36</v>
      </c>
    </row>
    <row r="42" spans="1:3">
      <c r="A42" s="81"/>
      <c r="C42" s="1">
        <f t="shared" si="0"/>
        <v>37</v>
      </c>
    </row>
    <row r="43" spans="1:3">
      <c r="A43" s="81"/>
      <c r="C43" s="1"/>
    </row>
    <row r="44" spans="1:3">
      <c r="A44" s="81"/>
      <c r="C44" s="1">
        <f t="shared" si="0"/>
        <v>39</v>
      </c>
    </row>
    <row r="45" spans="1:3">
      <c r="A45" s="81"/>
      <c r="C45" s="1">
        <f t="shared" si="0"/>
        <v>40</v>
      </c>
    </row>
    <row r="46" spans="1:3">
      <c r="A46" s="81"/>
      <c r="C46" s="1"/>
    </row>
    <row r="47" spans="1:3">
      <c r="A47" s="81"/>
      <c r="C47" s="1">
        <f t="shared" si="0"/>
        <v>42</v>
      </c>
    </row>
    <row r="48" spans="1:3">
      <c r="A48" s="81"/>
      <c r="C48" s="1">
        <f t="shared" si="0"/>
        <v>43</v>
      </c>
    </row>
    <row r="49" spans="1:3">
      <c r="A49" s="81"/>
      <c r="C49" s="1"/>
    </row>
    <row r="50" spans="1:3">
      <c r="A50" s="81"/>
      <c r="C50" s="1">
        <f t="shared" si="0"/>
        <v>45</v>
      </c>
    </row>
    <row r="51" spans="1:3">
      <c r="A51" s="81"/>
      <c r="C51" s="1">
        <f t="shared" si="0"/>
        <v>46</v>
      </c>
    </row>
    <row r="52" spans="1:3">
      <c r="A52" s="81"/>
      <c r="C52" s="1">
        <f t="shared" si="0"/>
        <v>47</v>
      </c>
    </row>
    <row r="53" spans="1:3">
      <c r="A53" s="81"/>
      <c r="C53" s="1">
        <f t="shared" si="0"/>
        <v>48</v>
      </c>
    </row>
    <row r="54" spans="1:3">
      <c r="A54" s="81"/>
      <c r="C54" s="1">
        <f t="shared" si="0"/>
        <v>49</v>
      </c>
    </row>
    <row r="55" spans="1:3">
      <c r="A55" s="81"/>
      <c r="C55" s="1">
        <f t="shared" si="0"/>
        <v>50</v>
      </c>
    </row>
    <row r="56" spans="1:3">
      <c r="A56" s="81"/>
      <c r="C56" s="1">
        <f t="shared" si="0"/>
        <v>51</v>
      </c>
    </row>
    <row r="57" spans="1:3">
      <c r="A57" s="82"/>
      <c r="C57" s="1">
        <f t="shared" si="0"/>
        <v>52</v>
      </c>
    </row>
    <row r="58" spans="1:3">
      <c r="A58" s="82"/>
      <c r="C58" s="1">
        <f t="shared" si="0"/>
        <v>53</v>
      </c>
    </row>
    <row r="59" spans="1:3">
      <c r="A59" s="82"/>
      <c r="C59" s="1">
        <f t="shared" si="0"/>
        <v>54</v>
      </c>
    </row>
    <row r="60" spans="1:3">
      <c r="A60" s="82"/>
      <c r="C60" s="1">
        <f t="shared" si="0"/>
        <v>55</v>
      </c>
    </row>
    <row r="61" spans="1:3">
      <c r="A61" s="82"/>
      <c r="C61" s="1">
        <f t="shared" si="0"/>
        <v>56</v>
      </c>
    </row>
    <row r="62" spans="1:3">
      <c r="A62" s="82"/>
      <c r="C62" s="1">
        <f t="shared" si="0"/>
        <v>57</v>
      </c>
    </row>
    <row r="63" spans="1:3">
      <c r="A63" s="82"/>
    </row>
    <row r="64" spans="1:3">
      <c r="A64" s="82"/>
    </row>
    <row r="65" spans="1:1">
      <c r="A65" s="82"/>
    </row>
    <row r="66" spans="1:1">
      <c r="A66" s="82"/>
    </row>
    <row r="67" spans="1:1">
      <c r="A67" s="82"/>
    </row>
    <row r="68" spans="1:1">
      <c r="A68" s="82"/>
    </row>
    <row r="70" spans="1:1">
      <c r="A70" s="85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  <row r="101" spans="1:1">
      <c r="A101" s="80"/>
    </row>
    <row r="102" spans="1:1">
      <c r="A102" s="80"/>
    </row>
    <row r="103" spans="1:1">
      <c r="A103" s="80"/>
    </row>
    <row r="104" spans="1:1">
      <c r="A104" s="80"/>
    </row>
    <row r="105" spans="1:1">
      <c r="A105" s="81"/>
    </row>
    <row r="106" spans="1:1">
      <c r="A106" s="81"/>
    </row>
    <row r="107" spans="1:1">
      <c r="A107" s="81"/>
    </row>
    <row r="108" spans="1:1">
      <c r="A108" s="81"/>
    </row>
    <row r="109" spans="1:1">
      <c r="A109" s="81"/>
    </row>
    <row r="110" spans="1:1">
      <c r="A110" s="81"/>
    </row>
    <row r="111" spans="1:1">
      <c r="A111" s="81"/>
    </row>
    <row r="112" spans="1:1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2"/>
    </row>
    <row r="118" spans="1:1">
      <c r="A118" s="82"/>
    </row>
    <row r="119" spans="1:1">
      <c r="A119" s="82"/>
    </row>
    <row r="120" spans="1:1">
      <c r="A120" s="82"/>
    </row>
    <row r="121" spans="1:1">
      <c r="A121" s="82"/>
    </row>
    <row r="122" spans="1:1">
      <c r="A122" s="82"/>
    </row>
    <row r="123" spans="1:1">
      <c r="A123" s="82"/>
    </row>
    <row r="124" spans="1:1">
      <c r="A124" s="82"/>
    </row>
    <row r="125" spans="1:1">
      <c r="A125" s="82"/>
    </row>
    <row r="126" spans="1:1">
      <c r="A126" s="82"/>
    </row>
    <row r="127" spans="1:1">
      <c r="A127" s="82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S14"/>
  <sheetViews>
    <sheetView workbookViewId="0">
      <selection activeCell="T7" sqref="T7"/>
    </sheetView>
  </sheetViews>
  <sheetFormatPr defaultRowHeight="12.75"/>
  <cols>
    <col min="17" max="17" width="32.5703125" customWidth="1"/>
    <col min="18" max="18" width="11.28515625" customWidth="1"/>
    <col min="19" max="19" width="13.140625" customWidth="1"/>
  </cols>
  <sheetData>
    <row r="1" spans="1:19">
      <c r="A1" s="72" t="s">
        <v>64</v>
      </c>
      <c r="B1" s="44"/>
      <c r="C1" s="44"/>
      <c r="D1" s="44"/>
      <c r="E1" s="44"/>
      <c r="F1" s="44"/>
    </row>
    <row r="8" spans="1:19">
      <c r="Q8" s="8"/>
      <c r="R8" s="73"/>
      <c r="S8" s="74"/>
    </row>
    <row r="14" spans="1:19">
      <c r="S14" s="8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topLeftCell="G1" zoomScale="75" workbookViewId="0">
      <selection activeCell="N34" sqref="N34"/>
    </sheetView>
  </sheetViews>
  <sheetFormatPr defaultRowHeight="12.75"/>
  <cols>
    <col min="2" max="2" width="20.28515625" customWidth="1"/>
    <col min="3" max="3" width="16.5703125" customWidth="1"/>
    <col min="4" max="4" width="22.140625" customWidth="1"/>
    <col min="5" max="5" width="15.7109375" customWidth="1"/>
    <col min="6" max="6" width="13.28515625" customWidth="1"/>
    <col min="7" max="7" width="13.7109375" customWidth="1"/>
    <col min="8" max="8" width="80.5703125" customWidth="1"/>
    <col min="11" max="11" width="10.7109375" customWidth="1"/>
    <col min="12" max="12" width="16.140625" customWidth="1"/>
    <col min="14" max="14" width="19.7109375" customWidth="1"/>
  </cols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0"/>
  <dimension ref="A1:E5"/>
  <sheetViews>
    <sheetView zoomScale="75" workbookViewId="0">
      <selection activeCell="D11" sqref="D11"/>
    </sheetView>
  </sheetViews>
  <sheetFormatPr defaultRowHeight="12.75"/>
  <cols>
    <col min="3" max="3" width="12.42578125" customWidth="1"/>
    <col min="4" max="4" width="35.42578125" customWidth="1"/>
    <col min="5" max="5" width="44.140625" customWidth="1"/>
  </cols>
  <sheetData>
    <row r="1" spans="1:5">
      <c r="A1" t="s">
        <v>43</v>
      </c>
      <c r="B1" t="s">
        <v>44</v>
      </c>
    </row>
    <row r="3" spans="1:5">
      <c r="C3" s="15" t="s">
        <v>35</v>
      </c>
      <c r="D3" s="15" t="s">
        <v>36</v>
      </c>
      <c r="E3" s="15" t="s">
        <v>39</v>
      </c>
    </row>
    <row r="4" spans="1:5">
      <c r="C4" t="s">
        <v>60</v>
      </c>
    </row>
    <row r="5" spans="1:5">
      <c r="C5" t="s">
        <v>56</v>
      </c>
    </row>
  </sheetData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1"/>
  <dimension ref="A1:G106"/>
  <sheetViews>
    <sheetView zoomScale="94" zoomScaleNormal="56" workbookViewId="0">
      <pane ySplit="4" topLeftCell="A5" activePane="bottomLeft" state="frozen"/>
      <selection pane="bottomLeft" activeCell="C4" sqref="C4:G4"/>
    </sheetView>
  </sheetViews>
  <sheetFormatPr defaultRowHeight="12.75"/>
  <cols>
    <col min="2" max="2" width="43" customWidth="1"/>
  </cols>
  <sheetData>
    <row r="1" spans="1:7">
      <c r="A1" t="s">
        <v>61</v>
      </c>
      <c r="B1" s="25" t="s">
        <v>63</v>
      </c>
      <c r="C1" s="20"/>
      <c r="D1" s="20"/>
      <c r="E1" s="20"/>
      <c r="F1" s="20"/>
    </row>
    <row r="2" spans="1:7">
      <c r="B2" s="25" t="s">
        <v>62</v>
      </c>
      <c r="C2" s="20"/>
      <c r="D2" s="20"/>
      <c r="E2" s="20"/>
      <c r="F2" s="20"/>
    </row>
    <row r="3" spans="1:7">
      <c r="A3" s="17" t="str">
        <f>SATS!A9</f>
        <v>PRE2015</v>
      </c>
    </row>
    <row r="4" spans="1:7">
      <c r="A4" s="3" t="str">
        <f>SATS!C9</f>
        <v>State</v>
      </c>
      <c r="B4" s="18" t="str">
        <f>SATS!B10</f>
        <v>Vars</v>
      </c>
      <c r="C4" s="11"/>
      <c r="D4" s="11"/>
      <c r="E4" s="11"/>
      <c r="F4" s="11"/>
      <c r="G4" s="34"/>
    </row>
    <row r="5" spans="1:7">
      <c r="B5" s="33"/>
    </row>
    <row r="6" spans="1:7">
      <c r="B6" s="33"/>
    </row>
    <row r="7" spans="1:7">
      <c r="B7" s="33"/>
    </row>
    <row r="8" spans="1:7">
      <c r="B8" s="33"/>
    </row>
    <row r="9" spans="1:7">
      <c r="B9" s="33"/>
    </row>
    <row r="10" spans="1:7">
      <c r="B10" s="33"/>
    </row>
    <row r="11" spans="1:7">
      <c r="B11" s="33"/>
    </row>
    <row r="12" spans="1:7">
      <c r="B12" s="33"/>
    </row>
    <row r="13" spans="1:7">
      <c r="B13" s="33"/>
    </row>
    <row r="14" spans="1:7">
      <c r="B14" s="33"/>
    </row>
    <row r="15" spans="1:7">
      <c r="A15" s="19"/>
      <c r="B15" s="33"/>
    </row>
    <row r="16" spans="1:7">
      <c r="B16" s="33"/>
    </row>
    <row r="17" spans="1:2">
      <c r="B17" s="33"/>
    </row>
    <row r="18" spans="1:2">
      <c r="B18" s="33"/>
    </row>
    <row r="19" spans="1:2">
      <c r="B19" s="33"/>
    </row>
    <row r="20" spans="1:2">
      <c r="B20" s="33"/>
    </row>
    <row r="21" spans="1:2">
      <c r="B21" s="33"/>
    </row>
    <row r="22" spans="1:2">
      <c r="B22" s="33"/>
    </row>
    <row r="23" spans="1:2">
      <c r="B23" s="33"/>
    </row>
    <row r="24" spans="1:2">
      <c r="A24" s="39"/>
      <c r="B24" s="33"/>
    </row>
    <row r="25" spans="1:2">
      <c r="A25" s="39"/>
      <c r="B25" s="33"/>
    </row>
    <row r="26" spans="1:2">
      <c r="A26" s="39"/>
      <c r="B26" s="33"/>
    </row>
    <row r="27" spans="1:2">
      <c r="A27" s="39"/>
      <c r="B27" s="33"/>
    </row>
    <row r="28" spans="1:2">
      <c r="A28" s="39"/>
      <c r="B28" s="33"/>
    </row>
    <row r="29" spans="1:2">
      <c r="A29" s="39"/>
      <c r="B29" s="33"/>
    </row>
    <row r="30" spans="1:2">
      <c r="A30" s="39"/>
      <c r="B30" s="33"/>
    </row>
    <row r="31" spans="1:2">
      <c r="B31" s="33"/>
    </row>
    <row r="32" spans="1:2">
      <c r="A32" s="39"/>
      <c r="B32" s="33"/>
    </row>
    <row r="33" spans="1:2">
      <c r="A33" s="39"/>
      <c r="B33" s="33"/>
    </row>
    <row r="34" spans="1:2">
      <c r="A34" s="39"/>
      <c r="B34" s="33"/>
    </row>
    <row r="35" spans="1:2">
      <c r="A35" s="19"/>
      <c r="B35" s="33"/>
    </row>
    <row r="36" spans="1:2">
      <c r="B36" s="33"/>
    </row>
    <row r="37" spans="1:2">
      <c r="B37" s="33"/>
    </row>
    <row r="38" spans="1:2">
      <c r="A38" s="39"/>
      <c r="B38" s="33"/>
    </row>
    <row r="39" spans="1:2">
      <c r="A39" s="39"/>
      <c r="B39" s="33"/>
    </row>
    <row r="40" spans="1:2">
      <c r="A40" s="39"/>
      <c r="B40" s="33"/>
    </row>
    <row r="41" spans="1:2">
      <c r="A41" s="39"/>
      <c r="B41" s="33"/>
    </row>
    <row r="42" spans="1:2">
      <c r="B42" s="33"/>
    </row>
    <row r="43" spans="1:2">
      <c r="A43" s="39"/>
      <c r="B43" s="33"/>
    </row>
    <row r="44" spans="1:2">
      <c r="A44" s="39"/>
      <c r="B44" s="33"/>
    </row>
    <row r="45" spans="1:2">
      <c r="B45" s="33"/>
    </row>
    <row r="46" spans="1:2">
      <c r="A46" s="39"/>
      <c r="B46" s="33"/>
    </row>
    <row r="47" spans="1:2">
      <c r="A47" s="39"/>
      <c r="B47" s="33"/>
    </row>
    <row r="48" spans="1:2">
      <c r="A48" s="39"/>
      <c r="B48" s="33"/>
    </row>
    <row r="49" spans="1:2">
      <c r="A49" s="39"/>
      <c r="B49" s="33"/>
    </row>
    <row r="50" spans="1:2">
      <c r="A50" s="39"/>
      <c r="B50" s="33"/>
    </row>
    <row r="51" spans="1:2">
      <c r="A51" s="39"/>
      <c r="B51" s="33"/>
    </row>
    <row r="52" spans="1:2">
      <c r="A52" s="39"/>
      <c r="B52" s="33"/>
    </row>
    <row r="53" spans="1:2">
      <c r="A53" s="39"/>
      <c r="B53" s="33"/>
    </row>
    <row r="54" spans="1:2">
      <c r="A54" s="39"/>
      <c r="B54" s="33"/>
    </row>
    <row r="55" spans="1:2">
      <c r="A55" s="39"/>
      <c r="B55" s="33"/>
    </row>
    <row r="56" spans="1:2">
      <c r="A56" s="39"/>
      <c r="B56" s="33"/>
    </row>
    <row r="57" spans="1:2">
      <c r="A57" s="39"/>
      <c r="B57" s="33"/>
    </row>
    <row r="58" spans="1:2">
      <c r="A58" s="39"/>
      <c r="B58" s="33"/>
    </row>
    <row r="59" spans="1:2">
      <c r="A59" s="39"/>
      <c r="B59" s="33"/>
    </row>
    <row r="60" spans="1:2">
      <c r="B60" s="33"/>
    </row>
    <row r="61" spans="1:2">
      <c r="B61" s="33"/>
    </row>
    <row r="62" spans="1:2">
      <c r="B62" s="33"/>
    </row>
    <row r="63" spans="1:2">
      <c r="B63" s="33"/>
    </row>
    <row r="64" spans="1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105" ht="12.75" customHeight="1"/>
    <row r="106" ht="95.25" customHeight="1"/>
  </sheetData>
  <phoneticPr fontId="0" type="noConversion"/>
  <pageMargins left="0.75" right="0.75" top="1" bottom="1" header="0.5" footer="0.5"/>
  <pageSetup scale="4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">
    <tabColor rgb="FFFF0000"/>
  </sheetPr>
  <dimension ref="A1:X68"/>
  <sheetViews>
    <sheetView workbookViewId="0">
      <selection activeCell="E28" sqref="E28"/>
    </sheetView>
  </sheetViews>
  <sheetFormatPr defaultRowHeight="12.75"/>
  <cols>
    <col min="1" max="1" width="8.140625" style="89" bestFit="1" customWidth="1"/>
    <col min="2" max="2" width="20.85546875" style="89" bestFit="1" customWidth="1"/>
    <col min="3" max="3" width="33" style="89" customWidth="1"/>
    <col min="4" max="4" width="46" style="89" customWidth="1"/>
    <col min="5" max="5" width="94.7109375" style="89" bestFit="1" customWidth="1"/>
    <col min="6" max="6" width="4" style="89" customWidth="1"/>
    <col min="7" max="7" width="66.140625" style="89" bestFit="1" customWidth="1"/>
    <col min="8" max="8" width="9.140625" style="89"/>
    <col min="9" max="9" width="10.7109375" style="89" customWidth="1"/>
    <col min="10" max="11" width="9.140625" style="89"/>
    <col min="12" max="12" width="21" style="89" customWidth="1"/>
    <col min="13" max="16384" width="9.140625" style="89"/>
  </cols>
  <sheetData>
    <row r="1" spans="1:24">
      <c r="A1" s="89" t="s">
        <v>83</v>
      </c>
      <c r="B1" s="84" t="s">
        <v>26</v>
      </c>
      <c r="C1" s="84" t="s">
        <v>85</v>
      </c>
      <c r="D1" s="84" t="s">
        <v>92</v>
      </c>
      <c r="E1" s="84" t="s">
        <v>71</v>
      </c>
      <c r="F1" s="84" t="s">
        <v>72</v>
      </c>
      <c r="G1" s="84" t="s">
        <v>110</v>
      </c>
      <c r="H1" s="84" t="s">
        <v>74</v>
      </c>
      <c r="I1" s="84" t="s">
        <v>75</v>
      </c>
      <c r="K1" s="84" t="s">
        <v>77</v>
      </c>
      <c r="L1" s="84" t="s">
        <v>76</v>
      </c>
      <c r="M1" s="84" t="s">
        <v>78</v>
      </c>
      <c r="N1" s="84" t="s">
        <v>79</v>
      </c>
      <c r="O1" s="84" t="s">
        <v>80</v>
      </c>
      <c r="P1" s="84" t="s">
        <v>81</v>
      </c>
      <c r="R1" s="84" t="s">
        <v>24</v>
      </c>
    </row>
    <row r="2" spans="1:24">
      <c r="A2"/>
      <c r="B2" s="90" t="s">
        <v>95</v>
      </c>
      <c r="C2" s="91" t="s">
        <v>96</v>
      </c>
      <c r="D2" s="91" t="s">
        <v>112</v>
      </c>
      <c r="E2" t="s">
        <v>97</v>
      </c>
      <c r="F2"/>
      <c r="G2" t="s">
        <v>111</v>
      </c>
      <c r="H2" t="s">
        <v>94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/>
      <c r="B3" s="90" t="s">
        <v>95</v>
      </c>
      <c r="C3" s="91" t="s">
        <v>96</v>
      </c>
      <c r="D3" s="91" t="s">
        <v>112</v>
      </c>
      <c r="E3" t="s">
        <v>98</v>
      </c>
      <c r="F3"/>
      <c r="G3" t="s">
        <v>111</v>
      </c>
      <c r="H3" t="s">
        <v>94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/>
      <c r="B4" s="90" t="s">
        <v>95</v>
      </c>
      <c r="C4" s="91" t="s">
        <v>96</v>
      </c>
      <c r="D4" s="90" t="s">
        <v>113</v>
      </c>
      <c r="E4" t="s">
        <v>99</v>
      </c>
      <c r="F4"/>
      <c r="G4" t="s">
        <v>111</v>
      </c>
      <c r="H4" t="s">
        <v>94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90" t="s">
        <v>95</v>
      </c>
      <c r="C5" s="91" t="s">
        <v>96</v>
      </c>
      <c r="D5" s="90" t="s">
        <v>114</v>
      </c>
      <c r="E5" t="s">
        <v>100</v>
      </c>
      <c r="F5"/>
      <c r="G5" t="s">
        <v>111</v>
      </c>
      <c r="H5" t="s">
        <v>94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/>
      <c r="B6" s="90" t="s">
        <v>95</v>
      </c>
      <c r="C6" s="91" t="s">
        <v>96</v>
      </c>
      <c r="D6" s="90" t="s">
        <v>115</v>
      </c>
      <c r="E6" t="s">
        <v>101</v>
      </c>
      <c r="F6"/>
      <c r="G6" t="s">
        <v>111</v>
      </c>
      <c r="H6" t="s">
        <v>94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/>
      <c r="B7" s="90" t="s">
        <v>95</v>
      </c>
      <c r="C7" s="91" t="s">
        <v>96</v>
      </c>
      <c r="D7" s="90" t="s">
        <v>116</v>
      </c>
      <c r="E7" t="s">
        <v>102</v>
      </c>
      <c r="F7"/>
      <c r="G7" t="s">
        <v>111</v>
      </c>
      <c r="H7" t="s">
        <v>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90" t="s">
        <v>95</v>
      </c>
      <c r="C8" s="91" t="s">
        <v>96</v>
      </c>
      <c r="D8" s="90" t="s">
        <v>117</v>
      </c>
      <c r="E8" t="s">
        <v>103</v>
      </c>
      <c r="F8"/>
      <c r="G8" t="s">
        <v>111</v>
      </c>
      <c r="H8" t="s">
        <v>94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90" t="s">
        <v>95</v>
      </c>
      <c r="C9" s="91" t="s">
        <v>96</v>
      </c>
      <c r="D9" s="90" t="s">
        <v>118</v>
      </c>
      <c r="E9" t="s">
        <v>104</v>
      </c>
      <c r="F9"/>
      <c r="G9" t="s">
        <v>111</v>
      </c>
      <c r="H9" t="s">
        <v>94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90" t="s">
        <v>95</v>
      </c>
      <c r="C10" s="91" t="s">
        <v>96</v>
      </c>
      <c r="D10" s="90" t="s">
        <v>113</v>
      </c>
      <c r="E10" t="s">
        <v>105</v>
      </c>
      <c r="F10"/>
      <c r="G10" t="s">
        <v>111</v>
      </c>
      <c r="H10" t="s">
        <v>94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/>
      <c r="B11" s="90" t="s">
        <v>95</v>
      </c>
      <c r="C11" s="91" t="s">
        <v>96</v>
      </c>
      <c r="D11" s="90" t="s">
        <v>119</v>
      </c>
      <c r="E11" t="s">
        <v>106</v>
      </c>
      <c r="F11"/>
      <c r="G11" t="s">
        <v>111</v>
      </c>
      <c r="H11" t="s">
        <v>94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>
      <c r="A12"/>
      <c r="B12" s="90" t="s">
        <v>95</v>
      </c>
      <c r="C12" s="91" t="s">
        <v>96</v>
      </c>
      <c r="D12" s="90" t="s">
        <v>120</v>
      </c>
      <c r="E12" t="s">
        <v>107</v>
      </c>
      <c r="F12"/>
      <c r="G12" t="s">
        <v>111</v>
      </c>
      <c r="H12" t="s">
        <v>94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90" t="s">
        <v>95</v>
      </c>
      <c r="C13" s="91" t="s">
        <v>96</v>
      </c>
      <c r="D13" s="90" t="s">
        <v>114</v>
      </c>
      <c r="E13" t="s">
        <v>108</v>
      </c>
      <c r="F13"/>
      <c r="G13" t="s">
        <v>111</v>
      </c>
      <c r="H13" t="s">
        <v>94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90" t="s">
        <v>95</v>
      </c>
      <c r="C14" s="91" t="s">
        <v>96</v>
      </c>
      <c r="D14" s="90" t="s">
        <v>114</v>
      </c>
      <c r="E14" t="s">
        <v>109</v>
      </c>
      <c r="F14"/>
      <c r="G14" t="s">
        <v>111</v>
      </c>
      <c r="H14" t="s">
        <v>94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A15"/>
      <c r="B15" s="90" t="s">
        <v>55</v>
      </c>
      <c r="C15" s="91" t="s">
        <v>129</v>
      </c>
      <c r="D15" s="90" t="s">
        <v>130</v>
      </c>
      <c r="E15" t="s">
        <v>121</v>
      </c>
      <c r="F15"/>
      <c r="G15" t="s">
        <v>93</v>
      </c>
      <c r="H15" t="s">
        <v>94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>
      <c r="A16"/>
      <c r="B16" s="90" t="s">
        <v>87</v>
      </c>
      <c r="C16" s="91" t="s">
        <v>90</v>
      </c>
      <c r="D16" s="90" t="s">
        <v>91</v>
      </c>
      <c r="E16" t="s">
        <v>122</v>
      </c>
      <c r="F16"/>
      <c r="G16" t="s">
        <v>93</v>
      </c>
      <c r="H16" t="s">
        <v>94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>
      <c r="A17"/>
      <c r="B17" s="90" t="s">
        <v>55</v>
      </c>
      <c r="C17" s="91" t="s">
        <v>129</v>
      </c>
      <c r="D17" s="90" t="s">
        <v>88</v>
      </c>
      <c r="E17" t="s">
        <v>123</v>
      </c>
      <c r="F17"/>
      <c r="G17" t="s">
        <v>93</v>
      </c>
      <c r="H17" t="s">
        <v>94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/>
      <c r="B18" s="90" t="s">
        <v>55</v>
      </c>
      <c r="C18" s="91" t="s">
        <v>129</v>
      </c>
      <c r="D18" s="90" t="s">
        <v>130</v>
      </c>
      <c r="E18" t="s">
        <v>124</v>
      </c>
      <c r="F18"/>
      <c r="G18" t="s">
        <v>93</v>
      </c>
      <c r="H18" t="s">
        <v>94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>
      <c r="A19"/>
      <c r="B19" s="90" t="s">
        <v>87</v>
      </c>
      <c r="C19" s="91" t="s">
        <v>90</v>
      </c>
      <c r="D19" s="90" t="s">
        <v>91</v>
      </c>
      <c r="E19" t="s">
        <v>125</v>
      </c>
      <c r="F19"/>
      <c r="G19" t="s">
        <v>93</v>
      </c>
      <c r="H19" t="s">
        <v>94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 s="91" t="s">
        <v>54</v>
      </c>
      <c r="C20" s="91" t="s">
        <v>128</v>
      </c>
      <c r="D20" s="91" t="s">
        <v>128</v>
      </c>
      <c r="E20" t="s">
        <v>126</v>
      </c>
      <c r="F20"/>
      <c r="G20" t="s">
        <v>93</v>
      </c>
      <c r="H20" t="s">
        <v>94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>
      <c r="A21"/>
      <c r="B21" s="91" t="s">
        <v>54</v>
      </c>
      <c r="C21" s="91" t="s">
        <v>128</v>
      </c>
      <c r="D21" s="91" t="s">
        <v>128</v>
      </c>
      <c r="E21" t="s">
        <v>127</v>
      </c>
      <c r="F21"/>
      <c r="G21" t="s">
        <v>93</v>
      </c>
      <c r="H21" t="s">
        <v>94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>
      <c r="A22" t="s">
        <v>82</v>
      </c>
      <c r="B22" s="91" t="s">
        <v>87</v>
      </c>
      <c r="C22" s="91" t="s">
        <v>132</v>
      </c>
      <c r="D22" s="91" t="s">
        <v>131</v>
      </c>
      <c r="E22" t="s">
        <v>131</v>
      </c>
      <c r="F22"/>
      <c r="G22" t="s">
        <v>93</v>
      </c>
      <c r="H22" t="s">
        <v>94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90" customFormat="1">
      <c r="A23" s="190" t="s">
        <v>82</v>
      </c>
      <c r="B23" s="191" t="s">
        <v>134</v>
      </c>
      <c r="C23" s="191" t="s">
        <v>135</v>
      </c>
      <c r="D23" s="191" t="s">
        <v>136</v>
      </c>
      <c r="E23" s="190" t="s">
        <v>133</v>
      </c>
      <c r="G23" s="190" t="s">
        <v>93</v>
      </c>
      <c r="H23" s="190" t="s">
        <v>94</v>
      </c>
    </row>
    <row r="24" spans="1:24" s="190" customFormat="1">
      <c r="A24" s="190" t="s">
        <v>82</v>
      </c>
      <c r="B24" s="191" t="s">
        <v>87</v>
      </c>
      <c r="C24" s="191" t="s">
        <v>90</v>
      </c>
      <c r="D24" s="191" t="s">
        <v>91</v>
      </c>
      <c r="E24" s="190" t="s">
        <v>137</v>
      </c>
      <c r="G24" s="190" t="s">
        <v>93</v>
      </c>
      <c r="H24" s="190" t="s">
        <v>94</v>
      </c>
    </row>
    <row r="25" spans="1:24">
      <c r="A25" t="s">
        <v>82</v>
      </c>
      <c r="B25" s="91" t="s">
        <v>150</v>
      </c>
      <c r="C25" s="91" t="s">
        <v>151</v>
      </c>
      <c r="D25" s="91" t="s">
        <v>152</v>
      </c>
      <c r="E25" t="s">
        <v>149</v>
      </c>
      <c r="F25"/>
      <c r="G25" t="s">
        <v>93</v>
      </c>
      <c r="H25" t="s">
        <v>94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t="s">
        <v>82</v>
      </c>
      <c r="B26" s="91" t="s">
        <v>73</v>
      </c>
      <c r="C26" s="91" t="s">
        <v>86</v>
      </c>
      <c r="D26" s="91" t="s">
        <v>86</v>
      </c>
      <c r="E26" t="s">
        <v>89</v>
      </c>
      <c r="F26"/>
      <c r="G26" t="s">
        <v>93</v>
      </c>
      <c r="H26" t="s">
        <v>94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>
      <c r="A27"/>
      <c r="B27" s="91" t="s">
        <v>95</v>
      </c>
      <c r="C27" s="91" t="s">
        <v>139</v>
      </c>
      <c r="D27" s="91" t="s">
        <v>138</v>
      </c>
      <c r="E27" t="s">
        <v>140</v>
      </c>
      <c r="F27"/>
      <c r="G27" t="s">
        <v>157</v>
      </c>
      <c r="H27" t="s">
        <v>94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/>
      <c r="B28" s="91" t="s">
        <v>95</v>
      </c>
      <c r="C28" s="91" t="s">
        <v>139</v>
      </c>
      <c r="D28" s="91" t="s">
        <v>138</v>
      </c>
      <c r="E28" t="s">
        <v>141</v>
      </c>
      <c r="F28"/>
      <c r="G28" t="s">
        <v>157</v>
      </c>
      <c r="H28" t="s">
        <v>94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>
      <c r="A29"/>
      <c r="B29" s="91" t="s">
        <v>95</v>
      </c>
      <c r="C29" s="91" t="s">
        <v>139</v>
      </c>
      <c r="D29" s="91" t="s">
        <v>138</v>
      </c>
      <c r="E29" t="s">
        <v>142</v>
      </c>
      <c r="F29"/>
      <c r="G29" t="s">
        <v>157</v>
      </c>
      <c r="H29" t="s">
        <v>94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>
      <c r="A30"/>
      <c r="B30" s="91" t="s">
        <v>95</v>
      </c>
      <c r="C30" s="91" t="s">
        <v>139</v>
      </c>
      <c r="D30" s="91" t="s">
        <v>138</v>
      </c>
      <c r="E30" t="s">
        <v>143</v>
      </c>
      <c r="F30"/>
      <c r="G30" t="s">
        <v>157</v>
      </c>
      <c r="H30" t="s">
        <v>94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>
      <c r="A31"/>
      <c r="B31" s="91" t="s">
        <v>95</v>
      </c>
      <c r="C31" s="91" t="s">
        <v>139</v>
      </c>
      <c r="D31" s="91" t="s">
        <v>138</v>
      </c>
      <c r="E31" t="s">
        <v>146</v>
      </c>
      <c r="F31"/>
      <c r="G31" t="s">
        <v>157</v>
      </c>
      <c r="H31" t="s">
        <v>94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>
      <c r="A32"/>
      <c r="B32" s="91" t="s">
        <v>95</v>
      </c>
      <c r="C32" s="91" t="s">
        <v>139</v>
      </c>
      <c r="D32" s="91" t="s">
        <v>138</v>
      </c>
      <c r="E32" t="s">
        <v>144</v>
      </c>
      <c r="F32"/>
      <c r="G32" t="s">
        <v>157</v>
      </c>
      <c r="H32" t="s">
        <v>94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>
      <c r="A33"/>
      <c r="B33" s="91" t="s">
        <v>95</v>
      </c>
      <c r="C33" s="91" t="s">
        <v>139</v>
      </c>
      <c r="D33" s="91" t="s">
        <v>138</v>
      </c>
      <c r="E33" t="s">
        <v>145</v>
      </c>
      <c r="F33"/>
      <c r="G33" t="s">
        <v>157</v>
      </c>
      <c r="H33" t="s">
        <v>94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>
      <c r="A34"/>
      <c r="B34" s="91" t="s">
        <v>95</v>
      </c>
      <c r="C34" s="91" t="s">
        <v>139</v>
      </c>
      <c r="D34" s="91" t="s">
        <v>138</v>
      </c>
      <c r="E34" t="s">
        <v>28</v>
      </c>
      <c r="F34"/>
      <c r="G34" t="s">
        <v>157</v>
      </c>
      <c r="H34" t="s">
        <v>94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>
      <c r="A35"/>
      <c r="B35" s="91" t="s">
        <v>95</v>
      </c>
      <c r="C35" s="91" t="s">
        <v>139</v>
      </c>
      <c r="D35" s="91" t="s">
        <v>138</v>
      </c>
      <c r="E35" t="s">
        <v>147</v>
      </c>
      <c r="F35"/>
      <c r="G35" t="s">
        <v>157</v>
      </c>
      <c r="H35" t="s">
        <v>94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>
      <c r="A36"/>
      <c r="B36" s="91" t="s">
        <v>95</v>
      </c>
      <c r="C36" s="91" t="s">
        <v>139</v>
      </c>
      <c r="D36" s="91" t="s">
        <v>138</v>
      </c>
      <c r="E36" t="s">
        <v>148</v>
      </c>
      <c r="F36"/>
      <c r="G36" t="s">
        <v>157</v>
      </c>
      <c r="H36" t="s">
        <v>94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>
      <c r="A37"/>
      <c r="B37" s="91" t="s">
        <v>95</v>
      </c>
      <c r="C37" s="91" t="s">
        <v>139</v>
      </c>
      <c r="D37" s="91" t="s">
        <v>138</v>
      </c>
      <c r="E37" t="s">
        <v>153</v>
      </c>
      <c r="F37"/>
      <c r="G37" t="s">
        <v>157</v>
      </c>
      <c r="H37" t="s">
        <v>94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>
      <c r="A38"/>
      <c r="B38" s="91" t="s">
        <v>95</v>
      </c>
      <c r="C38" s="91" t="s">
        <v>139</v>
      </c>
      <c r="D38" s="91" t="s">
        <v>138</v>
      </c>
      <c r="E38" s="89" t="s">
        <v>154</v>
      </c>
      <c r="F38"/>
      <c r="G38" t="s">
        <v>157</v>
      </c>
      <c r="H38" t="s">
        <v>94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>
      <c r="A39"/>
      <c r="B39" s="91" t="s">
        <v>95</v>
      </c>
      <c r="C39" s="91" t="s">
        <v>139</v>
      </c>
      <c r="D39" s="91" t="s">
        <v>138</v>
      </c>
      <c r="E39" s="89" t="s">
        <v>155</v>
      </c>
      <c r="F39"/>
      <c r="G39" t="s">
        <v>157</v>
      </c>
      <c r="H39" t="s">
        <v>94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>
      <c r="A40"/>
      <c r="B40" s="91" t="s">
        <v>95</v>
      </c>
      <c r="C40" s="91" t="s">
        <v>139</v>
      </c>
      <c r="D40" s="91" t="s">
        <v>138</v>
      </c>
      <c r="E40" s="89" t="s">
        <v>156</v>
      </c>
      <c r="F40"/>
      <c r="G40" t="s">
        <v>157</v>
      </c>
      <c r="H40" t="s">
        <v>94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A41" t="s">
        <v>82</v>
      </c>
      <c r="B41" s="91" t="s">
        <v>95</v>
      </c>
      <c r="C41" s="91" t="s">
        <v>90</v>
      </c>
      <c r="D41" s="90" t="s">
        <v>91</v>
      </c>
      <c r="E41" s="91" t="s">
        <v>158</v>
      </c>
      <c r="F41"/>
      <c r="G41" t="s">
        <v>111</v>
      </c>
      <c r="H41" t="s">
        <v>94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A42"/>
      <c r="B42" s="91" t="s">
        <v>95</v>
      </c>
      <c r="C42" s="91" t="s">
        <v>161</v>
      </c>
      <c r="D42" s="90" t="s">
        <v>162</v>
      </c>
      <c r="E42" t="s">
        <v>159</v>
      </c>
      <c r="F42"/>
      <c r="G42" t="s">
        <v>111</v>
      </c>
      <c r="H42" t="s">
        <v>94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A43"/>
      <c r="B43" s="91" t="s">
        <v>95</v>
      </c>
      <c r="C43" s="91" t="s">
        <v>161</v>
      </c>
      <c r="D43" s="90" t="s">
        <v>162</v>
      </c>
      <c r="E43" t="s">
        <v>160</v>
      </c>
      <c r="F43"/>
      <c r="G43" t="s">
        <v>111</v>
      </c>
      <c r="H43" t="s">
        <v>94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A44"/>
      <c r="B44" s="91" t="s">
        <v>95</v>
      </c>
      <c r="C44" s="91" t="s">
        <v>161</v>
      </c>
      <c r="D44" s="90" t="s">
        <v>162</v>
      </c>
      <c r="E44" t="s">
        <v>163</v>
      </c>
      <c r="F44"/>
      <c r="G44" t="s">
        <v>111</v>
      </c>
      <c r="H44" t="s">
        <v>94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A45"/>
      <c r="B45" s="91" t="s">
        <v>95</v>
      </c>
      <c r="C45" s="91" t="s">
        <v>161</v>
      </c>
      <c r="D45" s="90" t="s">
        <v>162</v>
      </c>
      <c r="E45" t="s">
        <v>164</v>
      </c>
      <c r="F45"/>
      <c r="G45" t="s">
        <v>111</v>
      </c>
      <c r="H45" t="s">
        <v>94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A46"/>
      <c r="B46"/>
      <c r="C46"/>
      <c r="D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/>
      <c r="B47"/>
      <c r="C47"/>
      <c r="D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C48"/>
      <c r="D48"/>
      <c r="G48"/>
    </row>
    <row r="49" spans="3:7">
      <c r="C49"/>
      <c r="D49"/>
      <c r="G49"/>
    </row>
    <row r="50" spans="3:7">
      <c r="C50"/>
      <c r="D50"/>
      <c r="G50"/>
    </row>
    <row r="51" spans="3:7">
      <c r="C51"/>
      <c r="D51"/>
      <c r="G51"/>
    </row>
    <row r="52" spans="3:7">
      <c r="D52"/>
      <c r="G52"/>
    </row>
    <row r="53" spans="3:7">
      <c r="D53"/>
      <c r="G53"/>
    </row>
    <row r="54" spans="3:7">
      <c r="D54"/>
      <c r="G54"/>
    </row>
    <row r="55" spans="3:7">
      <c r="D55"/>
      <c r="G55"/>
    </row>
    <row r="56" spans="3:7">
      <c r="D56"/>
      <c r="G56"/>
    </row>
    <row r="57" spans="3:7">
      <c r="D57"/>
      <c r="G57"/>
    </row>
    <row r="58" spans="3:7">
      <c r="D58"/>
      <c r="G58"/>
    </row>
    <row r="59" spans="3:7">
      <c r="D59"/>
      <c r="G59"/>
    </row>
    <row r="60" spans="3:7">
      <c r="D60"/>
      <c r="G60"/>
    </row>
    <row r="61" spans="3:7">
      <c r="D61"/>
      <c r="G61"/>
    </row>
    <row r="62" spans="3:7">
      <c r="D62"/>
      <c r="G62"/>
    </row>
    <row r="63" spans="3:7">
      <c r="D63"/>
      <c r="G63"/>
    </row>
    <row r="64" spans="3:7">
      <c r="D64"/>
      <c r="G64"/>
    </row>
    <row r="65" spans="4:7">
      <c r="D65"/>
      <c r="G65"/>
    </row>
    <row r="66" spans="4:7">
      <c r="D66"/>
      <c r="G66"/>
    </row>
    <row r="67" spans="4:7">
      <c r="D67"/>
      <c r="G67"/>
    </row>
    <row r="68" spans="4:7">
      <c r="D68"/>
      <c r="G68"/>
    </row>
  </sheetData>
  <autoFilter ref="A1:I47">
    <filterColumn colId="3"/>
    <sortState ref="A2:I45">
      <sortCondition ref="B1:B4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0" enableFormatConditionsCalculation="0">
    <tabColor rgb="FFFF0000"/>
  </sheetPr>
  <dimension ref="A1:X109"/>
  <sheetViews>
    <sheetView topLeftCell="A19" zoomScale="115" zoomScaleNormal="115" workbookViewId="0">
      <selection activeCell="A31" sqref="A31"/>
    </sheetView>
  </sheetViews>
  <sheetFormatPr defaultRowHeight="12.75"/>
  <cols>
    <col min="1" max="1" width="14.42578125" customWidth="1"/>
    <col min="2" max="2" width="60.7109375" customWidth="1"/>
    <col min="3" max="3" width="9.28515625" customWidth="1"/>
    <col min="4" max="4" width="41.42578125" customWidth="1"/>
    <col min="5" max="5" width="13.42578125" customWidth="1"/>
    <col min="6" max="6" width="87" customWidth="1"/>
    <col min="8" max="8" width="40" customWidth="1"/>
  </cols>
  <sheetData>
    <row r="1" spans="1:8">
      <c r="A1" t="s">
        <v>13</v>
      </c>
      <c r="B1" t="s">
        <v>18</v>
      </c>
    </row>
    <row r="4" spans="1:8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</row>
    <row r="8" spans="1:8">
      <c r="D8" s="43" t="s">
        <v>17</v>
      </c>
    </row>
    <row r="9" spans="1:8" s="9" customFormat="1" ht="51">
      <c r="A9" s="32" t="s">
        <v>26</v>
      </c>
      <c r="B9" s="32" t="s">
        <v>30</v>
      </c>
      <c r="C9" s="32" t="s">
        <v>27</v>
      </c>
      <c r="D9" s="32" t="s">
        <v>31</v>
      </c>
      <c r="E9" s="32" t="s">
        <v>16</v>
      </c>
      <c r="F9" s="32" t="s">
        <v>19</v>
      </c>
      <c r="G9" s="32" t="s">
        <v>20</v>
      </c>
      <c r="H9" s="32" t="s">
        <v>2</v>
      </c>
    </row>
    <row r="10" spans="1:8">
      <c r="A10" s="91" t="s">
        <v>95</v>
      </c>
      <c r="B10" s="95" t="s">
        <v>310</v>
      </c>
      <c r="C10" s="13"/>
      <c r="D10" s="79" t="str">
        <f>IF(C10="",B10,CONCATENATE(B10," - ",C10))</f>
        <v xml:space="preserve">Wheel/hand line systems: Replace worn nozzle with new flow controlling type nozzle for impact sprinklers </v>
      </c>
      <c r="G10" s="1"/>
    </row>
    <row r="11" spans="1:8">
      <c r="A11" s="91" t="s">
        <v>95</v>
      </c>
      <c r="B11" s="95" t="s">
        <v>311</v>
      </c>
      <c r="D11" s="79" t="str">
        <f t="shared" ref="D11:D29" si="0">IF(C11="",B11,CONCATENATE(B11," - ",C11))</f>
        <v xml:space="preserve">Wheel/hand line systems: Replace worn nozzle with new nozzle </v>
      </c>
    </row>
    <row r="12" spans="1:8">
      <c r="A12" s="91" t="s">
        <v>95</v>
      </c>
      <c r="B12" s="95" t="s">
        <v>312</v>
      </c>
      <c r="D12" s="79" t="str">
        <f t="shared" si="0"/>
        <v xml:space="preserve">Wheel/hand line systems: Rebuild or replace leaking impact sprinkler with new or rebuilt impact sprinkler </v>
      </c>
    </row>
    <row r="13" spans="1:8">
      <c r="A13" s="91" t="s">
        <v>95</v>
      </c>
      <c r="B13" s="95" t="s">
        <v>313</v>
      </c>
      <c r="D13" s="79" t="str">
        <f t="shared" si="0"/>
        <v xml:space="preserve">Wheel/hand line systems: Replace leaking gasket with new gasket </v>
      </c>
    </row>
    <row r="14" spans="1:8">
      <c r="A14" s="91" t="s">
        <v>95</v>
      </c>
      <c r="B14" s="95" t="s">
        <v>314</v>
      </c>
      <c r="D14" s="79" t="str">
        <f t="shared" si="0"/>
        <v xml:space="preserve">Wheel/hand line systems: Replace leaking drain with new drain </v>
      </c>
    </row>
    <row r="15" spans="1:8">
      <c r="A15" s="91" t="s">
        <v>95</v>
      </c>
      <c r="B15" s="95" t="s">
        <v>315</v>
      </c>
      <c r="C15" s="13"/>
      <c r="D15" s="79" t="str">
        <f t="shared" si="0"/>
        <v xml:space="preserve">Wheel/hand line systems: Cut and pipe press repair of leaking hand-lines, wheel-lines, and portable main-lines </v>
      </c>
      <c r="G15" s="1"/>
    </row>
    <row r="16" spans="1:8">
      <c r="A16" s="91" t="s">
        <v>95</v>
      </c>
      <c r="B16" s="95" t="s">
        <v>316</v>
      </c>
      <c r="D16" s="79" t="str">
        <f t="shared" si="0"/>
        <v xml:space="preserve">Thunderbird wheel line systems: Replace leaking hub with new hub </v>
      </c>
    </row>
    <row r="17" spans="1:24">
      <c r="A17" s="91" t="s">
        <v>95</v>
      </c>
      <c r="B17" s="95" t="s">
        <v>317</v>
      </c>
      <c r="D17" s="79" t="str">
        <f t="shared" si="0"/>
        <v xml:space="preserve">Wheel line systems: Rebuild or replace leaking or malfunctioning leveler with new or rebuilt leveler. </v>
      </c>
    </row>
    <row r="18" spans="1:24">
      <c r="A18" s="91" t="s">
        <v>95</v>
      </c>
      <c r="B18" s="95" t="s">
        <v>318</v>
      </c>
      <c r="D18" s="79" t="str">
        <f t="shared" si="0"/>
        <v xml:space="preserve">Center pivot/linear move systems: Install new sprinkler package on an existing system. </v>
      </c>
    </row>
    <row r="19" spans="1:24">
      <c r="A19" s="91" t="s">
        <v>95</v>
      </c>
      <c r="B19" s="95" t="s">
        <v>319</v>
      </c>
      <c r="D19" s="79" t="str">
        <f t="shared" si="0"/>
        <v xml:space="preserve">Center pivot/linear move systems: New gooseneck elbows </v>
      </c>
    </row>
    <row r="20" spans="1:24">
      <c r="A20" s="91" t="s">
        <v>95</v>
      </c>
      <c r="B20" s="95" t="s">
        <v>320</v>
      </c>
      <c r="C20" s="13"/>
      <c r="D20" s="79" t="str">
        <f t="shared" si="0"/>
        <v xml:space="preserve">Center pivot/linear move systems: New drop tubes (3 feet minimum) </v>
      </c>
      <c r="G20" s="1"/>
    </row>
    <row r="21" spans="1:24">
      <c r="A21" s="91" t="s">
        <v>95</v>
      </c>
      <c r="B21" s="95" t="s">
        <v>321</v>
      </c>
      <c r="D21" s="79" t="str">
        <f t="shared" si="0"/>
        <v xml:space="preserve">Center pivot/linear move systems: Replace leaking pivot boot gasket with new pivot boot gasket </v>
      </c>
    </row>
    <row r="22" spans="1:24">
      <c r="A22" s="91" t="s">
        <v>95</v>
      </c>
      <c r="B22" s="95" t="s">
        <v>322</v>
      </c>
      <c r="D22" s="79" t="str">
        <f t="shared" si="0"/>
        <v xml:space="preserve">Center pivot/linear move systems: Replace leaking tower gasket with new tower gasket </v>
      </c>
    </row>
    <row r="23" spans="1:24">
      <c r="A23" s="91" t="s">
        <v>95</v>
      </c>
      <c r="B23" s="95" t="s">
        <v>159</v>
      </c>
      <c r="D23" s="79" t="str">
        <f t="shared" si="0"/>
        <v>Convert Medium Pressure Center Pivot to Low pressure system</v>
      </c>
    </row>
    <row r="24" spans="1:24">
      <c r="A24" s="91" t="s">
        <v>95</v>
      </c>
      <c r="B24" s="95" t="s">
        <v>160</v>
      </c>
      <c r="C24" s="13"/>
      <c r="D24" s="79" t="str">
        <f t="shared" si="0"/>
        <v>Convert High Pressure Center Pivot to Low pressure system</v>
      </c>
      <c r="G24" s="1"/>
    </row>
    <row r="25" spans="1:24">
      <c r="A25" s="91" t="s">
        <v>95</v>
      </c>
      <c r="B25" s="95" t="s">
        <v>163</v>
      </c>
      <c r="D25" s="79" t="str">
        <f t="shared" si="0"/>
        <v>Convert wheel line systems to low pressure systems on alfalfa acreage</v>
      </c>
      <c r="G25" s="1"/>
    </row>
    <row r="26" spans="1:24">
      <c r="A26" s="91" t="s">
        <v>95</v>
      </c>
      <c r="B26" s="95" t="s">
        <v>164</v>
      </c>
      <c r="D26" s="79" t="str">
        <f t="shared" si="0"/>
        <v>Convert hand line systems to low pressure systems on alfalfa acreage</v>
      </c>
      <c r="G26" s="1"/>
    </row>
    <row r="27" spans="1:24" s="89" customFormat="1">
      <c r="A27" s="91" t="s">
        <v>95</v>
      </c>
      <c r="B27" s="91" t="s">
        <v>182</v>
      </c>
      <c r="C27"/>
      <c r="D27" s="79" t="str">
        <f t="shared" si="0"/>
        <v>SIS</v>
      </c>
      <c r="F27"/>
      <c r="G27" t="s">
        <v>157</v>
      </c>
      <c r="H27" t="s">
        <v>94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 s="91" t="s">
        <v>95</v>
      </c>
      <c r="B28" s="91" t="s">
        <v>342</v>
      </c>
      <c r="C28" s="94"/>
      <c r="D28" s="79" t="str">
        <f t="shared" si="0"/>
        <v>LESA</v>
      </c>
    </row>
    <row r="29" spans="1:24">
      <c r="A29" s="91" t="s">
        <v>87</v>
      </c>
      <c r="B29" s="91" t="s">
        <v>131</v>
      </c>
      <c r="C29" s="13"/>
      <c r="D29" s="79" t="str">
        <f t="shared" si="0"/>
        <v>Motor Rewind</v>
      </c>
    </row>
    <row r="30" spans="1:24">
      <c r="A30" s="91" t="s">
        <v>87</v>
      </c>
      <c r="B30" s="91" t="s">
        <v>158</v>
      </c>
      <c r="D30" s="79" t="str">
        <f>IF(C30="",B30,CONCATENATE(B30," - ",C30))</f>
        <v>Install VSD on Irrigation Pump</v>
      </c>
    </row>
    <row r="31" spans="1:24">
      <c r="A31" s="91" t="s">
        <v>87</v>
      </c>
      <c r="B31" t="s">
        <v>349</v>
      </c>
      <c r="C31" s="13" t="s">
        <v>353</v>
      </c>
      <c r="D31" s="79" t="str">
        <f>IF(C31="",B31,CONCATENATE(B31," - ",C31))</f>
        <v>VSD - Vacuum Pump - FreeStall</v>
      </c>
    </row>
    <row r="32" spans="1:24">
      <c r="A32" s="91" t="s">
        <v>55</v>
      </c>
      <c r="B32" t="s">
        <v>130</v>
      </c>
      <c r="C32" s="13" t="s">
        <v>353</v>
      </c>
      <c r="D32" s="79" t="str">
        <f t="shared" ref="D32:D42" si="1">IF(C32="",B32,CONCATENATE(B32," - ",C32))</f>
        <v>Plate Milk Pre-cooler - FreeStall</v>
      </c>
    </row>
    <row r="33" spans="1:4">
      <c r="A33" s="91" t="s">
        <v>54</v>
      </c>
      <c r="B33" t="s">
        <v>350</v>
      </c>
      <c r="C33" s="13" t="s">
        <v>353</v>
      </c>
      <c r="D33" s="79" t="str">
        <f t="shared" si="1"/>
        <v>Energy Efficient Lighting - FreeStall</v>
      </c>
    </row>
    <row r="34" spans="1:4">
      <c r="A34" s="91" t="s">
        <v>87</v>
      </c>
      <c r="B34" t="s">
        <v>349</v>
      </c>
      <c r="C34" s="13" t="s">
        <v>354</v>
      </c>
      <c r="D34" s="79" t="str">
        <f t="shared" si="1"/>
        <v>VSD - Vacuum Pump - TieStall</v>
      </c>
    </row>
    <row r="35" spans="1:4">
      <c r="A35" s="91" t="s">
        <v>55</v>
      </c>
      <c r="B35" t="s">
        <v>351</v>
      </c>
      <c r="C35" s="13" t="s">
        <v>354</v>
      </c>
      <c r="D35" s="79" t="str">
        <f t="shared" si="1"/>
        <v>Heat Recovery Refrigeration - TieStall</v>
      </c>
    </row>
    <row r="36" spans="1:4">
      <c r="A36" s="91" t="s">
        <v>55</v>
      </c>
      <c r="B36" t="s">
        <v>352</v>
      </c>
      <c r="C36" s="13" t="s">
        <v>354</v>
      </c>
      <c r="D36" s="79" t="str">
        <f t="shared" si="1"/>
        <v>Plate Milk Pre-Cooler - TieStall</v>
      </c>
    </row>
    <row r="37" spans="1:4">
      <c r="A37" s="91" t="s">
        <v>54</v>
      </c>
      <c r="B37" t="s">
        <v>350</v>
      </c>
      <c r="C37" s="13" t="s">
        <v>354</v>
      </c>
      <c r="D37" s="79" t="str">
        <f t="shared" si="1"/>
        <v>Energy Efficient Lighting - TieStall</v>
      </c>
    </row>
    <row r="38" spans="1:4">
      <c r="A38" s="91" t="s">
        <v>54</v>
      </c>
      <c r="B38" s="95" t="s">
        <v>355</v>
      </c>
      <c r="C38" s="13"/>
      <c r="D38" s="79" t="str">
        <f t="shared" si="1"/>
        <v>35-44W LED fixture &amp; NEW Photocell_Replacing_175W MH fixture</v>
      </c>
    </row>
    <row r="39" spans="1:4">
      <c r="A39" s="91" t="s">
        <v>54</v>
      </c>
      <c r="B39" s="95" t="s">
        <v>356</v>
      </c>
      <c r="C39" s="13"/>
      <c r="D39" s="79" t="str">
        <f t="shared" si="1"/>
        <v>35-44W LED fixture &amp; NEW Photocell_Replacing_150W HID fixture</v>
      </c>
    </row>
    <row r="40" spans="1:4">
      <c r="A40" s="91" t="s">
        <v>54</v>
      </c>
      <c r="B40" s="95" t="s">
        <v>357</v>
      </c>
      <c r="C40" s="13"/>
      <c r="D40" s="79" t="str">
        <f t="shared" si="1"/>
        <v>35-44W LED fixture &amp; NEW Photocell_Replacing_100W HID fixture</v>
      </c>
    </row>
    <row r="41" spans="1:4">
      <c r="A41" s="91" t="s">
        <v>54</v>
      </c>
      <c r="B41" s="95" t="s">
        <v>358</v>
      </c>
      <c r="C41" s="13"/>
      <c r="D41" s="79" t="str">
        <f t="shared" si="1"/>
        <v>35-44W LED fixture &amp; NEW Photocell_Replacing_175W MV fixture</v>
      </c>
    </row>
    <row r="42" spans="1:4">
      <c r="A42" s="91" t="s">
        <v>54</v>
      </c>
      <c r="B42" s="95" t="s">
        <v>359</v>
      </c>
      <c r="C42" s="13"/>
      <c r="D42" s="79" t="str">
        <f t="shared" si="1"/>
        <v>35-44W LED fixture &amp; NEW Photocell_Replacing_200W HID fixture</v>
      </c>
    </row>
    <row r="43" spans="1:4">
      <c r="C43" s="13"/>
      <c r="D43" s="79"/>
    </row>
    <row r="44" spans="1:4">
      <c r="C44" s="13"/>
      <c r="D44" s="79"/>
    </row>
    <row r="45" spans="1:4">
      <c r="C45" s="13"/>
      <c r="D45" s="79"/>
    </row>
    <row r="46" spans="1:4">
      <c r="C46" s="13"/>
      <c r="D46" s="79"/>
    </row>
    <row r="47" spans="1:4">
      <c r="C47" s="13"/>
      <c r="D47" s="79"/>
    </row>
    <row r="48" spans="1:4">
      <c r="C48" s="13"/>
      <c r="D48" s="79"/>
    </row>
    <row r="49" spans="3:4">
      <c r="C49" s="13"/>
      <c r="D49" s="79"/>
    </row>
    <row r="50" spans="3:4">
      <c r="C50" s="13"/>
      <c r="D50" s="79"/>
    </row>
    <row r="51" spans="3:4">
      <c r="C51" s="13"/>
      <c r="D51" s="79"/>
    </row>
    <row r="99" spans="1:1" ht="13.5" thickBot="1">
      <c r="A99" s="194" t="s">
        <v>397</v>
      </c>
    </row>
    <row r="100" spans="1:1" ht="13.5" thickTop="1">
      <c r="A100" s="189" t="s">
        <v>393</v>
      </c>
    </row>
    <row r="101" spans="1:1">
      <c r="A101" s="193" t="s">
        <v>394</v>
      </c>
    </row>
    <row r="102" spans="1:1">
      <c r="A102" s="189" t="s">
        <v>95</v>
      </c>
    </row>
    <row r="103" spans="1:1">
      <c r="A103" s="189" t="s">
        <v>54</v>
      </c>
    </row>
    <row r="104" spans="1:1">
      <c r="A104" s="189" t="s">
        <v>87</v>
      </c>
    </row>
    <row r="105" spans="1:1">
      <c r="A105" s="189" t="s">
        <v>134</v>
      </c>
    </row>
    <row r="106" spans="1:1">
      <c r="A106" s="189" t="s">
        <v>55</v>
      </c>
    </row>
    <row r="107" spans="1:1">
      <c r="A107" s="189" t="s">
        <v>395</v>
      </c>
    </row>
    <row r="108" spans="1:1">
      <c r="A108" s="189" t="s">
        <v>73</v>
      </c>
    </row>
    <row r="109" spans="1:1">
      <c r="A109" s="189" t="s">
        <v>396</v>
      </c>
    </row>
  </sheetData>
  <phoneticPr fontId="0" type="noConversion"/>
  <dataValidations count="1">
    <dataValidation type="list" allowBlank="1" showInputMessage="1" showErrorMessage="1" sqref="A10:A42">
      <formula1>$A$100:$A$109</formula1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4" enableFormatConditionsCalculation="0">
    <tabColor indexed="43"/>
  </sheetPr>
  <dimension ref="A1:S104"/>
  <sheetViews>
    <sheetView topLeftCell="B1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H10" sqref="H10"/>
    </sheetView>
  </sheetViews>
  <sheetFormatPr defaultRowHeight="12.75"/>
  <cols>
    <col min="1" max="1" width="18" customWidth="1"/>
    <col min="2" max="2" width="42.42578125" customWidth="1"/>
    <col min="3" max="3" width="38.28515625" customWidth="1"/>
    <col min="4" max="4" width="10.7109375" customWidth="1"/>
    <col min="5" max="5" width="8.5703125" customWidth="1"/>
    <col min="6" max="6" width="31.140625" customWidth="1"/>
    <col min="7" max="7" width="11.85546875" customWidth="1"/>
    <col min="8" max="8" width="13.140625" customWidth="1"/>
    <col min="9" max="9" width="9.42578125" customWidth="1"/>
    <col min="10" max="10" width="10.5703125" style="1" customWidth="1"/>
    <col min="11" max="11" width="12.140625" style="1" customWidth="1"/>
    <col min="12" max="12" width="13.42578125" customWidth="1"/>
    <col min="13" max="13" width="13" style="9" customWidth="1"/>
    <col min="14" max="14" width="28.42578125" style="9" customWidth="1"/>
  </cols>
  <sheetData>
    <row r="1" spans="1:19">
      <c r="A1" s="25" t="s">
        <v>15</v>
      </c>
      <c r="B1" s="25" t="s">
        <v>40</v>
      </c>
    </row>
    <row r="3" spans="1:19">
      <c r="A3" s="69" t="s">
        <v>49</v>
      </c>
      <c r="B3" s="88" t="s">
        <v>400</v>
      </c>
      <c r="H3" s="69" t="s">
        <v>47</v>
      </c>
    </row>
    <row r="4" spans="1:19">
      <c r="A4" s="69" t="s">
        <v>50</v>
      </c>
      <c r="B4" s="78">
        <f>Overview!B2</f>
        <v>0</v>
      </c>
      <c r="H4" s="70">
        <v>2035</v>
      </c>
    </row>
    <row r="6" spans="1:19">
      <c r="H6" s="56">
        <f ca="1">SUM(H10:H102)</f>
        <v>126.94166205320487</v>
      </c>
      <c r="I6" s="56">
        <f>SUM(I10:I102)</f>
        <v>0</v>
      </c>
      <c r="J6" s="56">
        <f>SUM(J10:J102)</f>
        <v>100</v>
      </c>
      <c r="K6" s="21"/>
    </row>
    <row r="7" spans="1:19">
      <c r="A7" t="str">
        <f>TEXT(ROW(),"")</f>
        <v/>
      </c>
      <c r="H7" s="57"/>
      <c r="I7" s="57"/>
      <c r="J7" s="57"/>
    </row>
    <row r="8" spans="1:19">
      <c r="A8" s="8"/>
      <c r="B8" s="66">
        <v>1</v>
      </c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  <c r="N8" s="66">
        <v>13</v>
      </c>
      <c r="O8" s="66">
        <v>14</v>
      </c>
      <c r="P8" s="66">
        <v>15</v>
      </c>
      <c r="Q8" s="66">
        <v>16</v>
      </c>
      <c r="R8" s="66">
        <v>17</v>
      </c>
      <c r="S8" s="66">
        <v>18</v>
      </c>
    </row>
    <row r="9" spans="1:19" ht="76.5">
      <c r="A9" s="4" t="s">
        <v>16</v>
      </c>
      <c r="B9" s="2" t="s">
        <v>31</v>
      </c>
      <c r="C9" s="2" t="s">
        <v>4</v>
      </c>
      <c r="D9" s="16" t="s">
        <v>23</v>
      </c>
      <c r="E9" s="16" t="s">
        <v>5</v>
      </c>
      <c r="F9" s="32" t="s">
        <v>2</v>
      </c>
      <c r="G9" s="16" t="s">
        <v>53</v>
      </c>
      <c r="H9" s="16" t="s">
        <v>384</v>
      </c>
      <c r="I9" s="16" t="s">
        <v>385</v>
      </c>
      <c r="J9" s="16" t="s">
        <v>386</v>
      </c>
      <c r="K9" s="53" t="s">
        <v>46</v>
      </c>
      <c r="L9" s="53" t="s">
        <v>52</v>
      </c>
      <c r="M9" s="16" t="s">
        <v>51</v>
      </c>
      <c r="N9" s="16" t="s">
        <v>24</v>
      </c>
    </row>
    <row r="10" spans="1:19">
      <c r="B10" t="s">
        <v>379</v>
      </c>
      <c r="C10" s="24" t="s">
        <v>405</v>
      </c>
      <c r="D10" s="36"/>
      <c r="G10" s="35"/>
      <c r="H10" s="67">
        <f>'[2]SC-Retro'!$C$10</f>
        <v>53.088950817341505</v>
      </c>
      <c r="I10" s="58"/>
      <c r="J10" s="59">
        <v>55.7</v>
      </c>
      <c r="K10" s="54"/>
      <c r="L10" s="71"/>
    </row>
    <row r="11" spans="1:19">
      <c r="B11" t="s">
        <v>182</v>
      </c>
      <c r="C11" s="24" t="s">
        <v>404</v>
      </c>
      <c r="D11" s="36"/>
      <c r="G11" s="35"/>
      <c r="H11" s="67">
        <f>'[3]SC-NR'!$C$10</f>
        <v>23.243514956654359</v>
      </c>
      <c r="I11" s="58"/>
      <c r="J11" s="59">
        <v>15.6</v>
      </c>
      <c r="K11" s="54"/>
      <c r="L11" s="71"/>
    </row>
    <row r="12" spans="1:19">
      <c r="B12" t="s">
        <v>342</v>
      </c>
      <c r="C12" s="24" t="s">
        <v>405</v>
      </c>
      <c r="D12" s="35"/>
      <c r="G12" s="35"/>
      <c r="H12" s="67">
        <f>'[4]SC-Retro'!$C$10</f>
        <v>19.315295000234563</v>
      </c>
      <c r="I12" s="59"/>
      <c r="J12" s="59"/>
      <c r="K12" s="54"/>
      <c r="L12" s="54"/>
      <c r="M12" s="54"/>
    </row>
    <row r="13" spans="1:19">
      <c r="B13" t="s">
        <v>380</v>
      </c>
      <c r="C13" s="24" t="s">
        <v>406</v>
      </c>
      <c r="D13" s="35"/>
      <c r="G13" s="35"/>
      <c r="H13" s="67">
        <f>'[5]SC-Retro'!$C$10</f>
        <v>23.952444336868812</v>
      </c>
      <c r="I13" s="59"/>
      <c r="J13" s="59">
        <v>20.100000000000001</v>
      </c>
      <c r="K13" s="54"/>
      <c r="L13" s="54"/>
      <c r="M13" s="54"/>
    </row>
    <row r="14" spans="1:19">
      <c r="B14" t="s">
        <v>381</v>
      </c>
      <c r="C14" s="24" t="s">
        <v>407</v>
      </c>
      <c r="D14" s="35"/>
      <c r="G14" s="35"/>
      <c r="H14" s="67">
        <f>'[6]SC-Retro'!$C$10</f>
        <v>3.0046517658530756</v>
      </c>
      <c r="I14" s="59"/>
      <c r="J14" s="59">
        <v>0</v>
      </c>
      <c r="K14" s="54"/>
      <c r="L14" s="54"/>
      <c r="M14" s="54"/>
    </row>
    <row r="15" spans="1:19">
      <c r="B15" t="s">
        <v>382</v>
      </c>
      <c r="C15" s="24" t="s">
        <v>408</v>
      </c>
      <c r="D15" s="35"/>
      <c r="G15" s="35"/>
      <c r="H15" s="67">
        <f>'[7]SC-Retro'!$C$10</f>
        <v>3.138048764634767</v>
      </c>
      <c r="I15" s="59"/>
      <c r="J15" s="59">
        <v>0</v>
      </c>
      <c r="K15" s="54"/>
      <c r="L15" s="54"/>
      <c r="M15" s="54"/>
    </row>
    <row r="16" spans="1:19">
      <c r="B16" t="s">
        <v>383</v>
      </c>
      <c r="C16" s="24" t="s">
        <v>409</v>
      </c>
      <c r="D16" s="35"/>
      <c r="G16" s="35"/>
      <c r="H16" s="67">
        <f ca="1">'[8]SC-Retro'!$C$10</f>
        <v>1.1987564116178056</v>
      </c>
      <c r="I16" s="59"/>
      <c r="J16" s="59">
        <v>8.6</v>
      </c>
      <c r="K16" s="54"/>
      <c r="L16" s="35"/>
    </row>
    <row r="17" spans="3:13">
      <c r="D17" s="35"/>
      <c r="G17" s="35"/>
      <c r="H17" s="67"/>
      <c r="I17" s="59"/>
      <c r="J17" s="59"/>
      <c r="K17" s="54"/>
      <c r="L17" s="35"/>
    </row>
    <row r="18" spans="3:13">
      <c r="C18" s="24"/>
      <c r="D18" s="35"/>
      <c r="G18" s="35"/>
      <c r="H18" s="67"/>
      <c r="I18" s="60"/>
      <c r="J18" s="59"/>
      <c r="K18" s="54"/>
      <c r="L18" s="54"/>
      <c r="M18" s="54"/>
    </row>
    <row r="19" spans="3:13">
      <c r="C19" s="24"/>
      <c r="D19" s="35"/>
      <c r="G19" s="35"/>
      <c r="H19" s="67"/>
      <c r="I19" s="58"/>
      <c r="J19" s="59"/>
      <c r="K19" s="54"/>
      <c r="L19" s="54"/>
      <c r="M19" s="54"/>
    </row>
    <row r="20" spans="3:13">
      <c r="D20" s="36"/>
      <c r="G20" s="35"/>
      <c r="H20" s="67"/>
      <c r="I20" s="58"/>
      <c r="J20" s="59"/>
      <c r="K20" s="54"/>
      <c r="L20" s="35"/>
    </row>
    <row r="21" spans="3:13">
      <c r="C21" s="24"/>
      <c r="D21" s="35"/>
      <c r="G21" s="35"/>
      <c r="H21" s="67"/>
      <c r="I21" s="59"/>
      <c r="J21" s="59"/>
      <c r="K21" s="54"/>
      <c r="L21" s="54"/>
      <c r="M21" s="54"/>
    </row>
    <row r="22" spans="3:13">
      <c r="C22" s="24"/>
      <c r="D22" s="35"/>
      <c r="G22" s="35"/>
      <c r="H22" s="67"/>
      <c r="I22" s="59"/>
      <c r="J22" s="59"/>
      <c r="K22" s="54"/>
      <c r="L22" s="54"/>
      <c r="M22" s="54"/>
    </row>
    <row r="23" spans="3:13">
      <c r="C23" s="24"/>
      <c r="D23" s="35"/>
      <c r="G23" s="35"/>
      <c r="H23" s="67"/>
      <c r="I23" s="59"/>
      <c r="J23" s="59"/>
      <c r="K23" s="54"/>
      <c r="L23" s="54"/>
      <c r="M23" s="54"/>
    </row>
    <row r="24" spans="3:13">
      <c r="C24" s="24"/>
      <c r="D24" s="35"/>
      <c r="G24" s="35"/>
      <c r="H24" s="67"/>
      <c r="I24" s="59"/>
      <c r="J24" s="59"/>
      <c r="K24" s="54"/>
      <c r="L24" s="54"/>
    </row>
    <row r="25" spans="3:13">
      <c r="C25" s="24"/>
      <c r="D25" s="35"/>
      <c r="G25" s="35"/>
      <c r="H25" s="67"/>
      <c r="I25" s="59"/>
      <c r="J25" s="59"/>
      <c r="K25" s="54"/>
      <c r="L25" s="54"/>
    </row>
    <row r="26" spans="3:13">
      <c r="D26" s="36"/>
      <c r="G26" s="35"/>
      <c r="H26" s="67"/>
      <c r="I26" s="59"/>
      <c r="J26" s="59"/>
      <c r="K26" s="54"/>
      <c r="L26" s="35"/>
    </row>
    <row r="27" spans="3:13">
      <c r="C27" s="24"/>
      <c r="D27" s="35"/>
      <c r="G27" s="35"/>
      <c r="H27" s="67"/>
      <c r="I27" s="59"/>
      <c r="J27" s="59"/>
      <c r="K27" s="54"/>
      <c r="L27" s="54"/>
    </row>
    <row r="28" spans="3:13">
      <c r="C28" s="24"/>
      <c r="D28" s="35"/>
      <c r="G28" s="35"/>
      <c r="H28" s="67"/>
      <c r="I28" s="59"/>
      <c r="J28" s="59"/>
      <c r="K28" s="54"/>
      <c r="L28" s="54"/>
    </row>
    <row r="29" spans="3:13">
      <c r="D29" s="35"/>
      <c r="G29" s="35"/>
      <c r="H29" s="67"/>
      <c r="I29" s="59"/>
      <c r="J29" s="59"/>
      <c r="K29" s="54"/>
      <c r="L29" s="35"/>
    </row>
    <row r="30" spans="3:13">
      <c r="C30" s="24"/>
      <c r="D30" s="35"/>
      <c r="G30" s="35"/>
      <c r="H30" s="67"/>
      <c r="I30" s="59"/>
      <c r="J30" s="59"/>
      <c r="K30" s="54"/>
      <c r="L30" s="54"/>
    </row>
    <row r="31" spans="3:13">
      <c r="C31" s="24"/>
      <c r="D31" s="35"/>
      <c r="G31" s="35"/>
      <c r="H31" s="67"/>
      <c r="I31" s="59"/>
      <c r="J31" s="59"/>
      <c r="K31" s="54"/>
      <c r="L31" s="54"/>
    </row>
    <row r="32" spans="3:13">
      <c r="C32" s="24"/>
      <c r="D32" s="35"/>
      <c r="G32" s="35"/>
      <c r="H32" s="67"/>
      <c r="I32" s="59"/>
      <c r="J32" s="59"/>
      <c r="K32" s="54"/>
      <c r="L32" s="54"/>
    </row>
    <row r="33" spans="3:13">
      <c r="C33" s="24"/>
      <c r="D33" s="36"/>
      <c r="G33" s="35"/>
      <c r="H33" s="67"/>
      <c r="I33" s="59"/>
      <c r="J33" s="59"/>
      <c r="K33" s="54"/>
      <c r="L33" s="54"/>
    </row>
    <row r="34" spans="3:13">
      <c r="C34" s="24"/>
      <c r="D34" s="35"/>
      <c r="G34" s="35"/>
      <c r="H34" s="67"/>
      <c r="I34" s="59"/>
      <c r="J34" s="59"/>
      <c r="K34" s="54"/>
      <c r="L34" s="54"/>
    </row>
    <row r="35" spans="3:13">
      <c r="C35" s="24"/>
      <c r="D35" s="35"/>
      <c r="G35" s="35"/>
      <c r="H35" s="67"/>
      <c r="I35" s="59"/>
      <c r="J35" s="59"/>
      <c r="K35" s="54"/>
      <c r="L35" s="54"/>
    </row>
    <row r="36" spans="3:13">
      <c r="C36" s="24"/>
      <c r="D36" s="36"/>
      <c r="G36" s="35"/>
      <c r="H36" s="67"/>
      <c r="I36" s="59"/>
      <c r="J36" s="61"/>
      <c r="K36" s="54"/>
      <c r="L36" s="54"/>
    </row>
    <row r="37" spans="3:13">
      <c r="C37" s="24"/>
      <c r="D37" s="35"/>
      <c r="G37" s="35"/>
      <c r="H37" s="67"/>
      <c r="I37" s="59"/>
      <c r="J37" s="61"/>
      <c r="K37" s="54"/>
      <c r="L37" s="54"/>
    </row>
    <row r="38" spans="3:13">
      <c r="D38" s="35"/>
      <c r="G38" s="35"/>
      <c r="H38" s="67"/>
      <c r="I38" s="59"/>
      <c r="J38" s="59"/>
      <c r="K38" s="54"/>
      <c r="L38" s="35"/>
    </row>
    <row r="39" spans="3:13">
      <c r="C39" s="24"/>
      <c r="D39" s="35"/>
      <c r="G39" s="35"/>
      <c r="H39" s="67"/>
      <c r="I39" s="59"/>
      <c r="J39" s="59"/>
      <c r="K39" s="54"/>
      <c r="L39" s="54"/>
      <c r="M39" s="54"/>
    </row>
    <row r="40" spans="3:13">
      <c r="D40" s="35"/>
      <c r="G40" s="35"/>
      <c r="H40" s="67"/>
      <c r="I40" s="59"/>
      <c r="J40" s="59"/>
      <c r="K40" s="54"/>
      <c r="L40" s="35"/>
    </row>
    <row r="41" spans="3:13">
      <c r="C41" s="24"/>
      <c r="D41" s="35"/>
      <c r="G41" s="35"/>
      <c r="H41" s="67"/>
      <c r="I41" s="59"/>
      <c r="J41" s="59"/>
      <c r="K41" s="54"/>
      <c r="L41" s="54"/>
      <c r="M41" s="54"/>
    </row>
    <row r="42" spans="3:13" ht="13.5" customHeight="1">
      <c r="C42" s="24"/>
      <c r="D42" s="35"/>
      <c r="G42" s="35"/>
      <c r="H42" s="67"/>
      <c r="I42" s="59"/>
      <c r="J42" s="59"/>
      <c r="K42" s="54"/>
      <c r="L42" s="54"/>
    </row>
    <row r="43" spans="3:13">
      <c r="C43" s="24"/>
      <c r="D43" s="35"/>
      <c r="G43" s="35"/>
      <c r="H43" s="67"/>
      <c r="I43" s="59"/>
      <c r="J43" s="59"/>
      <c r="K43" s="54"/>
      <c r="L43" s="54"/>
      <c r="M43" s="57"/>
    </row>
    <row r="44" spans="3:13">
      <c r="D44" s="36"/>
      <c r="G44" s="35"/>
      <c r="H44" s="67"/>
      <c r="I44" s="59"/>
      <c r="J44" s="59"/>
      <c r="K44" s="54"/>
      <c r="L44" s="35"/>
    </row>
    <row r="45" spans="3:13">
      <c r="D45" s="36"/>
      <c r="G45" s="35"/>
      <c r="H45" s="67"/>
      <c r="I45" s="59"/>
      <c r="J45" s="59"/>
      <c r="K45" s="54"/>
      <c r="L45" s="35"/>
    </row>
    <row r="46" spans="3:13">
      <c r="C46" s="24"/>
      <c r="D46" s="36"/>
      <c r="G46" s="35"/>
      <c r="H46" s="67"/>
      <c r="I46" s="59"/>
      <c r="J46" s="59"/>
      <c r="K46" s="54"/>
      <c r="L46" s="54"/>
    </row>
    <row r="47" spans="3:13">
      <c r="C47" s="24"/>
      <c r="D47" s="35"/>
      <c r="G47" s="35"/>
      <c r="H47" s="67"/>
      <c r="I47" s="59"/>
      <c r="J47" s="59"/>
      <c r="K47" s="54"/>
      <c r="L47" s="54"/>
    </row>
    <row r="48" spans="3:13">
      <c r="C48" s="24"/>
      <c r="D48" s="35"/>
      <c r="G48" s="35"/>
      <c r="H48" s="67"/>
      <c r="I48" s="59"/>
      <c r="J48" s="59"/>
      <c r="K48" s="54"/>
      <c r="L48" s="54"/>
    </row>
    <row r="49" spans="3:12">
      <c r="C49" s="24"/>
      <c r="D49" s="35"/>
      <c r="G49" s="35"/>
      <c r="H49" s="67"/>
      <c r="I49" s="59"/>
      <c r="J49" s="59"/>
      <c r="K49" s="54"/>
    </row>
    <row r="50" spans="3:12">
      <c r="C50" s="24"/>
      <c r="D50" s="35"/>
      <c r="G50" s="35"/>
      <c r="H50" s="67"/>
      <c r="I50" s="59"/>
      <c r="J50" s="59"/>
      <c r="K50" s="54"/>
    </row>
    <row r="51" spans="3:12">
      <c r="C51" s="24"/>
      <c r="D51" s="35"/>
      <c r="G51" s="35"/>
      <c r="H51" s="67"/>
      <c r="I51" s="59"/>
      <c r="J51" s="59"/>
      <c r="K51" s="54"/>
    </row>
    <row r="52" spans="3:12">
      <c r="D52" s="35"/>
      <c r="G52" s="35"/>
      <c r="H52" s="67"/>
      <c r="I52" s="59"/>
      <c r="J52" s="59"/>
      <c r="K52" s="54"/>
    </row>
    <row r="53" spans="3:12">
      <c r="C53" s="24"/>
      <c r="D53" s="35"/>
      <c r="G53" s="35"/>
      <c r="H53" s="67"/>
      <c r="I53" s="59"/>
      <c r="J53" s="59"/>
      <c r="K53" s="54"/>
    </row>
    <row r="54" spans="3:12">
      <c r="D54" s="35"/>
      <c r="G54" s="35"/>
      <c r="H54" s="67"/>
      <c r="I54" s="59"/>
      <c r="J54" s="59"/>
      <c r="K54" s="54"/>
    </row>
    <row r="55" spans="3:12">
      <c r="C55" s="24"/>
      <c r="D55" s="35"/>
      <c r="G55" s="35"/>
      <c r="H55" s="67"/>
      <c r="I55" s="59"/>
      <c r="J55" s="59"/>
      <c r="K55" s="54"/>
      <c r="L55" s="54"/>
    </row>
    <row r="56" spans="3:12">
      <c r="D56" s="35"/>
      <c r="G56" s="35"/>
      <c r="H56" s="67"/>
      <c r="I56" s="59"/>
      <c r="J56" s="59"/>
      <c r="K56" s="54"/>
    </row>
    <row r="57" spans="3:12">
      <c r="D57" s="36"/>
      <c r="G57" s="35"/>
      <c r="H57" s="67"/>
      <c r="I57" s="59"/>
      <c r="J57" s="59"/>
      <c r="K57" s="54"/>
    </row>
    <row r="58" spans="3:12">
      <c r="D58" s="35"/>
      <c r="G58" s="35"/>
      <c r="H58" s="67"/>
      <c r="I58" s="59"/>
      <c r="J58" s="59"/>
      <c r="K58" s="54"/>
    </row>
    <row r="59" spans="3:12" ht="12.75" customHeight="1">
      <c r="C59" s="24"/>
      <c r="D59" s="35"/>
      <c r="G59" s="35"/>
      <c r="H59" s="67"/>
      <c r="I59" s="59"/>
      <c r="J59" s="62"/>
      <c r="K59" s="54"/>
      <c r="L59" s="54"/>
    </row>
    <row r="60" spans="3:12">
      <c r="G60" s="35"/>
      <c r="H60" s="67"/>
      <c r="I60" s="59"/>
      <c r="J60" s="59"/>
      <c r="K60" s="54"/>
    </row>
    <row r="61" spans="3:12">
      <c r="G61" s="35"/>
      <c r="H61" s="67"/>
      <c r="I61" s="59"/>
      <c r="J61" s="59"/>
      <c r="K61" s="54"/>
    </row>
    <row r="62" spans="3:12">
      <c r="G62" s="35"/>
      <c r="H62" s="67"/>
      <c r="I62" s="59"/>
      <c r="J62" s="59"/>
      <c r="K62" s="54"/>
    </row>
    <row r="63" spans="3:12">
      <c r="C63" s="24"/>
      <c r="D63" s="35"/>
      <c r="G63" s="35"/>
      <c r="H63" s="67"/>
      <c r="I63" s="59"/>
      <c r="J63" s="59"/>
      <c r="K63" s="54"/>
    </row>
    <row r="64" spans="3:12">
      <c r="C64" s="24"/>
      <c r="D64" s="35"/>
      <c r="G64" s="35"/>
      <c r="H64" s="67"/>
      <c r="I64" s="59"/>
      <c r="J64" s="59"/>
      <c r="K64" s="54"/>
    </row>
    <row r="65" spans="3:14">
      <c r="C65" s="24"/>
      <c r="D65" s="35"/>
      <c r="G65" s="35"/>
      <c r="H65" s="67"/>
      <c r="I65" s="59"/>
      <c r="J65" s="59"/>
      <c r="K65" s="54"/>
    </row>
    <row r="66" spans="3:14">
      <c r="G66" s="35"/>
      <c r="H66" s="67"/>
      <c r="I66" s="59"/>
      <c r="J66" s="59"/>
      <c r="K66" s="54"/>
    </row>
    <row r="67" spans="3:14">
      <c r="G67" s="35"/>
      <c r="H67" s="67"/>
      <c r="I67" s="59"/>
      <c r="J67" s="59"/>
      <c r="K67" s="54"/>
    </row>
    <row r="68" spans="3:14">
      <c r="G68" s="35"/>
      <c r="H68" s="67"/>
      <c r="I68" s="59"/>
      <c r="J68" s="59"/>
      <c r="K68" s="54"/>
    </row>
    <row r="69" spans="3:14">
      <c r="C69" s="24"/>
      <c r="D69" s="35"/>
      <c r="G69" s="35"/>
      <c r="H69" s="67"/>
      <c r="I69" s="59"/>
      <c r="J69" s="62"/>
      <c r="K69" s="55"/>
      <c r="L69" s="54"/>
    </row>
    <row r="70" spans="3:14">
      <c r="C70" s="24"/>
      <c r="G70" s="35"/>
      <c r="H70" s="67"/>
      <c r="I70" s="59"/>
      <c r="J70" s="62"/>
      <c r="K70" s="54"/>
      <c r="L70" s="54"/>
    </row>
    <row r="71" spans="3:14">
      <c r="C71" s="24"/>
      <c r="D71" s="35"/>
      <c r="G71" s="35"/>
      <c r="H71" s="67"/>
      <c r="I71" s="59"/>
      <c r="J71" s="62"/>
      <c r="K71" s="54"/>
      <c r="L71" s="54"/>
      <c r="N71" s="57"/>
    </row>
    <row r="72" spans="3:14">
      <c r="C72" s="24"/>
      <c r="G72" s="35"/>
      <c r="H72" s="67"/>
      <c r="I72" s="59"/>
      <c r="J72" s="60"/>
      <c r="K72" s="54"/>
      <c r="L72" s="54"/>
    </row>
    <row r="73" spans="3:14">
      <c r="C73" s="24"/>
      <c r="D73" s="35"/>
      <c r="G73" s="35"/>
      <c r="H73" s="67"/>
      <c r="I73" s="59"/>
      <c r="J73" s="60"/>
      <c r="K73" s="54"/>
      <c r="L73" s="54"/>
      <c r="N73" s="57"/>
    </row>
    <row r="74" spans="3:14">
      <c r="C74" s="24"/>
      <c r="G74" s="35"/>
      <c r="H74" s="67"/>
      <c r="I74" s="59"/>
      <c r="J74" s="65"/>
      <c r="K74" s="54"/>
      <c r="L74" s="54"/>
    </row>
    <row r="75" spans="3:14">
      <c r="G75" s="35"/>
      <c r="H75" s="67"/>
      <c r="I75" s="59"/>
      <c r="J75" s="59"/>
      <c r="K75" s="54"/>
    </row>
    <row r="76" spans="3:14">
      <c r="C76" s="24"/>
      <c r="G76" s="35"/>
      <c r="H76" s="67"/>
      <c r="I76" s="59"/>
      <c r="J76" s="59"/>
      <c r="K76" s="54"/>
      <c r="L76" s="54"/>
    </row>
    <row r="77" spans="3:14">
      <c r="C77" s="24"/>
      <c r="G77" s="35"/>
      <c r="H77" s="67"/>
      <c r="I77" s="59"/>
      <c r="J77" s="59"/>
      <c r="K77" s="54"/>
    </row>
    <row r="78" spans="3:14">
      <c r="C78" s="24"/>
      <c r="G78" s="35"/>
      <c r="H78" s="67"/>
      <c r="I78" s="59"/>
      <c r="J78" s="59"/>
      <c r="K78" s="54"/>
      <c r="L78" s="54"/>
    </row>
    <row r="79" spans="3:14">
      <c r="C79" s="24"/>
      <c r="D79" s="35"/>
      <c r="G79" s="35"/>
      <c r="H79" s="67"/>
      <c r="I79" s="59"/>
      <c r="J79" s="59"/>
      <c r="K79" s="54"/>
      <c r="L79" s="54"/>
    </row>
    <row r="80" spans="3:14">
      <c r="C80" s="24"/>
      <c r="D80" s="35"/>
      <c r="G80" s="35"/>
      <c r="H80" s="67"/>
      <c r="I80" s="59"/>
      <c r="J80" s="59"/>
      <c r="K80" s="54"/>
      <c r="L80" s="54"/>
    </row>
    <row r="81" spans="3:14">
      <c r="C81" s="24"/>
      <c r="D81" s="35"/>
      <c r="G81" s="35"/>
      <c r="H81" s="67"/>
      <c r="I81" s="59"/>
      <c r="J81" s="59"/>
      <c r="K81" s="54"/>
      <c r="L81" s="54"/>
    </row>
    <row r="82" spans="3:14">
      <c r="C82" s="24"/>
      <c r="D82" s="35"/>
      <c r="G82" s="35"/>
      <c r="H82" s="67"/>
      <c r="I82" s="59"/>
      <c r="J82" s="59"/>
      <c r="K82" s="54"/>
      <c r="L82" s="54"/>
    </row>
    <row r="83" spans="3:14">
      <c r="C83" s="24"/>
      <c r="D83" s="35"/>
      <c r="G83" s="35"/>
      <c r="H83" s="67"/>
      <c r="I83" s="59"/>
      <c r="J83" s="59"/>
      <c r="K83" s="54"/>
      <c r="L83" s="54"/>
    </row>
    <row r="84" spans="3:14">
      <c r="C84" s="24"/>
      <c r="D84" s="35"/>
      <c r="G84" s="35"/>
      <c r="H84" s="67"/>
      <c r="I84" s="59"/>
      <c r="J84" s="59"/>
      <c r="K84" s="54"/>
      <c r="L84" s="54"/>
    </row>
    <row r="85" spans="3:14">
      <c r="C85" s="24"/>
      <c r="D85" s="35"/>
      <c r="G85" s="35"/>
      <c r="H85" s="67"/>
      <c r="I85" s="59"/>
      <c r="J85" s="59"/>
      <c r="K85" s="54"/>
      <c r="L85" s="54"/>
    </row>
    <row r="86" spans="3:14">
      <c r="C86" s="24"/>
      <c r="D86" s="35"/>
      <c r="G86" s="35"/>
      <c r="H86" s="67"/>
      <c r="I86" s="59"/>
      <c r="J86" s="59"/>
      <c r="K86" s="54"/>
      <c r="L86" s="54"/>
    </row>
    <row r="87" spans="3:14">
      <c r="C87" s="24"/>
      <c r="D87" s="35"/>
      <c r="G87" s="35"/>
      <c r="H87" s="67"/>
      <c r="I87" s="59"/>
      <c r="J87" s="59"/>
      <c r="K87" s="54"/>
      <c r="L87" s="54"/>
    </row>
    <row r="88" spans="3:14">
      <c r="C88" s="24"/>
      <c r="D88" s="35"/>
      <c r="G88" s="35"/>
      <c r="H88" s="67"/>
      <c r="I88" s="59"/>
      <c r="J88" s="62"/>
      <c r="K88" s="54"/>
      <c r="L88" s="54"/>
      <c r="M88" s="57"/>
    </row>
    <row r="89" spans="3:14">
      <c r="C89" s="24"/>
      <c r="D89" s="35"/>
      <c r="G89" s="35"/>
      <c r="H89" s="67"/>
      <c r="I89" s="59"/>
      <c r="J89" s="59"/>
      <c r="K89" s="54"/>
      <c r="L89" s="54"/>
    </row>
    <row r="90" spans="3:14">
      <c r="C90" s="24"/>
      <c r="D90" s="35"/>
      <c r="G90" s="35"/>
      <c r="H90" s="67"/>
      <c r="I90" s="59"/>
      <c r="J90" s="59"/>
      <c r="K90" s="54"/>
      <c r="L90" s="54"/>
    </row>
    <row r="91" spans="3:14">
      <c r="C91" s="24"/>
      <c r="D91" s="35"/>
      <c r="G91" s="35"/>
      <c r="H91" s="67"/>
      <c r="I91" s="59"/>
      <c r="J91" s="59"/>
      <c r="K91" s="54"/>
      <c r="L91" s="54"/>
    </row>
    <row r="92" spans="3:14">
      <c r="C92" s="24"/>
      <c r="D92" s="35"/>
      <c r="G92" s="35"/>
      <c r="H92" s="67"/>
      <c r="I92" s="63"/>
      <c r="J92" s="62"/>
      <c r="K92" s="54"/>
      <c r="L92" s="54"/>
      <c r="N92" s="57"/>
    </row>
    <row r="93" spans="3:14">
      <c r="C93" s="24"/>
      <c r="D93" s="35"/>
      <c r="G93" s="35"/>
      <c r="H93" s="67"/>
      <c r="I93" s="59"/>
      <c r="J93" s="62"/>
      <c r="K93" s="54"/>
      <c r="L93" s="54"/>
      <c r="N93" s="57"/>
    </row>
    <row r="94" spans="3:14">
      <c r="C94" s="24"/>
      <c r="D94" s="35"/>
      <c r="G94" s="35"/>
      <c r="H94" s="67"/>
      <c r="I94" s="60"/>
      <c r="J94" s="59"/>
      <c r="K94" s="54"/>
      <c r="L94" s="54"/>
      <c r="N94" s="57"/>
    </row>
    <row r="95" spans="3:14">
      <c r="C95" s="24"/>
      <c r="D95" s="35"/>
      <c r="G95" s="35"/>
      <c r="H95" s="67"/>
    </row>
    <row r="96" spans="3:14">
      <c r="H96" s="67"/>
    </row>
    <row r="97" spans="8:11">
      <c r="H97" s="67"/>
    </row>
    <row r="98" spans="8:11">
      <c r="H98" s="67"/>
    </row>
    <row r="99" spans="8:11">
      <c r="H99" s="67"/>
    </row>
    <row r="100" spans="8:11">
      <c r="H100" s="67"/>
    </row>
    <row r="101" spans="8:11">
      <c r="H101" s="67"/>
    </row>
    <row r="102" spans="8:11">
      <c r="H102" s="67"/>
    </row>
    <row r="104" spans="8:11">
      <c r="J104" s="60"/>
      <c r="K104" s="37"/>
    </row>
  </sheetData>
  <autoFilter ref="A9:N102"/>
  <phoneticPr fontId="0" type="noConversion"/>
  <hyperlinks>
    <hyperlink ref="C10" r:id="rId1"/>
    <hyperlink ref="C12" r:id="rId2"/>
    <hyperlink ref="C13" r:id="rId3"/>
    <hyperlink ref="C14" r:id="rId4"/>
    <hyperlink ref="C15" r:id="rId5"/>
    <hyperlink ref="C16" r:id="rId6"/>
    <hyperlink ref="C11" r:id="rId7"/>
  </hyperlinks>
  <pageMargins left="0.75" right="0.75" top="1" bottom="1" header="0.5" footer="0.5"/>
  <pageSetup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H146"/>
  <sheetViews>
    <sheetView topLeftCell="A10" workbookViewId="0">
      <selection activeCell="B9" sqref="B9"/>
    </sheetView>
  </sheetViews>
  <sheetFormatPr defaultRowHeight="12.75"/>
  <cols>
    <col min="2" max="2" width="123.28515625" bestFit="1" customWidth="1"/>
  </cols>
  <sheetData>
    <row r="1" spans="1:8">
      <c r="A1" t="s">
        <v>37</v>
      </c>
      <c r="B1" t="s">
        <v>69</v>
      </c>
      <c r="D1" s="25" t="str">
        <f ca="1">CELL("filename")</f>
        <v>\\nas2\Q\SeventhPlan\Conservation Analysis\Ag\[Ag-Dairy-7P_v2.xlsx]M_Input</v>
      </c>
    </row>
    <row r="2" spans="1:8">
      <c r="B2" s="25"/>
    </row>
    <row r="3" spans="1:8">
      <c r="B3" s="37"/>
      <c r="C3" s="30"/>
      <c r="D3" s="30"/>
      <c r="E3" s="30"/>
      <c r="F3" s="30"/>
    </row>
    <row r="4" spans="1:8">
      <c r="B4" s="37"/>
      <c r="C4" s="30"/>
      <c r="D4" s="30"/>
      <c r="E4" s="30"/>
      <c r="F4" s="30"/>
    </row>
    <row r="5" spans="1:8">
      <c r="B5" s="37"/>
    </row>
    <row r="6" spans="1:8">
      <c r="B6" s="52"/>
      <c r="G6" s="1"/>
      <c r="H6" s="1"/>
    </row>
    <row r="7" spans="1:8">
      <c r="A7" s="1"/>
      <c r="B7" s="1">
        <f>COLUMN()-1</f>
        <v>1</v>
      </c>
      <c r="C7" s="1">
        <f t="shared" ref="C7:F7" si="0">COLUMN()-1</f>
        <v>2</v>
      </c>
      <c r="D7" s="1">
        <f t="shared" si="0"/>
        <v>3</v>
      </c>
      <c r="E7" s="1">
        <f t="shared" si="0"/>
        <v>4</v>
      </c>
      <c r="F7" s="1">
        <f t="shared" si="0"/>
        <v>5</v>
      </c>
    </row>
    <row r="8" spans="1:8">
      <c r="A8" s="28" t="s">
        <v>398</v>
      </c>
      <c r="B8" s="28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/>
    </row>
    <row r="9" spans="1:8" ht="12.6" customHeight="1">
      <c r="A9" t="str">
        <f>MLIST!A10</f>
        <v>Irrigation</v>
      </c>
      <c r="B9" s="41" t="str">
        <f>MLIST!D10</f>
        <v xml:space="preserve">Wheel/hand line systems: Replace worn nozzle with new flow controlling type nozzle for impact sprinklers </v>
      </c>
      <c r="C9" s="6">
        <f>FEAS!C9*(1-BASE!C9)</f>
        <v>0.30000000000000004</v>
      </c>
      <c r="D9" s="6">
        <f>FEAS!D9*(1-BASE!D9)</f>
        <v>0.30000000000000004</v>
      </c>
      <c r="E9" s="6">
        <f>FEAS!E9*(1-BASE!E9)</f>
        <v>0.30000000000000004</v>
      </c>
      <c r="F9" s="6">
        <f>FEAS!F9*(1-BASE!F9)</f>
        <v>0.30000000000000004</v>
      </c>
      <c r="G9" t="s">
        <v>340</v>
      </c>
    </row>
    <row r="10" spans="1:8">
      <c r="A10" t="str">
        <f>MLIST!A11</f>
        <v>Irrigation</v>
      </c>
      <c r="B10" s="41" t="str">
        <f>MLIST!D11</f>
        <v xml:space="preserve">Wheel/hand line systems: Replace worn nozzle with new nozzle </v>
      </c>
      <c r="C10" s="6">
        <f>FEAS!C10*(1-BASE!C10)</f>
        <v>0.30000000000000004</v>
      </c>
      <c r="D10" s="6">
        <f>FEAS!D10*(1-BASE!D10)</f>
        <v>0.30000000000000004</v>
      </c>
      <c r="E10" s="6">
        <f>FEAS!E10*(1-BASE!E10)</f>
        <v>0.30000000000000004</v>
      </c>
      <c r="F10" s="6">
        <f>FEAS!F10*(1-BASE!F10)</f>
        <v>0.30000000000000004</v>
      </c>
      <c r="G10" t="s">
        <v>340</v>
      </c>
    </row>
    <row r="11" spans="1:8">
      <c r="A11" t="str">
        <f>MLIST!A12</f>
        <v>Irrigation</v>
      </c>
      <c r="B11" s="41" t="str">
        <f>MLIST!D12</f>
        <v xml:space="preserve">Wheel/hand line systems: Rebuild or replace leaking impact sprinkler with new or rebuilt impact sprinkler </v>
      </c>
      <c r="C11" s="6">
        <f>FEAS!C11*(1-BASE!C11)</f>
        <v>0.30000000000000004</v>
      </c>
      <c r="D11" s="6">
        <f>FEAS!D11*(1-BASE!D11)</f>
        <v>0.30000000000000004</v>
      </c>
      <c r="E11" s="6">
        <f>FEAS!E11*(1-BASE!E11)</f>
        <v>0.30000000000000004</v>
      </c>
      <c r="F11" s="6">
        <f>FEAS!F11*(1-BASE!F11)</f>
        <v>0.30000000000000004</v>
      </c>
      <c r="G11" t="s">
        <v>340</v>
      </c>
    </row>
    <row r="12" spans="1:8">
      <c r="A12" t="str">
        <f>MLIST!A13</f>
        <v>Irrigation</v>
      </c>
      <c r="B12" s="41" t="str">
        <f>MLIST!D13</f>
        <v xml:space="preserve">Wheel/hand line systems: Replace leaking gasket with new gasket </v>
      </c>
      <c r="C12" s="6">
        <f>FEAS!C12*(1-BASE!C12)</f>
        <v>0.30000000000000004</v>
      </c>
      <c r="D12" s="6">
        <f>FEAS!D12*(1-BASE!D12)</f>
        <v>0.30000000000000004</v>
      </c>
      <c r="E12" s="6">
        <f>FEAS!E12*(1-BASE!E12)</f>
        <v>0.30000000000000004</v>
      </c>
      <c r="F12" s="6">
        <f>FEAS!F12*(1-BASE!F12)</f>
        <v>0.30000000000000004</v>
      </c>
      <c r="G12" t="s">
        <v>340</v>
      </c>
    </row>
    <row r="13" spans="1:8">
      <c r="A13" t="str">
        <f>MLIST!A14</f>
        <v>Irrigation</v>
      </c>
      <c r="B13" s="41" t="str">
        <f>MLIST!D14</f>
        <v xml:space="preserve">Wheel/hand line systems: Replace leaking drain with new drain </v>
      </c>
      <c r="C13" s="6">
        <f>FEAS!C13*(1-BASE!C13)</f>
        <v>0.30000000000000004</v>
      </c>
      <c r="D13" s="6">
        <f>FEAS!D13*(1-BASE!D13)</f>
        <v>0.30000000000000004</v>
      </c>
      <c r="E13" s="6">
        <f>FEAS!E13*(1-BASE!E13)</f>
        <v>0.30000000000000004</v>
      </c>
      <c r="F13" s="6">
        <f>FEAS!F13*(1-BASE!F13)</f>
        <v>0.30000000000000004</v>
      </c>
      <c r="G13" t="s">
        <v>340</v>
      </c>
    </row>
    <row r="14" spans="1:8">
      <c r="A14" t="str">
        <f>MLIST!A15</f>
        <v>Irrigation</v>
      </c>
      <c r="B14" s="41" t="str">
        <f>MLIST!D15</f>
        <v xml:space="preserve">Wheel/hand line systems: Cut and pipe press repair of leaking hand-lines, wheel-lines, and portable main-lines </v>
      </c>
      <c r="C14" s="6">
        <f>FEAS!C14*(1-BASE!C14)</f>
        <v>0.30000000000000004</v>
      </c>
      <c r="D14" s="6">
        <f>FEAS!D14*(1-BASE!D14)</f>
        <v>0.30000000000000004</v>
      </c>
      <c r="E14" s="6">
        <f>FEAS!E14*(1-BASE!E14)</f>
        <v>0.30000000000000004</v>
      </c>
      <c r="F14" s="6">
        <f>FEAS!F14*(1-BASE!F14)</f>
        <v>0.30000000000000004</v>
      </c>
      <c r="G14" t="s">
        <v>340</v>
      </c>
    </row>
    <row r="15" spans="1:8">
      <c r="A15" t="str">
        <f>MLIST!A16</f>
        <v>Irrigation</v>
      </c>
      <c r="B15" s="41" t="str">
        <f>MLIST!D16</f>
        <v xml:space="preserve">Thunderbird wheel line systems: Replace leaking hub with new hub </v>
      </c>
      <c r="C15" s="6">
        <f>FEAS!C15*(1-BASE!C15)</f>
        <v>0.30000000000000004</v>
      </c>
      <c r="D15" s="6">
        <f>FEAS!D15*(1-BASE!D15)</f>
        <v>0.30000000000000004</v>
      </c>
      <c r="E15" s="6">
        <f>FEAS!E15*(1-BASE!E15)</f>
        <v>0.30000000000000004</v>
      </c>
      <c r="F15" s="6">
        <f>FEAS!F15*(1-BASE!F15)</f>
        <v>0.30000000000000004</v>
      </c>
      <c r="G15" t="s">
        <v>340</v>
      </c>
    </row>
    <row r="16" spans="1:8">
      <c r="A16" t="str">
        <f>MLIST!A17</f>
        <v>Irrigation</v>
      </c>
      <c r="B16" s="41" t="str">
        <f>MLIST!D17</f>
        <v xml:space="preserve">Wheel line systems: Rebuild or replace leaking or malfunctioning leveler with new or rebuilt leveler. </v>
      </c>
      <c r="C16" s="6">
        <f>FEAS!C16*(1-BASE!C16)</f>
        <v>0.30000000000000004</v>
      </c>
      <c r="D16" s="6">
        <f>FEAS!D16*(1-BASE!D16)</f>
        <v>0.30000000000000004</v>
      </c>
      <c r="E16" s="6">
        <f>FEAS!E16*(1-BASE!E16)</f>
        <v>0.30000000000000004</v>
      </c>
      <c r="F16" s="6">
        <f>FEAS!F16*(1-BASE!F16)</f>
        <v>0.30000000000000004</v>
      </c>
      <c r="G16" t="s">
        <v>340</v>
      </c>
    </row>
    <row r="17" spans="1:8">
      <c r="A17" t="str">
        <f>MLIST!A18</f>
        <v>Irrigation</v>
      </c>
      <c r="B17" s="41" t="str">
        <f>MLIST!D18</f>
        <v xml:space="preserve">Center pivot/linear move systems: Install new sprinkler package on an existing system. </v>
      </c>
      <c r="C17" s="6">
        <f>FEAS!C17*(1-BASE!C17)</f>
        <v>0.30000000000000004</v>
      </c>
      <c r="D17" s="6">
        <f>FEAS!D17*(1-BASE!D17)</f>
        <v>0.30000000000000004</v>
      </c>
      <c r="E17" s="6">
        <f>FEAS!E17*(1-BASE!E17)</f>
        <v>0.30000000000000004</v>
      </c>
      <c r="F17" s="6">
        <f>FEAS!F17*(1-BASE!F17)</f>
        <v>0.30000000000000004</v>
      </c>
      <c r="G17" t="s">
        <v>340</v>
      </c>
    </row>
    <row r="18" spans="1:8">
      <c r="A18" t="str">
        <f>MLIST!A19</f>
        <v>Irrigation</v>
      </c>
      <c r="B18" s="41" t="str">
        <f>MLIST!D19</f>
        <v xml:space="preserve">Center pivot/linear move systems: New gooseneck elbows </v>
      </c>
      <c r="C18" s="6">
        <f>FEAS!C18*(1-BASE!C18)</f>
        <v>0.30000000000000004</v>
      </c>
      <c r="D18" s="6">
        <f>FEAS!D18*(1-BASE!D18)</f>
        <v>0.30000000000000004</v>
      </c>
      <c r="E18" s="6">
        <f>FEAS!E18*(1-BASE!E18)</f>
        <v>0.30000000000000004</v>
      </c>
      <c r="F18" s="6">
        <f>FEAS!F18*(1-BASE!F18)</f>
        <v>0.30000000000000004</v>
      </c>
      <c r="G18" t="s">
        <v>340</v>
      </c>
    </row>
    <row r="19" spans="1:8">
      <c r="A19" t="str">
        <f>MLIST!A20</f>
        <v>Irrigation</v>
      </c>
      <c r="B19" s="41" t="str">
        <f>MLIST!D20</f>
        <v xml:space="preserve">Center pivot/linear move systems: New drop tubes (3 feet minimum) </v>
      </c>
      <c r="C19" s="6">
        <f>FEAS!C19*(1-BASE!C19)</f>
        <v>0.30000000000000004</v>
      </c>
      <c r="D19" s="6">
        <f>FEAS!D19*(1-BASE!D19)</f>
        <v>0.30000000000000004</v>
      </c>
      <c r="E19" s="6">
        <f>FEAS!E19*(1-BASE!E19)</f>
        <v>0.30000000000000004</v>
      </c>
      <c r="F19" s="6">
        <f>FEAS!F19*(1-BASE!F19)</f>
        <v>0.30000000000000004</v>
      </c>
      <c r="G19" t="s">
        <v>340</v>
      </c>
    </row>
    <row r="20" spans="1:8">
      <c r="A20" t="str">
        <f>MLIST!A21</f>
        <v>Irrigation</v>
      </c>
      <c r="B20" s="41" t="str">
        <f>MLIST!D21</f>
        <v xml:space="preserve">Center pivot/linear move systems: Replace leaking pivot boot gasket with new pivot boot gasket </v>
      </c>
      <c r="C20" s="6">
        <f>FEAS!C20*(1-BASE!C20)</f>
        <v>0.30000000000000004</v>
      </c>
      <c r="D20" s="6">
        <f>FEAS!D20*(1-BASE!D20)</f>
        <v>0.30000000000000004</v>
      </c>
      <c r="E20" s="6">
        <f>FEAS!E20*(1-BASE!E20)</f>
        <v>0.30000000000000004</v>
      </c>
      <c r="F20" s="6">
        <f>FEAS!F20*(1-BASE!F20)</f>
        <v>0.30000000000000004</v>
      </c>
      <c r="G20" t="s">
        <v>340</v>
      </c>
    </row>
    <row r="21" spans="1:8">
      <c r="A21" t="str">
        <f>MLIST!A22</f>
        <v>Irrigation</v>
      </c>
      <c r="B21" s="41" t="str">
        <f>MLIST!D22</f>
        <v xml:space="preserve">Center pivot/linear move systems: Replace leaking tower gasket with new tower gasket </v>
      </c>
      <c r="C21" s="6">
        <f>FEAS!C21*(1-BASE!C21)</f>
        <v>0.30000000000000004</v>
      </c>
      <c r="D21" s="6">
        <f>FEAS!D21*(1-BASE!D21)</f>
        <v>0.30000000000000004</v>
      </c>
      <c r="E21" s="6">
        <f>FEAS!E21*(1-BASE!E21)</f>
        <v>0.30000000000000004</v>
      </c>
      <c r="F21" s="6">
        <f>FEAS!F21*(1-BASE!F21)</f>
        <v>0.30000000000000004</v>
      </c>
      <c r="G21" t="s">
        <v>340</v>
      </c>
    </row>
    <row r="22" spans="1:8" s="8" customFormat="1">
      <c r="A22" t="str">
        <f>MLIST!A23</f>
        <v>Irrigation</v>
      </c>
      <c r="B22" s="41" t="str">
        <f>MLIST!D23</f>
        <v>Convert Medium Pressure Center Pivot to Low pressure system</v>
      </c>
      <c r="C22" s="6">
        <f>FEAS!C22*(1-BASE!C22)</f>
        <v>0.19500000000000003</v>
      </c>
      <c r="D22" s="6">
        <f>FEAS!D22*(1-BASE!D22)</f>
        <v>0.19500000000000003</v>
      </c>
      <c r="E22" s="6">
        <f>FEAS!E22*(1-BASE!E22)</f>
        <v>0.19500000000000003</v>
      </c>
      <c r="F22" s="6">
        <f>FEAS!F22*(1-BASE!F22)</f>
        <v>0.19500000000000003</v>
      </c>
      <c r="G22" t="s">
        <v>340</v>
      </c>
      <c r="H22"/>
    </row>
    <row r="23" spans="1:8" s="8" customFormat="1">
      <c r="A23" t="str">
        <f>MLIST!A24</f>
        <v>Irrigation</v>
      </c>
      <c r="B23" s="41" t="str">
        <f>MLIST!D24</f>
        <v>Convert High Pressure Center Pivot to Low pressure system</v>
      </c>
      <c r="C23" s="6">
        <f>FEAS!C23*(1-BASE!C23)</f>
        <v>0.255</v>
      </c>
      <c r="D23" s="6">
        <f>FEAS!D23*(1-BASE!D23)</f>
        <v>0.255</v>
      </c>
      <c r="E23" s="6">
        <f>FEAS!E23*(1-BASE!E23)</f>
        <v>0.255</v>
      </c>
      <c r="F23" s="6">
        <f>FEAS!F23*(1-BASE!F23)</f>
        <v>0.255</v>
      </c>
      <c r="G23" t="s">
        <v>340</v>
      </c>
      <c r="H23"/>
    </row>
    <row r="24" spans="1:8">
      <c r="A24" t="str">
        <f>MLIST!A25</f>
        <v>Irrigation</v>
      </c>
      <c r="B24" s="41" t="str">
        <f>MLIST!D25</f>
        <v>Convert wheel line systems to low pressure systems on alfalfa acreage</v>
      </c>
      <c r="C24" s="6">
        <f>FEAS!C24*(1-BASE!C24)</f>
        <v>0.10500000000000001</v>
      </c>
      <c r="D24" s="6">
        <f>FEAS!D24*(1-BASE!D24)</f>
        <v>0.10500000000000001</v>
      </c>
      <c r="E24" s="6">
        <f>FEAS!E24*(1-BASE!E24)</f>
        <v>0.10500000000000001</v>
      </c>
      <c r="F24" s="6">
        <f>FEAS!F24*(1-BASE!F24)</f>
        <v>0.10500000000000001</v>
      </c>
      <c r="G24" t="s">
        <v>340</v>
      </c>
    </row>
    <row r="25" spans="1:8">
      <c r="A25" t="str">
        <f>MLIST!A26</f>
        <v>Irrigation</v>
      </c>
      <c r="B25" s="41" t="str">
        <f>MLIST!D26</f>
        <v>Convert hand line systems to low pressure systems on alfalfa acreage</v>
      </c>
      <c r="C25" s="6">
        <f>FEAS!C25*(1-BASE!C25)</f>
        <v>0.10500000000000001</v>
      </c>
      <c r="D25" s="6">
        <f>FEAS!D25*(1-BASE!D25)</f>
        <v>0.10500000000000001</v>
      </c>
      <c r="E25" s="6">
        <f>FEAS!E25*(1-BASE!E25)</f>
        <v>0.10500000000000001</v>
      </c>
      <c r="F25" s="6">
        <f>FEAS!F25*(1-BASE!F25)</f>
        <v>0.10500000000000001</v>
      </c>
      <c r="G25" t="s">
        <v>340</v>
      </c>
    </row>
    <row r="26" spans="1:8">
      <c r="A26" t="str">
        <f>MLIST!A27</f>
        <v>Irrigation</v>
      </c>
      <c r="B26" s="41" t="str">
        <f>MLIST!D27</f>
        <v>SIS</v>
      </c>
      <c r="C26" s="6">
        <f>FEAS!C26*(1-BASE!C26)</f>
        <v>0.85</v>
      </c>
      <c r="D26" s="6">
        <f>FEAS!D26*(1-BASE!D26)</f>
        <v>0.85</v>
      </c>
      <c r="E26" s="6">
        <f>FEAS!E26*(1-BASE!E26)</f>
        <v>0.85</v>
      </c>
      <c r="F26" s="6">
        <f>FEAS!F26*(1-BASE!F26)</f>
        <v>0.85</v>
      </c>
      <c r="G26" t="s">
        <v>340</v>
      </c>
    </row>
    <row r="27" spans="1:8">
      <c r="A27" t="str">
        <f>MLIST!A28</f>
        <v>Irrigation</v>
      </c>
      <c r="B27" s="41" t="str">
        <f>MLIST!D28</f>
        <v>LESA</v>
      </c>
      <c r="C27" s="6">
        <f>FEAS!C27*(1-BASE!C27)</f>
        <v>0.29699999999999999</v>
      </c>
      <c r="D27" s="6">
        <f>FEAS!D27*(1-BASE!D27)</f>
        <v>0.29699999999999999</v>
      </c>
      <c r="E27" s="6">
        <f>FEAS!E27*(1-BASE!E27)</f>
        <v>0.29699999999999999</v>
      </c>
      <c r="F27" s="6">
        <f>FEAS!F27*(1-BASE!F27)</f>
        <v>0.29699999999999999</v>
      </c>
      <c r="G27" t="s">
        <v>343</v>
      </c>
    </row>
    <row r="28" spans="1:8" s="8" customFormat="1">
      <c r="A28" t="str">
        <f>MLIST!A29</f>
        <v>Motors/Drives</v>
      </c>
      <c r="B28" s="41" t="str">
        <f>MLIST!D29</f>
        <v>Motor Rewind</v>
      </c>
      <c r="C28" s="6">
        <f>FEAS!C28*(1-BASE!C28)</f>
        <v>0.51800000000000002</v>
      </c>
      <c r="D28" s="6">
        <f>FEAS!D28*(1-BASE!D28)</f>
        <v>0.51800000000000002</v>
      </c>
      <c r="E28" s="6">
        <f>FEAS!E28*(1-BASE!E28)</f>
        <v>0.51800000000000002</v>
      </c>
      <c r="F28" s="6">
        <f>FEAS!F28*(1-BASE!F28)</f>
        <v>0.51800000000000002</v>
      </c>
      <c r="G28"/>
      <c r="H28"/>
    </row>
    <row r="29" spans="1:8" s="8" customFormat="1">
      <c r="A29" t="str">
        <f>MLIST!A30</f>
        <v>Motors/Drives</v>
      </c>
      <c r="B29" s="41" t="str">
        <f>MLIST!D30</f>
        <v>Install VSD on Irrigation Pump</v>
      </c>
      <c r="C29" s="6">
        <f>FEAS!C29*(1-BASE!C29)</f>
        <v>0.63</v>
      </c>
      <c r="D29" s="6">
        <f>FEAS!D29*(1-BASE!D29)</f>
        <v>0.63</v>
      </c>
      <c r="E29" s="6">
        <f>FEAS!E29*(1-BASE!E29)</f>
        <v>0.63</v>
      </c>
      <c r="F29" s="6">
        <f>FEAS!F29*(1-BASE!F29)</f>
        <v>0.63</v>
      </c>
      <c r="G29"/>
      <c r="H29"/>
    </row>
    <row r="30" spans="1:8" s="8" customFormat="1">
      <c r="A30" t="str">
        <f>MLIST!A31</f>
        <v>Motors/Drives</v>
      </c>
      <c r="B30" s="41" t="str">
        <f>MLIST!D31</f>
        <v>VSD - Vacuum Pump - FreeStall</v>
      </c>
      <c r="C30" s="6">
        <f>FEAS!C30*(1-BASE!C30)</f>
        <v>2.5000000000000022E-3</v>
      </c>
      <c r="D30" s="6">
        <f>FEAS!D30*(1-BASE!D30)</f>
        <v>2.5000000000000022E-3</v>
      </c>
      <c r="E30" s="6">
        <f>FEAS!E30*(1-BASE!E30)</f>
        <v>2.5000000000000022E-3</v>
      </c>
      <c r="F30" s="6">
        <f>FEAS!F30*(1-BASE!F30)</f>
        <v>2.5000000000000022E-3</v>
      </c>
      <c r="G30"/>
      <c r="H30"/>
    </row>
    <row r="31" spans="1:8" s="8" customFormat="1">
      <c r="A31" t="str">
        <f>MLIST!A32</f>
        <v>Refrigeration</v>
      </c>
      <c r="B31" s="41" t="str">
        <f>MLIST!D32</f>
        <v>Plate Milk Pre-cooler - FreeStall</v>
      </c>
      <c r="C31" s="6">
        <f>FEAS!C31*(1-BASE!C31)</f>
        <v>4.7500000000000042E-2</v>
      </c>
      <c r="D31" s="6">
        <f>FEAS!D31*(1-BASE!D31)</f>
        <v>4.7500000000000042E-2</v>
      </c>
      <c r="E31" s="6">
        <f>FEAS!E31*(1-BASE!E31)</f>
        <v>4.7500000000000042E-2</v>
      </c>
      <c r="F31" s="6">
        <f>FEAS!F31*(1-BASE!F31)</f>
        <v>4.7500000000000042E-2</v>
      </c>
      <c r="G31"/>
      <c r="H31"/>
    </row>
    <row r="32" spans="1:8" s="8" customFormat="1">
      <c r="A32" t="str">
        <f>MLIST!A33</f>
        <v>Lighting</v>
      </c>
      <c r="B32" s="41" t="str">
        <f>MLIST!D33</f>
        <v>Energy Efficient Lighting - FreeStall</v>
      </c>
      <c r="C32" s="6">
        <f>FEAS!C32*(1-BASE!C32)</f>
        <v>0.22596247328595939</v>
      </c>
      <c r="D32" s="6">
        <f>FEAS!D32*(1-BASE!D32)</f>
        <v>0.22596247328595939</v>
      </c>
      <c r="E32" s="6">
        <f>FEAS!E32*(1-BASE!E32)</f>
        <v>0.22596247328595939</v>
      </c>
      <c r="F32" s="6">
        <f>FEAS!F32*(1-BASE!F32)</f>
        <v>0.22596247328595939</v>
      </c>
      <c r="G32"/>
      <c r="H32"/>
    </row>
    <row r="33" spans="1:8" s="8" customFormat="1">
      <c r="A33" t="str">
        <f>MLIST!A34</f>
        <v>Motors/Drives</v>
      </c>
      <c r="B33" s="41" t="str">
        <f>MLIST!D34</f>
        <v>VSD - Vacuum Pump - TieStall</v>
      </c>
      <c r="C33" s="6">
        <f>FEAS!C33*(1-BASE!C33)</f>
        <v>0.1604247304551811</v>
      </c>
      <c r="D33" s="6">
        <f>FEAS!D33*(1-BASE!D33)</f>
        <v>0.1604247304551811</v>
      </c>
      <c r="E33" s="6">
        <f>FEAS!E33*(1-BASE!E33)</f>
        <v>0.1604247304551811</v>
      </c>
      <c r="F33" s="6">
        <f>FEAS!F33*(1-BASE!F33)</f>
        <v>0.1604247304551811</v>
      </c>
      <c r="G33"/>
      <c r="H33"/>
    </row>
    <row r="34" spans="1:8" s="8" customFormat="1">
      <c r="A34" t="str">
        <f>MLIST!A35</f>
        <v>Refrigeration</v>
      </c>
      <c r="B34" s="41" t="str">
        <f>MLIST!D35</f>
        <v>Heat Recovery Refrigeration - TieStall</v>
      </c>
      <c r="C34" s="6">
        <f>FEAS!C34*(1-BASE!C34)</f>
        <v>0.84147877475526689</v>
      </c>
      <c r="D34" s="6">
        <f>FEAS!D34*(1-BASE!D34)</f>
        <v>0.84147877475526689</v>
      </c>
      <c r="E34" s="6">
        <f>FEAS!E34*(1-BASE!E34)</f>
        <v>0.84147877475526689</v>
      </c>
      <c r="F34" s="6">
        <f>FEAS!F34*(1-BASE!F34)</f>
        <v>0.84147877475526689</v>
      </c>
      <c r="G34"/>
      <c r="H34"/>
    </row>
    <row r="35" spans="1:8" s="8" customFormat="1">
      <c r="A35" t="str">
        <f>MLIST!A36</f>
        <v>Refrigeration</v>
      </c>
      <c r="B35" s="41" t="str">
        <f>MLIST!D36</f>
        <v>Plate Milk Pre-Cooler - TieStall</v>
      </c>
      <c r="C35" s="6">
        <f>FEAS!C35*(1-BASE!C35)</f>
        <v>0.539760454730004</v>
      </c>
      <c r="D35" s="6">
        <f>FEAS!D35*(1-BASE!D35)</f>
        <v>0.539760454730004</v>
      </c>
      <c r="E35" s="6">
        <f>FEAS!E35*(1-BASE!E35)</f>
        <v>0.539760454730004</v>
      </c>
      <c r="F35" s="6">
        <f>FEAS!F35*(1-BASE!F35)</f>
        <v>0.539760454730004</v>
      </c>
      <c r="G35"/>
      <c r="H35"/>
    </row>
    <row r="36" spans="1:8">
      <c r="A36" t="str">
        <f>MLIST!A37</f>
        <v>Lighting</v>
      </c>
      <c r="B36" s="41" t="str">
        <f>MLIST!D37</f>
        <v>Energy Efficient Lighting - TieStall</v>
      </c>
      <c r="C36" s="6">
        <f>FEAS!C36*(1-BASE!C36)</f>
        <v>7.1883204763838152E-2</v>
      </c>
      <c r="D36" s="6">
        <f>FEAS!D36*(1-BASE!D36)</f>
        <v>7.1883204763838152E-2</v>
      </c>
      <c r="E36" s="6">
        <f>FEAS!E36*(1-BASE!E36)</f>
        <v>7.1883204763838152E-2</v>
      </c>
      <c r="F36" s="6">
        <f>FEAS!F36*(1-BASE!F36)</f>
        <v>7.1883204763838152E-2</v>
      </c>
    </row>
    <row r="37" spans="1:8" s="8" customFormat="1">
      <c r="A37" t="str">
        <f>MLIST!A38</f>
        <v>Lighting</v>
      </c>
      <c r="B37" s="41" t="str">
        <f>MLIST!D38</f>
        <v>35-44W LED fixture &amp; NEW Photocell_Replacing_175W MH fixture</v>
      </c>
      <c r="C37" s="6">
        <f>FEAS!C37*(1-BASE!C37)</f>
        <v>0.18000000000000002</v>
      </c>
      <c r="D37" s="6">
        <f>FEAS!D37*(1-BASE!D37)</f>
        <v>0.18000000000000002</v>
      </c>
      <c r="E37" s="6">
        <f>FEAS!E37*(1-BASE!E37)</f>
        <v>0.18000000000000002</v>
      </c>
      <c r="F37" s="6">
        <f>FEAS!F37*(1-BASE!F37)</f>
        <v>0.18000000000000002</v>
      </c>
      <c r="G37"/>
      <c r="H37"/>
    </row>
    <row r="38" spans="1:8" s="8" customFormat="1">
      <c r="A38" t="str">
        <f>MLIST!A39</f>
        <v>Lighting</v>
      </c>
      <c r="B38" s="41" t="str">
        <f>MLIST!D39</f>
        <v>35-44W LED fixture &amp; NEW Photocell_Replacing_150W HID fixture</v>
      </c>
      <c r="C38" s="6">
        <f>FEAS!C38*(1-BASE!C38)</f>
        <v>0.18000000000000002</v>
      </c>
      <c r="D38" s="6">
        <f>FEAS!D38*(1-BASE!D38)</f>
        <v>0.18000000000000002</v>
      </c>
      <c r="E38" s="6">
        <f>FEAS!E38*(1-BASE!E38)</f>
        <v>0.18000000000000002</v>
      </c>
      <c r="F38" s="6">
        <f>FEAS!F38*(1-BASE!F38)</f>
        <v>0.18000000000000002</v>
      </c>
      <c r="G38"/>
      <c r="H38"/>
    </row>
    <row r="39" spans="1:8" s="8" customFormat="1">
      <c r="A39" t="str">
        <f>MLIST!A40</f>
        <v>Lighting</v>
      </c>
      <c r="B39" s="41" t="str">
        <f>MLIST!D40</f>
        <v>35-44W LED fixture &amp; NEW Photocell_Replacing_100W HID fixture</v>
      </c>
      <c r="C39" s="6">
        <f>FEAS!C39*(1-BASE!C39)</f>
        <v>0.18000000000000002</v>
      </c>
      <c r="D39" s="6">
        <f>FEAS!D39*(1-BASE!D39)</f>
        <v>0.18000000000000002</v>
      </c>
      <c r="E39" s="6">
        <f>FEAS!E39*(1-BASE!E39)</f>
        <v>0.18000000000000002</v>
      </c>
      <c r="F39" s="6">
        <f>FEAS!F39*(1-BASE!F39)</f>
        <v>0.18000000000000002</v>
      </c>
      <c r="G39"/>
      <c r="H39"/>
    </row>
    <row r="40" spans="1:8" s="8" customFormat="1">
      <c r="A40" t="str">
        <f>MLIST!A41</f>
        <v>Lighting</v>
      </c>
      <c r="B40" s="41" t="str">
        <f>MLIST!D41</f>
        <v>35-44W LED fixture &amp; NEW Photocell_Replacing_175W MV fixture</v>
      </c>
      <c r="C40" s="6">
        <f>FEAS!C40*(1-BASE!C40)</f>
        <v>0.18000000000000002</v>
      </c>
      <c r="D40" s="6">
        <f>FEAS!D40*(1-BASE!D40)</f>
        <v>0.18000000000000002</v>
      </c>
      <c r="E40" s="6">
        <f>FEAS!E40*(1-BASE!E40)</f>
        <v>0.18000000000000002</v>
      </c>
      <c r="F40" s="6">
        <f>FEAS!F40*(1-BASE!F40)</f>
        <v>0.18000000000000002</v>
      </c>
      <c r="G40"/>
      <c r="H40"/>
    </row>
    <row r="41" spans="1:8" s="8" customFormat="1">
      <c r="A41" t="str">
        <f>MLIST!A42</f>
        <v>Lighting</v>
      </c>
      <c r="B41" s="41" t="str">
        <f>MLIST!D42</f>
        <v>35-44W LED fixture &amp; NEW Photocell_Replacing_200W HID fixture</v>
      </c>
      <c r="C41" s="6">
        <f>FEAS!C41*(1-BASE!C41)</f>
        <v>0.18000000000000002</v>
      </c>
      <c r="D41" s="6">
        <f>FEAS!D41*(1-BASE!D41)</f>
        <v>0.18000000000000002</v>
      </c>
      <c r="E41" s="6">
        <f>FEAS!E41*(1-BASE!E41)</f>
        <v>0.18000000000000002</v>
      </c>
      <c r="F41" s="6">
        <f>FEAS!F41*(1-BASE!F41)</f>
        <v>0.18000000000000002</v>
      </c>
      <c r="G41"/>
      <c r="H41"/>
    </row>
    <row r="42" spans="1:8" s="8" customFormat="1">
      <c r="B42" s="41"/>
      <c r="C42" s="6"/>
      <c r="D42" s="6"/>
      <c r="E42" s="6"/>
      <c r="F42" s="6"/>
      <c r="G42"/>
      <c r="H42"/>
    </row>
    <row r="43" spans="1:8" s="8" customFormat="1">
      <c r="B43" s="41"/>
      <c r="C43" s="6"/>
      <c r="D43" s="6"/>
      <c r="E43" s="6"/>
      <c r="F43" s="6"/>
      <c r="G43"/>
      <c r="H43"/>
    </row>
    <row r="44" spans="1:8" s="8" customFormat="1">
      <c r="B44" s="41"/>
      <c r="C44" s="6"/>
      <c r="D44" s="6"/>
      <c r="E44" s="6"/>
      <c r="F44" s="6"/>
      <c r="G44"/>
      <c r="H44"/>
    </row>
    <row r="45" spans="1:8" s="8" customFormat="1">
      <c r="B45" s="41"/>
      <c r="C45" s="6"/>
      <c r="D45" s="6"/>
      <c r="E45" s="6"/>
      <c r="F45" s="6"/>
      <c r="G45"/>
      <c r="H45"/>
    </row>
    <row r="46" spans="1:8" s="8" customFormat="1">
      <c r="B46" s="41"/>
      <c r="C46" s="6"/>
      <c r="D46" s="6"/>
      <c r="E46" s="6"/>
      <c r="F46" s="6"/>
      <c r="G46"/>
      <c r="H46"/>
    </row>
    <row r="47" spans="1:8" s="8" customFormat="1">
      <c r="B47" s="41"/>
      <c r="C47" s="6"/>
      <c r="D47" s="6"/>
      <c r="E47" s="6"/>
      <c r="F47" s="6"/>
      <c r="G47"/>
      <c r="H47"/>
    </row>
    <row r="48" spans="1:8" s="8" customFormat="1">
      <c r="B48" s="41"/>
      <c r="C48" s="6"/>
      <c r="D48" s="6"/>
      <c r="E48" s="6"/>
      <c r="F48" s="6"/>
      <c r="G48"/>
      <c r="H48"/>
    </row>
    <row r="49" spans="2:8" s="8" customFormat="1">
      <c r="B49" s="41"/>
      <c r="C49" s="6"/>
      <c r="D49" s="6"/>
      <c r="E49" s="6"/>
      <c r="F49" s="6"/>
      <c r="G49"/>
      <c r="H49"/>
    </row>
    <row r="50" spans="2:8">
      <c r="B50" s="41"/>
      <c r="C50" s="6"/>
      <c r="D50" s="6"/>
      <c r="E50" s="6"/>
      <c r="F50" s="6"/>
    </row>
    <row r="51" spans="2:8">
      <c r="B51" s="41"/>
      <c r="C51" s="6"/>
      <c r="D51" s="6"/>
      <c r="E51" s="6"/>
      <c r="F51" s="6"/>
    </row>
    <row r="52" spans="2:8">
      <c r="B52" s="41"/>
      <c r="C52" s="6"/>
      <c r="D52" s="6"/>
      <c r="E52" s="6"/>
      <c r="F52" s="6"/>
    </row>
    <row r="53" spans="2:8">
      <c r="B53" s="41"/>
      <c r="C53" s="6"/>
      <c r="D53" s="6"/>
      <c r="E53" s="6"/>
      <c r="F53" s="6"/>
    </row>
    <row r="54" spans="2:8">
      <c r="B54" s="41"/>
      <c r="C54" s="6"/>
      <c r="D54" s="6"/>
      <c r="E54" s="6"/>
      <c r="F54" s="6"/>
    </row>
    <row r="55" spans="2:8">
      <c r="B55" s="41"/>
      <c r="C55" s="6"/>
      <c r="D55" s="6"/>
      <c r="E55" s="6"/>
      <c r="F55" s="6"/>
    </row>
    <row r="56" spans="2:8">
      <c r="B56" s="41"/>
      <c r="C56" s="6"/>
      <c r="D56" s="6"/>
      <c r="E56" s="6"/>
      <c r="F56" s="6"/>
    </row>
    <row r="57" spans="2:8">
      <c r="B57" s="41"/>
      <c r="C57" s="6"/>
      <c r="D57" s="6"/>
      <c r="E57" s="6"/>
      <c r="F57" s="6"/>
    </row>
    <row r="58" spans="2:8">
      <c r="B58" s="41"/>
      <c r="C58" s="6"/>
      <c r="D58" s="6"/>
      <c r="E58" s="6"/>
      <c r="F58" s="6"/>
    </row>
    <row r="59" spans="2:8">
      <c r="B59" s="41"/>
      <c r="C59" s="6"/>
      <c r="D59" s="6"/>
      <c r="E59" s="6"/>
      <c r="F59" s="6"/>
    </row>
    <row r="60" spans="2:8">
      <c r="B60" s="41"/>
      <c r="C60" s="6"/>
      <c r="D60" s="6"/>
      <c r="E60" s="6"/>
      <c r="F60" s="6"/>
    </row>
    <row r="61" spans="2:8">
      <c r="B61" s="41"/>
      <c r="C61" s="6"/>
      <c r="D61" s="6"/>
      <c r="E61" s="6"/>
      <c r="F61" s="6"/>
    </row>
    <row r="62" spans="2:8">
      <c r="B62" s="41"/>
      <c r="C62" s="6"/>
      <c r="D62" s="6"/>
      <c r="E62" s="6"/>
      <c r="F62" s="6"/>
    </row>
    <row r="63" spans="2:8">
      <c r="B63" s="41"/>
      <c r="C63" s="6"/>
      <c r="D63" s="6"/>
      <c r="E63" s="6"/>
      <c r="F63" s="6"/>
    </row>
    <row r="64" spans="2:8">
      <c r="B64" s="41"/>
      <c r="C64" s="6"/>
      <c r="D64" s="6"/>
      <c r="E64" s="6"/>
      <c r="F64" s="6"/>
    </row>
    <row r="65" spans="2:6">
      <c r="B65" s="41"/>
      <c r="C65" s="6"/>
      <c r="D65" s="6"/>
      <c r="E65" s="6"/>
      <c r="F65" s="6"/>
    </row>
    <row r="66" spans="2:6">
      <c r="B66" s="41"/>
      <c r="C66" s="6"/>
      <c r="D66" s="6"/>
      <c r="E66" s="6"/>
      <c r="F66" s="6"/>
    </row>
    <row r="67" spans="2:6">
      <c r="B67" s="41"/>
      <c r="C67" s="6"/>
      <c r="D67" s="6"/>
      <c r="E67" s="6"/>
      <c r="F67" s="6"/>
    </row>
    <row r="68" spans="2:6">
      <c r="B68" s="41"/>
      <c r="C68" s="6"/>
      <c r="D68" s="6"/>
      <c r="E68" s="6"/>
      <c r="F68" s="6"/>
    </row>
    <row r="69" spans="2:6">
      <c r="B69" s="41"/>
      <c r="C69" s="6"/>
      <c r="D69" s="6"/>
      <c r="E69" s="6"/>
      <c r="F69" s="6"/>
    </row>
    <row r="70" spans="2:6">
      <c r="B70" s="41"/>
      <c r="C70" s="6"/>
      <c r="D70" s="6"/>
      <c r="E70" s="6"/>
      <c r="F70" s="6"/>
    </row>
    <row r="71" spans="2:6">
      <c r="B71" s="41"/>
      <c r="C71" s="6"/>
      <c r="D71" s="6"/>
      <c r="E71" s="6"/>
      <c r="F71" s="6"/>
    </row>
    <row r="72" spans="2:6">
      <c r="B72" s="41"/>
      <c r="C72" s="6"/>
      <c r="D72" s="6"/>
      <c r="E72" s="6"/>
      <c r="F72" s="6"/>
    </row>
    <row r="73" spans="2:6">
      <c r="B73" s="41"/>
      <c r="C73" s="6"/>
      <c r="D73" s="6"/>
      <c r="E73" s="6"/>
      <c r="F73" s="6"/>
    </row>
    <row r="74" spans="2:6">
      <c r="B74" s="41"/>
      <c r="C74" s="6"/>
      <c r="D74" s="6"/>
      <c r="E74" s="6"/>
      <c r="F74" s="6"/>
    </row>
    <row r="75" spans="2:6">
      <c r="B75" s="41"/>
      <c r="C75" s="6"/>
      <c r="D75" s="6"/>
      <c r="E75" s="6"/>
      <c r="F75" s="6"/>
    </row>
    <row r="76" spans="2:6">
      <c r="B76" s="41"/>
      <c r="C76" s="6"/>
      <c r="D76" s="6"/>
      <c r="E76" s="6"/>
      <c r="F76" s="6"/>
    </row>
    <row r="77" spans="2:6">
      <c r="B77" s="41"/>
      <c r="C77" s="6"/>
      <c r="D77" s="6"/>
      <c r="E77" s="6"/>
      <c r="F77" s="6"/>
    </row>
    <row r="78" spans="2:6">
      <c r="B78" s="41"/>
      <c r="C78" s="6"/>
      <c r="D78" s="6"/>
      <c r="E78" s="6"/>
      <c r="F78" s="6"/>
    </row>
    <row r="79" spans="2:6">
      <c r="B79" s="41"/>
      <c r="C79" s="6"/>
      <c r="D79" s="6"/>
      <c r="E79" s="6"/>
      <c r="F79" s="6"/>
    </row>
    <row r="80" spans="2:6">
      <c r="B80" s="41"/>
      <c r="C80" s="6"/>
      <c r="D80" s="6"/>
      <c r="E80" s="6"/>
      <c r="F80" s="6"/>
    </row>
    <row r="81" spans="2:6">
      <c r="B81" s="41"/>
      <c r="C81" s="6"/>
      <c r="D81" s="6"/>
      <c r="E81" s="6"/>
      <c r="F81" s="6"/>
    </row>
    <row r="82" spans="2:6">
      <c r="B82" s="41"/>
      <c r="C82" s="6"/>
      <c r="D82" s="6"/>
      <c r="E82" s="6"/>
      <c r="F82" s="6"/>
    </row>
    <row r="83" spans="2:6">
      <c r="B83" s="41"/>
      <c r="C83" s="6"/>
      <c r="D83" s="6"/>
      <c r="E83" s="6"/>
      <c r="F83" s="6"/>
    </row>
    <row r="84" spans="2:6">
      <c r="B84" s="41"/>
      <c r="C84" s="6"/>
      <c r="D84" s="6"/>
      <c r="E84" s="6"/>
      <c r="F84" s="6"/>
    </row>
    <row r="85" spans="2:6">
      <c r="B85" s="41"/>
      <c r="C85" s="6"/>
      <c r="D85" s="6"/>
      <c r="E85" s="6"/>
      <c r="F85" s="6"/>
    </row>
    <row r="86" spans="2:6">
      <c r="B86" s="41"/>
      <c r="C86" s="6"/>
      <c r="D86" s="6"/>
      <c r="E86" s="6"/>
      <c r="F86" s="6"/>
    </row>
    <row r="87" spans="2:6">
      <c r="B87" s="41"/>
      <c r="C87" s="6"/>
      <c r="D87" s="6"/>
      <c r="E87" s="6"/>
      <c r="F87" s="6"/>
    </row>
    <row r="88" spans="2:6">
      <c r="B88" s="41"/>
      <c r="C88" s="6"/>
      <c r="D88" s="6"/>
      <c r="E88" s="6"/>
      <c r="F88" s="6"/>
    </row>
    <row r="89" spans="2:6">
      <c r="B89" s="41"/>
      <c r="C89" s="6"/>
      <c r="D89" s="6"/>
      <c r="E89" s="6"/>
      <c r="F89" s="6"/>
    </row>
    <row r="90" spans="2:6">
      <c r="B90" s="41"/>
      <c r="C90" s="6"/>
      <c r="D90" s="6"/>
      <c r="E90" s="6"/>
      <c r="F90" s="6"/>
    </row>
    <row r="91" spans="2:6">
      <c r="B91" s="41"/>
    </row>
    <row r="92" spans="2:6">
      <c r="B92" s="41"/>
    </row>
    <row r="93" spans="2:6">
      <c r="B93" s="41"/>
    </row>
    <row r="94" spans="2:6">
      <c r="B94" s="41"/>
    </row>
    <row r="95" spans="2:6">
      <c r="B95" s="41"/>
    </row>
    <row r="96" spans="2:6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1"/>
    </row>
    <row r="110" spans="2:2">
      <c r="B110" s="41"/>
    </row>
    <row r="111" spans="2:2">
      <c r="B111" s="41"/>
    </row>
    <row r="112" spans="2:2">
      <c r="B112" s="41"/>
    </row>
    <row r="113" spans="2:2">
      <c r="B113" s="41"/>
    </row>
    <row r="114" spans="2:2">
      <c r="B114" s="41"/>
    </row>
    <row r="115" spans="2:2">
      <c r="B115" s="41"/>
    </row>
    <row r="116" spans="2:2">
      <c r="B116" s="41"/>
    </row>
    <row r="117" spans="2:2">
      <c r="B117" s="41"/>
    </row>
    <row r="118" spans="2:2">
      <c r="B118" s="41"/>
    </row>
    <row r="119" spans="2:2">
      <c r="B119" s="41"/>
    </row>
    <row r="120" spans="2:2">
      <c r="B120" s="41"/>
    </row>
    <row r="121" spans="2:2">
      <c r="B121" s="41"/>
    </row>
    <row r="122" spans="2:2">
      <c r="B122" s="41"/>
    </row>
    <row r="123" spans="2:2">
      <c r="B123" s="41"/>
    </row>
    <row r="124" spans="2:2">
      <c r="B124" s="41"/>
    </row>
    <row r="125" spans="2:2">
      <c r="B125" s="41"/>
    </row>
    <row r="126" spans="2:2">
      <c r="B126" s="41"/>
    </row>
    <row r="127" spans="2:2">
      <c r="B127" s="41"/>
    </row>
    <row r="128" spans="2:2">
      <c r="B128" s="41"/>
    </row>
    <row r="129" spans="2:2">
      <c r="B129" s="41"/>
    </row>
    <row r="130" spans="2:2">
      <c r="B130" s="41"/>
    </row>
    <row r="131" spans="2:2">
      <c r="B131" s="41"/>
    </row>
    <row r="132" spans="2:2">
      <c r="B132" s="41"/>
    </row>
    <row r="133" spans="2:2">
      <c r="B133" s="41"/>
    </row>
    <row r="134" spans="2:2">
      <c r="B134" s="41"/>
    </row>
    <row r="135" spans="2:2">
      <c r="B135" s="41"/>
    </row>
    <row r="136" spans="2:2">
      <c r="B136" s="41"/>
    </row>
    <row r="137" spans="2:2">
      <c r="B137" s="41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0000"/>
    <pageSetUpPr fitToPage="1"/>
  </sheetPr>
  <dimension ref="A1:H154"/>
  <sheetViews>
    <sheetView topLeftCell="B1" workbookViewId="0">
      <pane xSplit="1" ySplit="8" topLeftCell="C9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G28" sqref="G28"/>
    </sheetView>
  </sheetViews>
  <sheetFormatPr defaultRowHeight="12.75"/>
  <cols>
    <col min="1" max="1" width="14.7109375" customWidth="1"/>
    <col min="2" max="2" width="96.28515625" customWidth="1"/>
    <col min="4" max="4" width="10.5703125" customWidth="1"/>
    <col min="6" max="6" width="7.42578125" customWidth="1"/>
    <col min="7" max="7" width="10.7109375" customWidth="1"/>
  </cols>
  <sheetData>
    <row r="1" spans="1:8">
      <c r="A1" t="s">
        <v>37</v>
      </c>
      <c r="B1" t="s">
        <v>68</v>
      </c>
      <c r="D1" s="25" t="str">
        <f ca="1">CELL("filename")</f>
        <v>\\nas2\Q\SeventhPlan\Conservation Analysis\Ag\[Ag-Dairy-7P_v2.xlsx]M_Input</v>
      </c>
    </row>
    <row r="2" spans="1:8">
      <c r="B2" s="25"/>
    </row>
    <row r="3" spans="1:8">
      <c r="B3" s="37"/>
      <c r="C3" s="30"/>
      <c r="D3" s="30"/>
      <c r="E3" s="30"/>
      <c r="F3" s="30"/>
    </row>
    <row r="4" spans="1:8">
      <c r="B4" s="37"/>
      <c r="C4" s="30"/>
      <c r="D4" s="30"/>
      <c r="E4" s="30"/>
      <c r="F4" s="30"/>
    </row>
    <row r="5" spans="1:8">
      <c r="B5" s="37"/>
    </row>
    <row r="6" spans="1:8">
      <c r="B6" s="52"/>
      <c r="G6" s="1"/>
      <c r="H6" s="1"/>
    </row>
    <row r="7" spans="1:8">
      <c r="A7" s="1"/>
      <c r="B7" s="1">
        <f>COLUMN()-1</f>
        <v>1</v>
      </c>
      <c r="C7" s="1">
        <f t="shared" ref="C7:F7" si="0">COLUMN()-1</f>
        <v>2</v>
      </c>
      <c r="D7" s="1">
        <f t="shared" si="0"/>
        <v>3</v>
      </c>
      <c r="E7" s="1">
        <f t="shared" si="0"/>
        <v>4</v>
      </c>
      <c r="F7" s="1">
        <f t="shared" si="0"/>
        <v>5</v>
      </c>
    </row>
    <row r="8" spans="1:8">
      <c r="A8" s="28" t="s">
        <v>16</v>
      </c>
      <c r="B8" s="28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 t="s">
        <v>11</v>
      </c>
    </row>
    <row r="9" spans="1:8" ht="12.6" customHeight="1">
      <c r="B9" s="41" t="str">
        <f>MLIST!D10</f>
        <v xml:space="preserve">Wheel/hand line systems: Replace worn nozzle with new flow controlling type nozzle for impact sprinklers </v>
      </c>
      <c r="C9" s="6">
        <v>1</v>
      </c>
      <c r="D9" s="6">
        <f>'Depth of Wells'!N11</f>
        <v>1</v>
      </c>
      <c r="E9" s="6">
        <v>1</v>
      </c>
      <c r="F9" s="6">
        <v>1</v>
      </c>
      <c r="G9" t="s">
        <v>340</v>
      </c>
    </row>
    <row r="10" spans="1:8">
      <c r="B10" s="41" t="str">
        <f>MLIST!D11</f>
        <v xml:space="preserve">Wheel/hand line systems: Replace worn nozzle with new nozzle </v>
      </c>
      <c r="C10" s="6">
        <v>1</v>
      </c>
      <c r="D10" s="6">
        <v>1</v>
      </c>
      <c r="E10" s="6">
        <v>1</v>
      </c>
      <c r="F10" s="6">
        <v>1</v>
      </c>
      <c r="G10" t="s">
        <v>340</v>
      </c>
    </row>
    <row r="11" spans="1:8">
      <c r="B11" s="41" t="str">
        <f>MLIST!D12</f>
        <v xml:space="preserve">Wheel/hand line systems: Rebuild or replace leaking impact sprinkler with new or rebuilt impact sprinkler </v>
      </c>
      <c r="C11" s="6">
        <v>1</v>
      </c>
      <c r="D11" s="6">
        <v>1</v>
      </c>
      <c r="E11" s="6">
        <v>1</v>
      </c>
      <c r="F11" s="6">
        <v>1</v>
      </c>
      <c r="G11" t="s">
        <v>340</v>
      </c>
    </row>
    <row r="12" spans="1:8">
      <c r="B12" s="41" t="str">
        <f>MLIST!D13</f>
        <v xml:space="preserve">Wheel/hand line systems: Replace leaking gasket with new gasket </v>
      </c>
      <c r="C12" s="6">
        <v>1</v>
      </c>
      <c r="D12" s="6">
        <v>1</v>
      </c>
      <c r="E12" s="6">
        <v>1</v>
      </c>
      <c r="F12" s="6">
        <v>1</v>
      </c>
      <c r="G12" t="s">
        <v>340</v>
      </c>
    </row>
    <row r="13" spans="1:8">
      <c r="B13" s="41" t="str">
        <f>MLIST!D14</f>
        <v xml:space="preserve">Wheel/hand line systems: Replace leaking drain with new drain </v>
      </c>
      <c r="C13" s="6">
        <v>1</v>
      </c>
      <c r="D13" s="6">
        <v>1</v>
      </c>
      <c r="E13" s="6">
        <v>1</v>
      </c>
      <c r="F13" s="6">
        <v>1</v>
      </c>
      <c r="G13" t="s">
        <v>340</v>
      </c>
    </row>
    <row r="14" spans="1:8">
      <c r="B14" s="41" t="str">
        <f>MLIST!D15</f>
        <v xml:space="preserve">Wheel/hand line systems: Cut and pipe press repair of leaking hand-lines, wheel-lines, and portable main-lines </v>
      </c>
      <c r="C14" s="6">
        <v>1</v>
      </c>
      <c r="D14" s="6">
        <v>1</v>
      </c>
      <c r="E14" s="6">
        <v>1</v>
      </c>
      <c r="F14" s="6">
        <v>1</v>
      </c>
      <c r="G14" t="s">
        <v>340</v>
      </c>
    </row>
    <row r="15" spans="1:8">
      <c r="B15" s="41" t="str">
        <f>MLIST!D16</f>
        <v xml:space="preserve">Thunderbird wheel line systems: Replace leaking hub with new hub </v>
      </c>
      <c r="C15" s="6">
        <v>1</v>
      </c>
      <c r="D15" s="6">
        <v>1</v>
      </c>
      <c r="E15" s="6">
        <v>1</v>
      </c>
      <c r="F15" s="6">
        <v>1</v>
      </c>
      <c r="G15" t="s">
        <v>340</v>
      </c>
    </row>
    <row r="16" spans="1:8">
      <c r="B16" s="41" t="str">
        <f>MLIST!D17</f>
        <v xml:space="preserve">Wheel line systems: Rebuild or replace leaking or malfunctioning leveler with new or rebuilt leveler. </v>
      </c>
      <c r="C16" s="6">
        <v>1</v>
      </c>
      <c r="D16" s="6">
        <v>1</v>
      </c>
      <c r="E16" s="6">
        <v>1</v>
      </c>
      <c r="F16" s="6">
        <v>1</v>
      </c>
      <c r="G16" t="s">
        <v>340</v>
      </c>
    </row>
    <row r="17" spans="2:8">
      <c r="B17" s="41" t="str">
        <f>MLIST!D18</f>
        <v xml:space="preserve">Center pivot/linear move systems: Install new sprinkler package on an existing system. </v>
      </c>
      <c r="C17" s="6">
        <v>1</v>
      </c>
      <c r="D17" s="6">
        <v>1</v>
      </c>
      <c r="E17" s="6">
        <v>1</v>
      </c>
      <c r="F17" s="6">
        <v>1</v>
      </c>
      <c r="G17" t="s">
        <v>340</v>
      </c>
    </row>
    <row r="18" spans="2:8">
      <c r="B18" s="41" t="str">
        <f>MLIST!D19</f>
        <v xml:space="preserve">Center pivot/linear move systems: New gooseneck elbows </v>
      </c>
      <c r="C18" s="6">
        <v>1</v>
      </c>
      <c r="D18" s="6">
        <v>1</v>
      </c>
      <c r="E18" s="6">
        <v>1</v>
      </c>
      <c r="F18" s="6">
        <v>1</v>
      </c>
      <c r="G18" t="s">
        <v>340</v>
      </c>
    </row>
    <row r="19" spans="2:8">
      <c r="B19" s="41" t="str">
        <f>MLIST!D20</f>
        <v xml:space="preserve">Center pivot/linear move systems: New drop tubes (3 feet minimum) </v>
      </c>
      <c r="C19" s="6">
        <v>1</v>
      </c>
      <c r="D19" s="6">
        <v>1</v>
      </c>
      <c r="E19" s="6">
        <v>1</v>
      </c>
      <c r="F19" s="6">
        <v>1</v>
      </c>
      <c r="G19" t="s">
        <v>340</v>
      </c>
    </row>
    <row r="20" spans="2:8">
      <c r="B20" s="41" t="str">
        <f>MLIST!D21</f>
        <v xml:space="preserve">Center pivot/linear move systems: Replace leaking pivot boot gasket with new pivot boot gasket </v>
      </c>
      <c r="C20" s="6">
        <v>1</v>
      </c>
      <c r="D20" s="6">
        <v>1</v>
      </c>
      <c r="E20" s="6">
        <v>1</v>
      </c>
      <c r="F20" s="6">
        <v>1</v>
      </c>
      <c r="G20" t="s">
        <v>340</v>
      </c>
    </row>
    <row r="21" spans="2:8">
      <c r="B21" s="41" t="str">
        <f>MLIST!D22</f>
        <v xml:space="preserve">Center pivot/linear move systems: Replace leaking tower gasket with new tower gasket </v>
      </c>
      <c r="C21" s="6">
        <v>1</v>
      </c>
      <c r="D21" s="6">
        <v>1</v>
      </c>
      <c r="E21" s="6">
        <v>1</v>
      </c>
      <c r="F21" s="6">
        <v>1</v>
      </c>
      <c r="G21" t="s">
        <v>340</v>
      </c>
    </row>
    <row r="22" spans="2:8" s="8" customFormat="1">
      <c r="B22" s="41" t="str">
        <f>MLIST!D23</f>
        <v>Convert Medium Pressure Center Pivot to Low pressure system</v>
      </c>
      <c r="C22" s="6">
        <v>0.65</v>
      </c>
      <c r="D22" s="6">
        <v>0.65</v>
      </c>
      <c r="E22" s="6">
        <v>0.65</v>
      </c>
      <c r="F22" s="6">
        <v>0.65</v>
      </c>
      <c r="G22" t="s">
        <v>340</v>
      </c>
      <c r="H22"/>
    </row>
    <row r="23" spans="2:8" s="8" customFormat="1">
      <c r="B23" s="41" t="str">
        <f>MLIST!D24</f>
        <v>Convert High Pressure Center Pivot to Low pressure system</v>
      </c>
      <c r="C23" s="6">
        <v>0.85</v>
      </c>
      <c r="D23" s="6">
        <v>0.85</v>
      </c>
      <c r="E23" s="6">
        <v>0.85</v>
      </c>
      <c r="F23" s="6">
        <v>0.85</v>
      </c>
      <c r="G23" t="s">
        <v>340</v>
      </c>
      <c r="H23"/>
    </row>
    <row r="24" spans="2:8">
      <c r="B24" s="41" t="str">
        <f>MLIST!D25</f>
        <v>Convert wheel line systems to low pressure systems on alfalfa acreage</v>
      </c>
      <c r="C24" s="6">
        <v>0.35</v>
      </c>
      <c r="D24" s="6">
        <v>0.35</v>
      </c>
      <c r="E24" s="6">
        <v>0.35</v>
      </c>
      <c r="F24" s="6">
        <v>0.35</v>
      </c>
      <c r="G24" t="s">
        <v>340</v>
      </c>
    </row>
    <row r="25" spans="2:8">
      <c r="B25" s="41" t="str">
        <f>MLIST!D26</f>
        <v>Convert hand line systems to low pressure systems on alfalfa acreage</v>
      </c>
      <c r="C25" s="6">
        <v>0.35</v>
      </c>
      <c r="D25" s="6">
        <v>0.35</v>
      </c>
      <c r="E25" s="6">
        <v>0.35</v>
      </c>
      <c r="F25" s="6">
        <v>0.35</v>
      </c>
      <c r="G25" t="s">
        <v>340</v>
      </c>
    </row>
    <row r="26" spans="2:8">
      <c r="B26" s="41" t="str">
        <f>MLIST!D27</f>
        <v>SIS</v>
      </c>
      <c r="C26" s="6">
        <v>1</v>
      </c>
      <c r="D26" s="6">
        <v>1</v>
      </c>
      <c r="E26" s="6">
        <v>1</v>
      </c>
      <c r="F26" s="6">
        <v>1</v>
      </c>
      <c r="G26" t="s">
        <v>340</v>
      </c>
    </row>
    <row r="27" spans="2:8">
      <c r="B27" s="41" t="str">
        <f>MLIST!D28</f>
        <v>LESA</v>
      </c>
      <c r="C27" s="6">
        <v>0.3</v>
      </c>
      <c r="D27" s="6">
        <v>0.3</v>
      </c>
      <c r="E27" s="6">
        <v>0.3</v>
      </c>
      <c r="F27" s="6">
        <v>0.3</v>
      </c>
      <c r="G27" t="s">
        <v>343</v>
      </c>
    </row>
    <row r="28" spans="2:8" s="8" customFormat="1">
      <c r="B28" s="41" t="str">
        <f>MLIST!D29</f>
        <v>Motor Rewind</v>
      </c>
      <c r="C28" s="186">
        <v>0.7</v>
      </c>
      <c r="D28" s="186">
        <v>0.7</v>
      </c>
      <c r="E28" s="186">
        <v>0.7</v>
      </c>
      <c r="F28" s="186">
        <v>0.7</v>
      </c>
      <c r="G28" t="s">
        <v>347</v>
      </c>
      <c r="H28"/>
    </row>
    <row r="29" spans="2:8" s="8" customFormat="1">
      <c r="B29" s="41" t="str">
        <f>MLIST!D30</f>
        <v>Install VSD on Irrigation Pump</v>
      </c>
      <c r="C29" s="186">
        <v>0.9</v>
      </c>
      <c r="D29" s="186">
        <v>0.9</v>
      </c>
      <c r="E29" s="186">
        <v>0.9</v>
      </c>
      <c r="F29" s="186">
        <v>0.9</v>
      </c>
      <c r="G29" t="s">
        <v>347</v>
      </c>
      <c r="H29"/>
    </row>
    <row r="30" spans="2:8" s="8" customFormat="1">
      <c r="B30" s="41" t="str">
        <f>MLIST!D31</f>
        <v>VSD - Vacuum Pump - FreeStall</v>
      </c>
      <c r="C30" s="7">
        <v>0.05</v>
      </c>
      <c r="D30" s="7">
        <v>0.05</v>
      </c>
      <c r="E30" s="7">
        <v>0.05</v>
      </c>
      <c r="F30" s="7">
        <v>0.05</v>
      </c>
      <c r="G30" t="s">
        <v>376</v>
      </c>
      <c r="H30"/>
    </row>
    <row r="31" spans="2:8" s="8" customFormat="1">
      <c r="B31" s="41" t="str">
        <f>MLIST!D32</f>
        <v>Plate Milk Pre-cooler - FreeStall</v>
      </c>
      <c r="C31" s="7">
        <v>0.95</v>
      </c>
      <c r="D31" s="7">
        <v>0.95</v>
      </c>
      <c r="E31" s="7">
        <v>0.95</v>
      </c>
      <c r="F31" s="7">
        <v>0.95</v>
      </c>
      <c r="G31"/>
      <c r="H31"/>
    </row>
    <row r="32" spans="2:8" s="8" customFormat="1">
      <c r="B32" s="41" t="str">
        <f>MLIST!D33</f>
        <v>Energy Efficient Lighting - FreeStall</v>
      </c>
      <c r="C32" s="7">
        <v>0.95</v>
      </c>
      <c r="D32" s="7">
        <v>0.95</v>
      </c>
      <c r="E32" s="7">
        <v>0.95</v>
      </c>
      <c r="F32" s="7">
        <v>0.95</v>
      </c>
      <c r="G32"/>
      <c r="H32"/>
    </row>
    <row r="33" spans="1:8" s="8" customFormat="1">
      <c r="B33" s="41" t="str">
        <f>MLIST!D34</f>
        <v>VSD - Vacuum Pump - TieStall</v>
      </c>
      <c r="C33" s="7">
        <v>0.95</v>
      </c>
      <c r="D33" s="7">
        <v>0.95</v>
      </c>
      <c r="E33" s="7">
        <v>0.95</v>
      </c>
      <c r="F33" s="7">
        <v>0.95</v>
      </c>
      <c r="G33"/>
      <c r="H33"/>
    </row>
    <row r="34" spans="1:8" s="8" customFormat="1">
      <c r="B34" s="41" t="str">
        <f>MLIST!D35</f>
        <v>Heat Recovery Refrigeration - TieStall</v>
      </c>
      <c r="C34" s="7">
        <v>0.95</v>
      </c>
      <c r="D34" s="7">
        <v>0.95</v>
      </c>
      <c r="E34" s="7">
        <v>0.95</v>
      </c>
      <c r="F34" s="7">
        <v>0.95</v>
      </c>
      <c r="G34"/>
      <c r="H34"/>
    </row>
    <row r="35" spans="1:8" s="8" customFormat="1">
      <c r="B35" s="41" t="str">
        <f>MLIST!D36</f>
        <v>Plate Milk Pre-Cooler - TieStall</v>
      </c>
      <c r="C35" s="7">
        <v>0.95</v>
      </c>
      <c r="D35" s="7">
        <v>0.95</v>
      </c>
      <c r="E35" s="7">
        <v>0.95</v>
      </c>
      <c r="F35" s="7">
        <v>0.95</v>
      </c>
      <c r="G35"/>
      <c r="H35"/>
    </row>
    <row r="36" spans="1:8" s="8" customFormat="1">
      <c r="B36" s="41" t="str">
        <f>MLIST!D37</f>
        <v>Energy Efficient Lighting - TieStall</v>
      </c>
      <c r="C36" s="7">
        <v>0.95</v>
      </c>
      <c r="D36" s="7">
        <v>0.95</v>
      </c>
      <c r="E36" s="7">
        <v>0.95</v>
      </c>
      <c r="F36" s="7">
        <v>0.95</v>
      </c>
      <c r="G36"/>
      <c r="H36"/>
    </row>
    <row r="37" spans="1:8">
      <c r="B37" s="41" t="str">
        <f>MLIST!D38</f>
        <v>35-44W LED fixture &amp; NEW Photocell_Replacing_175W MH fixture</v>
      </c>
      <c r="C37" s="7">
        <v>0.2</v>
      </c>
      <c r="D37" s="7">
        <v>0.2</v>
      </c>
      <c r="E37" s="7">
        <v>0.2</v>
      </c>
      <c r="F37" s="7">
        <v>0.2</v>
      </c>
      <c r="G37" t="s">
        <v>360</v>
      </c>
    </row>
    <row r="38" spans="1:8" s="8" customFormat="1">
      <c r="A38" s="22"/>
      <c r="B38" s="41" t="str">
        <f>MLIST!D39</f>
        <v>35-44W LED fixture &amp; NEW Photocell_Replacing_150W HID fixture</v>
      </c>
      <c r="C38" s="23">
        <v>0.2</v>
      </c>
      <c r="D38" s="23">
        <v>0.2</v>
      </c>
      <c r="E38" s="23">
        <v>0.2</v>
      </c>
      <c r="F38" s="23">
        <v>0.2</v>
      </c>
      <c r="G38" t="s">
        <v>360</v>
      </c>
      <c r="H38"/>
    </row>
    <row r="39" spans="1:8" s="8" customFormat="1">
      <c r="B39" s="41" t="str">
        <f>MLIST!D40</f>
        <v>35-44W LED fixture &amp; NEW Photocell_Replacing_100W HID fixture</v>
      </c>
      <c r="C39" s="7">
        <v>0.2</v>
      </c>
      <c r="D39" s="7">
        <v>0.2</v>
      </c>
      <c r="E39" s="7">
        <v>0.2</v>
      </c>
      <c r="F39" s="7">
        <v>0.2</v>
      </c>
      <c r="G39" t="s">
        <v>360</v>
      </c>
      <c r="H39"/>
    </row>
    <row r="40" spans="1:8" s="8" customFormat="1">
      <c r="B40" s="41" t="str">
        <f>MLIST!D41</f>
        <v>35-44W LED fixture &amp; NEW Photocell_Replacing_175W MV fixture</v>
      </c>
      <c r="C40" s="7">
        <v>0.2</v>
      </c>
      <c r="D40" s="7">
        <v>0.2</v>
      </c>
      <c r="E40" s="7">
        <v>0.2</v>
      </c>
      <c r="F40" s="7">
        <v>0.2</v>
      </c>
      <c r="G40" t="s">
        <v>360</v>
      </c>
      <c r="H40"/>
    </row>
    <row r="41" spans="1:8" s="8" customFormat="1">
      <c r="B41" s="41" t="str">
        <f>MLIST!D42</f>
        <v>35-44W LED fixture &amp; NEW Photocell_Replacing_200W HID fixture</v>
      </c>
      <c r="C41" s="7">
        <v>0.2</v>
      </c>
      <c r="D41" s="7">
        <v>0.2</v>
      </c>
      <c r="E41" s="7">
        <v>0.2</v>
      </c>
      <c r="F41" s="7">
        <v>0.2</v>
      </c>
      <c r="G41" t="s">
        <v>360</v>
      </c>
      <c r="H41"/>
    </row>
    <row r="42" spans="1:8" s="8" customFormat="1">
      <c r="B42" s="41">
        <f>MLIST!D43</f>
        <v>0</v>
      </c>
      <c r="C42" s="7"/>
      <c r="D42" s="7"/>
      <c r="E42" s="7"/>
      <c r="F42" s="7"/>
      <c r="G42"/>
      <c r="H42"/>
    </row>
    <row r="43" spans="1:8" s="8" customFormat="1">
      <c r="B43" s="41">
        <f>MLIST!D44</f>
        <v>0</v>
      </c>
      <c r="C43" s="7"/>
      <c r="D43" s="7"/>
      <c r="E43" s="7"/>
      <c r="F43" s="7"/>
      <c r="G43"/>
      <c r="H43"/>
    </row>
    <row r="44" spans="1:8" s="8" customFormat="1">
      <c r="B44" s="41"/>
      <c r="C44" s="7"/>
      <c r="D44" s="7"/>
      <c r="E44" s="7"/>
      <c r="F44" s="7"/>
      <c r="G44"/>
      <c r="H44"/>
    </row>
    <row r="45" spans="1:8" s="8" customFormat="1">
      <c r="B45" s="41"/>
      <c r="C45" s="7"/>
      <c r="D45" s="7"/>
      <c r="E45" s="7"/>
      <c r="F45" s="7"/>
      <c r="G45"/>
      <c r="H45"/>
    </row>
    <row r="46" spans="1:8" s="8" customFormat="1">
      <c r="B46" s="41"/>
      <c r="C46" s="7"/>
      <c r="D46" s="7"/>
      <c r="E46" s="7"/>
      <c r="F46" s="7"/>
      <c r="G46"/>
      <c r="H46"/>
    </row>
    <row r="47" spans="1:8" s="8" customFormat="1">
      <c r="B47" s="41"/>
      <c r="C47" s="7"/>
      <c r="D47" s="7"/>
      <c r="E47" s="7"/>
      <c r="F47" s="7"/>
      <c r="G47"/>
      <c r="H47"/>
    </row>
    <row r="48" spans="1:8" s="8" customFormat="1">
      <c r="B48" s="41"/>
      <c r="C48" s="7"/>
      <c r="D48" s="7"/>
      <c r="E48" s="7"/>
      <c r="F48" s="7"/>
      <c r="G48"/>
      <c r="H48"/>
    </row>
    <row r="49" spans="2:8" s="8" customFormat="1">
      <c r="B49" s="41"/>
      <c r="C49" s="7"/>
      <c r="D49" s="7"/>
      <c r="E49" s="7"/>
      <c r="F49" s="7"/>
      <c r="G49"/>
      <c r="H49"/>
    </row>
    <row r="50" spans="2:8" s="8" customFormat="1">
      <c r="B50" s="41"/>
      <c r="C50" s="7"/>
      <c r="D50" s="7"/>
      <c r="E50" s="7"/>
      <c r="F50" s="7"/>
      <c r="G50"/>
      <c r="H50"/>
    </row>
    <row r="51" spans="2:8">
      <c r="B51" s="41"/>
      <c r="C51" s="7"/>
      <c r="D51" s="7"/>
      <c r="E51" s="7"/>
      <c r="F51" s="7"/>
    </row>
    <row r="52" spans="2:8">
      <c r="B52" s="41"/>
      <c r="C52" s="7"/>
      <c r="D52" s="7"/>
      <c r="E52" s="7"/>
      <c r="F52" s="7"/>
    </row>
    <row r="53" spans="2:8">
      <c r="B53" s="41"/>
      <c r="C53" s="7"/>
      <c r="D53" s="7"/>
      <c r="E53" s="7"/>
      <c r="F53" s="7"/>
    </row>
    <row r="54" spans="2:8">
      <c r="B54" s="41"/>
      <c r="C54" s="7"/>
      <c r="D54" s="7"/>
      <c r="E54" s="7"/>
      <c r="F54" s="7"/>
    </row>
    <row r="55" spans="2:8">
      <c r="B55" s="41"/>
      <c r="C55" s="7"/>
      <c r="D55" s="7"/>
      <c r="E55" s="7"/>
      <c r="F55" s="7"/>
    </row>
    <row r="56" spans="2:8">
      <c r="B56" s="41"/>
      <c r="C56" s="7"/>
      <c r="D56" s="7"/>
      <c r="E56" s="7"/>
      <c r="F56" s="7"/>
    </row>
    <row r="57" spans="2:8">
      <c r="B57" s="41"/>
      <c r="C57" s="7"/>
      <c r="D57" s="7"/>
      <c r="E57" s="7"/>
      <c r="F57" s="7"/>
    </row>
    <row r="58" spans="2:8">
      <c r="B58" s="41"/>
      <c r="C58" s="7"/>
      <c r="D58" s="7"/>
      <c r="E58" s="7"/>
      <c r="F58" s="7"/>
    </row>
    <row r="59" spans="2:8">
      <c r="B59" s="41"/>
    </row>
    <row r="60" spans="2:8">
      <c r="B60" s="41"/>
    </row>
    <row r="61" spans="2:8">
      <c r="B61" s="41">
        <f>MLIST!D45</f>
        <v>0</v>
      </c>
    </row>
    <row r="62" spans="2:8">
      <c r="B62" s="41">
        <f>MLIST!D46</f>
        <v>0</v>
      </c>
    </row>
    <row r="63" spans="2:8">
      <c r="B63" s="41">
        <f>MLIST!D47</f>
        <v>0</v>
      </c>
    </row>
    <row r="64" spans="2:8">
      <c r="B64" s="41">
        <f>MLIST!D48</f>
        <v>0</v>
      </c>
    </row>
    <row r="65" spans="2:6">
      <c r="B65" s="41">
        <f>MLIST!D49</f>
        <v>0</v>
      </c>
      <c r="C65" s="7"/>
      <c r="D65" s="7"/>
      <c r="E65" s="7"/>
      <c r="F65" s="7"/>
    </row>
    <row r="66" spans="2:6">
      <c r="B66" s="41">
        <f>MLIST!D50</f>
        <v>0</v>
      </c>
    </row>
    <row r="67" spans="2:6">
      <c r="B67" s="41">
        <f>MLIST!D51</f>
        <v>0</v>
      </c>
    </row>
    <row r="68" spans="2:6">
      <c r="B68" s="41">
        <f>MLIST!D52</f>
        <v>0</v>
      </c>
    </row>
    <row r="69" spans="2:6">
      <c r="B69" s="41">
        <f>MLIST!D53</f>
        <v>0</v>
      </c>
    </row>
    <row r="70" spans="2:6">
      <c r="B70" s="41">
        <f>MLIST!D54</f>
        <v>0</v>
      </c>
      <c r="C70" s="7"/>
      <c r="D70" s="7"/>
      <c r="E70" s="7"/>
      <c r="F70" s="7"/>
    </row>
    <row r="71" spans="2:6">
      <c r="B71" s="41">
        <f>MLIST!D55</f>
        <v>0</v>
      </c>
      <c r="C71" s="7"/>
      <c r="D71" s="7"/>
      <c r="E71" s="7"/>
      <c r="F71" s="7"/>
    </row>
    <row r="72" spans="2:6">
      <c r="B72" s="41">
        <f>MLIST!D56</f>
        <v>0</v>
      </c>
      <c r="C72" s="7"/>
      <c r="D72" s="7"/>
      <c r="E72" s="7"/>
      <c r="F72" s="7"/>
    </row>
    <row r="73" spans="2:6">
      <c r="B73" s="41">
        <f>MLIST!D57</f>
        <v>0</v>
      </c>
      <c r="C73" s="7"/>
      <c r="D73" s="7"/>
      <c r="E73" s="7"/>
      <c r="F73" s="7"/>
    </row>
    <row r="74" spans="2:6">
      <c r="B74" s="41">
        <f>MLIST!D58</f>
        <v>0</v>
      </c>
      <c r="C74" s="7"/>
      <c r="D74" s="7"/>
      <c r="E74" s="7"/>
      <c r="F74" s="7"/>
    </row>
    <row r="75" spans="2:6">
      <c r="B75" s="41">
        <f>MLIST!D59</f>
        <v>0</v>
      </c>
      <c r="C75" s="7"/>
      <c r="D75" s="7"/>
      <c r="E75" s="7"/>
      <c r="F75" s="7"/>
    </row>
    <row r="76" spans="2:6">
      <c r="B76" s="41">
        <f>MLIST!D60</f>
        <v>0</v>
      </c>
      <c r="C76" s="7"/>
      <c r="D76" s="7"/>
      <c r="E76" s="7"/>
      <c r="F76" s="7"/>
    </row>
    <row r="77" spans="2:6">
      <c r="B77" s="41">
        <f>MLIST!D61</f>
        <v>0</v>
      </c>
      <c r="C77" s="7"/>
      <c r="D77" s="7"/>
      <c r="E77" s="7"/>
      <c r="F77" s="7"/>
    </row>
    <row r="78" spans="2:6">
      <c r="B78" s="41">
        <f>MLIST!D62</f>
        <v>0</v>
      </c>
      <c r="C78" s="7"/>
      <c r="D78" s="7"/>
      <c r="E78" s="7"/>
      <c r="F78" s="7"/>
    </row>
    <row r="79" spans="2:6">
      <c r="B79" s="41">
        <f>MLIST!D63</f>
        <v>0</v>
      </c>
      <c r="C79" s="7"/>
      <c r="D79" s="7"/>
      <c r="E79" s="7"/>
      <c r="F79" s="7"/>
    </row>
    <row r="80" spans="2:6">
      <c r="B80" s="41">
        <f>MLIST!D64</f>
        <v>0</v>
      </c>
      <c r="C80" s="7"/>
      <c r="D80" s="7"/>
      <c r="E80" s="7"/>
      <c r="F80" s="7"/>
    </row>
    <row r="81" spans="2:6">
      <c r="B81" s="41">
        <f>MLIST!D65</f>
        <v>0</v>
      </c>
      <c r="C81" s="7"/>
      <c r="D81" s="7"/>
      <c r="E81" s="7"/>
      <c r="F81" s="7"/>
    </row>
    <row r="82" spans="2:6">
      <c r="B82" s="41">
        <f>MLIST!D66</f>
        <v>0</v>
      </c>
      <c r="C82" s="7"/>
      <c r="D82" s="7"/>
      <c r="E82" s="7"/>
      <c r="F82" s="7"/>
    </row>
    <row r="83" spans="2:6">
      <c r="B83" s="41">
        <f>MLIST!D67</f>
        <v>0</v>
      </c>
      <c r="C83" s="7"/>
      <c r="D83" s="7"/>
      <c r="E83" s="7"/>
      <c r="F83" s="7"/>
    </row>
    <row r="84" spans="2:6">
      <c r="B84" s="41">
        <f>MLIST!D68</f>
        <v>0</v>
      </c>
      <c r="C84" s="7"/>
      <c r="D84" s="7"/>
      <c r="E84" s="7"/>
      <c r="F84" s="7"/>
    </row>
    <row r="85" spans="2:6">
      <c r="B85" s="41">
        <f>MLIST!D69</f>
        <v>0</v>
      </c>
      <c r="C85" s="7"/>
      <c r="D85" s="7"/>
      <c r="E85" s="7"/>
      <c r="F85" s="7"/>
    </row>
    <row r="86" spans="2:6">
      <c r="B86" s="41">
        <f>MLIST!D70</f>
        <v>0</v>
      </c>
      <c r="C86" s="7"/>
      <c r="D86" s="7"/>
      <c r="E86" s="7"/>
      <c r="F86" s="7"/>
    </row>
    <row r="87" spans="2:6">
      <c r="B87" s="41">
        <f>MLIST!D71</f>
        <v>0</v>
      </c>
      <c r="C87" s="7"/>
      <c r="D87" s="7"/>
      <c r="E87" s="7"/>
      <c r="F87" s="7"/>
    </row>
    <row r="88" spans="2:6">
      <c r="B88" s="41">
        <f>MLIST!D72</f>
        <v>0</v>
      </c>
      <c r="C88" s="7"/>
      <c r="D88" s="7"/>
      <c r="E88" s="7"/>
      <c r="F88" s="7"/>
    </row>
    <row r="89" spans="2:6">
      <c r="B89" s="41">
        <f>MLIST!D73</f>
        <v>0</v>
      </c>
      <c r="C89" s="7"/>
      <c r="D89" s="7"/>
      <c r="E89" s="7"/>
      <c r="F89" s="7"/>
    </row>
    <row r="90" spans="2:6">
      <c r="B90" s="41">
        <f>MLIST!D74</f>
        <v>0</v>
      </c>
      <c r="C90" s="7"/>
      <c r="D90" s="7"/>
      <c r="E90" s="7"/>
      <c r="F90" s="7"/>
    </row>
    <row r="91" spans="2:6">
      <c r="B91" s="41"/>
    </row>
    <row r="92" spans="2:6">
      <c r="B92" s="41"/>
    </row>
    <row r="93" spans="2:6">
      <c r="B93" s="41"/>
    </row>
    <row r="94" spans="2:6">
      <c r="B94" s="41"/>
    </row>
    <row r="95" spans="2:6">
      <c r="B95" s="41"/>
    </row>
    <row r="96" spans="2:6">
      <c r="B96" s="41"/>
    </row>
    <row r="97" spans="2:6">
      <c r="B97" s="41"/>
    </row>
    <row r="98" spans="2:6">
      <c r="B98" s="41"/>
    </row>
    <row r="99" spans="2:6">
      <c r="B99" s="41"/>
    </row>
    <row r="100" spans="2:6">
      <c r="B100" s="41"/>
    </row>
    <row r="101" spans="2:6">
      <c r="B101" s="41"/>
    </row>
    <row r="102" spans="2:6">
      <c r="B102" s="41"/>
    </row>
    <row r="103" spans="2:6">
      <c r="B103" s="41"/>
    </row>
    <row r="104" spans="2:6">
      <c r="B104" s="41"/>
    </row>
    <row r="105" spans="2:6">
      <c r="B105" s="41"/>
    </row>
    <row r="106" spans="2:6">
      <c r="B106" s="41"/>
    </row>
    <row r="107" spans="2:6">
      <c r="B107" s="41"/>
    </row>
    <row r="108" spans="2:6">
      <c r="B108" s="41"/>
    </row>
    <row r="109" spans="2:6">
      <c r="B109" s="41"/>
    </row>
    <row r="110" spans="2:6">
      <c r="B110" s="41"/>
    </row>
    <row r="111" spans="2:6">
      <c r="B111" s="41"/>
      <c r="C111" s="1"/>
      <c r="D111" s="1"/>
      <c r="E111" s="1"/>
      <c r="F111" s="1"/>
    </row>
    <row r="112" spans="2:6">
      <c r="B112" s="41"/>
      <c r="C112" s="1"/>
      <c r="D112" s="1"/>
      <c r="E112" s="1"/>
      <c r="F112" s="1"/>
    </row>
    <row r="113" spans="2:6">
      <c r="B113" s="41"/>
      <c r="C113" s="1"/>
      <c r="D113" s="1"/>
      <c r="E113" s="1"/>
      <c r="F113" s="1"/>
    </row>
    <row r="114" spans="2:6">
      <c r="B114" s="41"/>
      <c r="C114" s="1"/>
      <c r="D114" s="1"/>
      <c r="E114" s="1"/>
      <c r="F114" s="1"/>
    </row>
    <row r="115" spans="2:6">
      <c r="B115" s="41"/>
      <c r="C115" s="1"/>
      <c r="D115" s="1"/>
      <c r="E115" s="1"/>
      <c r="F115" s="1"/>
    </row>
    <row r="116" spans="2:6">
      <c r="B116" s="41"/>
      <c r="C116" s="1"/>
      <c r="D116" s="1"/>
      <c r="E116" s="1"/>
      <c r="F116" s="1"/>
    </row>
    <row r="117" spans="2:6">
      <c r="B117" s="41"/>
      <c r="C117" s="1"/>
      <c r="D117" s="1"/>
      <c r="E117" s="1"/>
      <c r="F117" s="1"/>
    </row>
    <row r="118" spans="2:6">
      <c r="B118" s="41"/>
      <c r="C118" s="1"/>
      <c r="D118" s="1"/>
      <c r="E118" s="1"/>
      <c r="F118" s="1"/>
    </row>
    <row r="119" spans="2:6">
      <c r="B119" s="41"/>
      <c r="C119" s="1"/>
      <c r="D119" s="1"/>
      <c r="E119" s="1"/>
      <c r="F119" s="1"/>
    </row>
    <row r="120" spans="2:6">
      <c r="B120" s="41"/>
      <c r="C120" s="1"/>
      <c r="D120" s="1"/>
      <c r="E120" s="1"/>
      <c r="F120" s="1"/>
    </row>
    <row r="121" spans="2:6">
      <c r="B121" s="41"/>
      <c r="C121" s="1"/>
      <c r="D121" s="1"/>
      <c r="E121" s="1"/>
      <c r="F121" s="1"/>
    </row>
    <row r="122" spans="2:6">
      <c r="B122" s="41"/>
      <c r="C122" s="1"/>
      <c r="D122" s="1"/>
      <c r="E122" s="1"/>
      <c r="F122" s="1"/>
    </row>
    <row r="123" spans="2:6">
      <c r="B123" s="41"/>
      <c r="C123" s="1"/>
      <c r="D123" s="1"/>
      <c r="E123" s="1"/>
      <c r="F123" s="1"/>
    </row>
    <row r="124" spans="2:6">
      <c r="B124" s="41"/>
      <c r="C124" s="1"/>
      <c r="D124" s="1"/>
      <c r="E124" s="1"/>
      <c r="F124" s="1"/>
    </row>
    <row r="125" spans="2:6">
      <c r="B125" s="41"/>
      <c r="C125" s="1"/>
      <c r="D125" s="1"/>
      <c r="E125" s="1"/>
      <c r="F125" s="1"/>
    </row>
    <row r="126" spans="2:6">
      <c r="B126" s="41"/>
      <c r="C126" s="1"/>
      <c r="D126" s="1"/>
      <c r="E126" s="1"/>
      <c r="F126" s="1"/>
    </row>
    <row r="127" spans="2:6">
      <c r="B127" s="41"/>
      <c r="C127" s="1"/>
      <c r="D127" s="1"/>
      <c r="E127" s="1"/>
      <c r="F127" s="1"/>
    </row>
    <row r="128" spans="2:6">
      <c r="B128" s="41"/>
      <c r="C128" s="1"/>
      <c r="D128" s="1"/>
      <c r="E128" s="1"/>
      <c r="F128" s="1"/>
    </row>
    <row r="129" spans="2:6">
      <c r="B129" s="41"/>
      <c r="C129" s="1"/>
      <c r="D129" s="1"/>
      <c r="E129" s="1"/>
      <c r="F129" s="1"/>
    </row>
    <row r="130" spans="2:6">
      <c r="B130" s="41"/>
      <c r="C130" s="1"/>
      <c r="D130" s="1"/>
      <c r="E130" s="1"/>
      <c r="F130" s="1"/>
    </row>
    <row r="131" spans="2:6">
      <c r="B131" s="41"/>
      <c r="C131" s="1"/>
      <c r="D131" s="1"/>
      <c r="E131" s="1"/>
      <c r="F131" s="1"/>
    </row>
    <row r="132" spans="2:6">
      <c r="B132" s="41"/>
      <c r="C132" s="1"/>
      <c r="D132" s="1"/>
      <c r="E132" s="1"/>
      <c r="F132" s="1"/>
    </row>
    <row r="133" spans="2:6">
      <c r="B133" s="41"/>
      <c r="C133" s="1"/>
      <c r="D133" s="1"/>
      <c r="E133" s="1"/>
      <c r="F133" s="1"/>
    </row>
    <row r="134" spans="2:6">
      <c r="B134" s="41"/>
      <c r="C134" s="1"/>
      <c r="D134" s="1"/>
      <c r="E134" s="1"/>
      <c r="F134" s="1"/>
    </row>
    <row r="135" spans="2:6">
      <c r="B135" s="41"/>
      <c r="C135" s="1"/>
      <c r="D135" s="1"/>
      <c r="E135" s="1"/>
      <c r="F135" s="1"/>
    </row>
    <row r="136" spans="2:6">
      <c r="B136" s="41"/>
      <c r="C136" s="1"/>
      <c r="D136" s="1"/>
      <c r="E136" s="1"/>
      <c r="F136" s="1"/>
    </row>
    <row r="137" spans="2:6">
      <c r="B137" s="41"/>
      <c r="C137" s="1"/>
      <c r="D137" s="1"/>
      <c r="E137" s="1"/>
      <c r="F137" s="1"/>
    </row>
    <row r="138" spans="2:6">
      <c r="B138" s="41"/>
      <c r="C138" s="1"/>
      <c r="D138" s="1"/>
      <c r="E138" s="1"/>
      <c r="F138" s="1"/>
    </row>
    <row r="139" spans="2:6">
      <c r="B139" s="41"/>
      <c r="C139" s="1"/>
      <c r="D139" s="1"/>
      <c r="E139" s="1"/>
      <c r="F139" s="1"/>
    </row>
    <row r="140" spans="2:6">
      <c r="B140" s="41"/>
      <c r="C140" s="1"/>
      <c r="D140" s="1"/>
      <c r="E140" s="1"/>
      <c r="F140" s="1"/>
    </row>
    <row r="141" spans="2:6">
      <c r="B141" s="41"/>
      <c r="C141" s="1"/>
      <c r="D141" s="1"/>
      <c r="E141" s="1"/>
      <c r="F141" s="1"/>
    </row>
    <row r="142" spans="2:6">
      <c r="B142" s="41"/>
      <c r="C142" s="1"/>
      <c r="D142" s="1"/>
      <c r="E142" s="1"/>
      <c r="F142" s="1"/>
    </row>
    <row r="143" spans="2:6">
      <c r="B143" s="41"/>
      <c r="C143" s="1"/>
      <c r="D143" s="1"/>
      <c r="E143" s="1"/>
      <c r="F143" s="1"/>
    </row>
    <row r="144" spans="2:6">
      <c r="B144" s="41"/>
      <c r="C144" s="1"/>
      <c r="D144" s="1"/>
      <c r="E144" s="1"/>
      <c r="F144" s="1"/>
    </row>
    <row r="145" spans="2:6">
      <c r="B145" s="41"/>
      <c r="C145" s="1"/>
      <c r="D145" s="1"/>
      <c r="E145" s="1"/>
      <c r="F145" s="1"/>
    </row>
    <row r="146" spans="2:6">
      <c r="B146" s="41"/>
      <c r="C146" s="1"/>
      <c r="D146" s="1"/>
      <c r="E146" s="1"/>
      <c r="F146" s="1"/>
    </row>
    <row r="147" spans="2:6">
      <c r="B147" s="41"/>
      <c r="C147" s="1"/>
      <c r="D147" s="1"/>
      <c r="E147" s="1"/>
      <c r="F147" s="1"/>
    </row>
    <row r="148" spans="2:6">
      <c r="B148" s="41"/>
      <c r="C148" s="1"/>
      <c r="D148" s="1"/>
      <c r="E148" s="1"/>
      <c r="F148" s="1"/>
    </row>
    <row r="149" spans="2:6">
      <c r="B149" s="41"/>
      <c r="C149" s="1"/>
      <c r="D149" s="1"/>
      <c r="E149" s="1"/>
      <c r="F149" s="1"/>
    </row>
    <row r="150" spans="2:6">
      <c r="B150" s="41"/>
      <c r="C150" s="1"/>
      <c r="D150" s="1"/>
      <c r="E150" s="1"/>
      <c r="F150" s="1"/>
    </row>
    <row r="151" spans="2:6">
      <c r="C151" s="1"/>
      <c r="D151" s="1"/>
      <c r="E151" s="1"/>
      <c r="F151" s="1"/>
    </row>
    <row r="152" spans="2:6">
      <c r="C152" s="1"/>
      <c r="D152" s="1"/>
      <c r="E152" s="1"/>
      <c r="F152" s="1"/>
    </row>
    <row r="153" spans="2:6">
      <c r="C153" s="1"/>
      <c r="D153" s="1"/>
      <c r="E153" s="1"/>
      <c r="F153" s="1"/>
    </row>
    <row r="154" spans="2:6">
      <c r="C154" s="1"/>
      <c r="D154" s="1"/>
      <c r="E154" s="1"/>
      <c r="F154" s="1"/>
    </row>
  </sheetData>
  <phoneticPr fontId="0" type="noConversion"/>
  <printOptions headings="1" gridLines="1"/>
  <pageMargins left="0.63" right="0.62" top="1" bottom="1" header="0.5" footer="0.5"/>
  <pageSetup scale="61" orientation="landscape" r:id="rId1"/>
  <headerFooter alignWithMargins="0">
    <oddFooter>&amp;L&amp;D &amp;T&amp;C&amp;P of &amp;N&amp;R&amp;F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 enableFormatConditionsCalculation="0">
    <tabColor rgb="FFFF0000"/>
  </sheetPr>
  <dimension ref="A1:H90"/>
  <sheetViews>
    <sheetView topLeftCell="B1" workbookViewId="0">
      <pane xSplit="1" ySplit="8" topLeftCell="C9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H21" sqref="H21"/>
    </sheetView>
  </sheetViews>
  <sheetFormatPr defaultRowHeight="12.75"/>
  <cols>
    <col min="1" max="1" width="9.28515625" customWidth="1"/>
    <col min="2" max="2" width="88.5703125" customWidth="1"/>
    <col min="3" max="6" width="10.28515625" customWidth="1"/>
    <col min="7" max="7" width="23.28515625" customWidth="1"/>
    <col min="8" max="8" width="28" customWidth="1"/>
  </cols>
  <sheetData>
    <row r="1" spans="1:8">
      <c r="A1" t="s">
        <v>38</v>
      </c>
      <c r="B1" s="25" t="s">
        <v>65</v>
      </c>
    </row>
    <row r="3" spans="1:8">
      <c r="C3" s="8"/>
    </row>
    <row r="8" spans="1:8">
      <c r="A8" s="2" t="s">
        <v>14</v>
      </c>
      <c r="B8" s="2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 t="s">
        <v>11</v>
      </c>
      <c r="H8" s="4" t="s">
        <v>21</v>
      </c>
    </row>
    <row r="9" spans="1:8">
      <c r="B9" t="str">
        <f>MLIST!D10</f>
        <v xml:space="preserve">Wheel/hand line systems: Replace worn nozzle with new flow controlling type nozzle for impact sprinklers </v>
      </c>
      <c r="C9" s="31">
        <v>0.7</v>
      </c>
      <c r="D9" s="31">
        <v>0.7</v>
      </c>
      <c r="E9" s="31">
        <v>0.7</v>
      </c>
      <c r="F9" s="31">
        <v>0.7</v>
      </c>
      <c r="G9" t="s">
        <v>340</v>
      </c>
    </row>
    <row r="10" spans="1:8">
      <c r="B10" t="str">
        <f>MLIST!D11</f>
        <v xml:space="preserve">Wheel/hand line systems: Replace worn nozzle with new nozzle </v>
      </c>
      <c r="C10" s="31">
        <v>0.7</v>
      </c>
      <c r="D10" s="31">
        <v>0.7</v>
      </c>
      <c r="E10" s="31">
        <v>0.7</v>
      </c>
      <c r="F10" s="31">
        <v>0.7</v>
      </c>
      <c r="G10" t="s">
        <v>340</v>
      </c>
    </row>
    <row r="11" spans="1:8">
      <c r="B11" t="str">
        <f>MLIST!D12</f>
        <v xml:space="preserve">Wheel/hand line systems: Rebuild or replace leaking impact sprinkler with new or rebuilt impact sprinkler </v>
      </c>
      <c r="C11" s="31">
        <v>0.7</v>
      </c>
      <c r="D11" s="31">
        <v>0.7</v>
      </c>
      <c r="E11" s="31">
        <v>0.7</v>
      </c>
      <c r="F11" s="31">
        <v>0.7</v>
      </c>
      <c r="G11" t="s">
        <v>340</v>
      </c>
    </row>
    <row r="12" spans="1:8">
      <c r="B12" t="str">
        <f>MLIST!D13</f>
        <v xml:space="preserve">Wheel/hand line systems: Replace leaking gasket with new gasket </v>
      </c>
      <c r="C12" s="31">
        <v>0.7</v>
      </c>
      <c r="D12" s="31">
        <v>0.7</v>
      </c>
      <c r="E12" s="31">
        <v>0.7</v>
      </c>
      <c r="F12" s="31">
        <v>0.7</v>
      </c>
      <c r="G12" t="s">
        <v>340</v>
      </c>
    </row>
    <row r="13" spans="1:8">
      <c r="B13" t="str">
        <f>MLIST!D14</f>
        <v xml:space="preserve">Wheel/hand line systems: Replace leaking drain with new drain </v>
      </c>
      <c r="C13" s="31">
        <v>0.7</v>
      </c>
      <c r="D13" s="31">
        <v>0.7</v>
      </c>
      <c r="E13" s="31">
        <v>0.7</v>
      </c>
      <c r="F13" s="31">
        <v>0.7</v>
      </c>
      <c r="G13" t="s">
        <v>340</v>
      </c>
    </row>
    <row r="14" spans="1:8">
      <c r="B14" t="str">
        <f>MLIST!D15</f>
        <v xml:space="preserve">Wheel/hand line systems: Cut and pipe press repair of leaking hand-lines, wheel-lines, and portable main-lines </v>
      </c>
      <c r="C14" s="31">
        <v>0.7</v>
      </c>
      <c r="D14" s="31">
        <v>0.7</v>
      </c>
      <c r="E14" s="31">
        <v>0.7</v>
      </c>
      <c r="F14" s="31">
        <v>0.7</v>
      </c>
      <c r="G14" t="s">
        <v>340</v>
      </c>
    </row>
    <row r="15" spans="1:8">
      <c r="B15" t="str">
        <f>MLIST!D16</f>
        <v xml:space="preserve">Thunderbird wheel line systems: Replace leaking hub with new hub </v>
      </c>
      <c r="C15" s="31">
        <v>0.7</v>
      </c>
      <c r="D15" s="31">
        <v>0.7</v>
      </c>
      <c r="E15" s="31">
        <v>0.7</v>
      </c>
      <c r="F15" s="31">
        <v>0.7</v>
      </c>
      <c r="G15" t="s">
        <v>340</v>
      </c>
    </row>
    <row r="16" spans="1:8">
      <c r="B16" t="str">
        <f>MLIST!D17</f>
        <v xml:space="preserve">Wheel line systems: Rebuild or replace leaking or malfunctioning leveler with new or rebuilt leveler. </v>
      </c>
      <c r="C16" s="31">
        <v>0.7</v>
      </c>
      <c r="D16" s="31">
        <v>0.7</v>
      </c>
      <c r="E16" s="31">
        <v>0.7</v>
      </c>
      <c r="F16" s="31">
        <v>0.7</v>
      </c>
      <c r="G16" t="s">
        <v>340</v>
      </c>
    </row>
    <row r="17" spans="1:7">
      <c r="B17" t="str">
        <f>MLIST!D18</f>
        <v xml:space="preserve">Center pivot/linear move systems: Install new sprinkler package on an existing system. </v>
      </c>
      <c r="C17" s="31">
        <v>0.7</v>
      </c>
      <c r="D17" s="31">
        <v>0.7</v>
      </c>
      <c r="E17" s="31">
        <v>0.7</v>
      </c>
      <c r="F17" s="31">
        <v>0.7</v>
      </c>
      <c r="G17" t="s">
        <v>340</v>
      </c>
    </row>
    <row r="18" spans="1:7">
      <c r="B18" t="str">
        <f>MLIST!D19</f>
        <v xml:space="preserve">Center pivot/linear move systems: New gooseneck elbows </v>
      </c>
      <c r="C18" s="31">
        <v>0.7</v>
      </c>
      <c r="D18" s="31">
        <v>0.7</v>
      </c>
      <c r="E18" s="31">
        <v>0.7</v>
      </c>
      <c r="F18" s="31">
        <v>0.7</v>
      </c>
      <c r="G18" t="s">
        <v>340</v>
      </c>
    </row>
    <row r="19" spans="1:7">
      <c r="B19" t="str">
        <f>MLIST!D20</f>
        <v xml:space="preserve">Center pivot/linear move systems: New drop tubes (3 feet minimum) </v>
      </c>
      <c r="C19" s="31">
        <v>0.7</v>
      </c>
      <c r="D19" s="31">
        <v>0.7</v>
      </c>
      <c r="E19" s="31">
        <v>0.7</v>
      </c>
      <c r="F19" s="31">
        <v>0.7</v>
      </c>
      <c r="G19" t="s">
        <v>340</v>
      </c>
    </row>
    <row r="20" spans="1:7">
      <c r="B20" t="str">
        <f>MLIST!D21</f>
        <v xml:space="preserve">Center pivot/linear move systems: Replace leaking pivot boot gasket with new pivot boot gasket </v>
      </c>
      <c r="C20" s="31">
        <v>0.7</v>
      </c>
      <c r="D20" s="31">
        <v>0.7</v>
      </c>
      <c r="E20" s="31">
        <v>0.7</v>
      </c>
      <c r="F20" s="31">
        <v>0.7</v>
      </c>
      <c r="G20" t="s">
        <v>340</v>
      </c>
    </row>
    <row r="21" spans="1:7">
      <c r="B21" t="str">
        <f>MLIST!D22</f>
        <v xml:space="preserve">Center pivot/linear move systems: Replace leaking tower gasket with new tower gasket </v>
      </c>
      <c r="C21" s="31">
        <v>0.7</v>
      </c>
      <c r="D21" s="31">
        <v>0.7</v>
      </c>
      <c r="E21" s="31">
        <v>0.7</v>
      </c>
      <c r="F21" s="31">
        <v>0.7</v>
      </c>
      <c r="G21" t="s">
        <v>340</v>
      </c>
    </row>
    <row r="22" spans="1:7" s="8" customFormat="1">
      <c r="A22"/>
      <c r="B22" t="str">
        <f>MLIST!D23</f>
        <v>Convert Medium Pressure Center Pivot to Low pressure system</v>
      </c>
      <c r="C22" s="31">
        <v>0.7</v>
      </c>
      <c r="D22" s="31">
        <v>0.7</v>
      </c>
      <c r="E22" s="31">
        <v>0.7</v>
      </c>
      <c r="F22" s="31">
        <v>0.7</v>
      </c>
      <c r="G22" t="s">
        <v>340</v>
      </c>
    </row>
    <row r="23" spans="1:7" s="8" customFormat="1">
      <c r="A23"/>
      <c r="B23" t="str">
        <f>MLIST!D24</f>
        <v>Convert High Pressure Center Pivot to Low pressure system</v>
      </c>
      <c r="C23" s="31">
        <v>0.7</v>
      </c>
      <c r="D23" s="31">
        <v>0.7</v>
      </c>
      <c r="E23" s="31">
        <v>0.7</v>
      </c>
      <c r="F23" s="31">
        <v>0.7</v>
      </c>
      <c r="G23" t="s">
        <v>340</v>
      </c>
    </row>
    <row r="24" spans="1:7">
      <c r="B24" t="str">
        <f>MLIST!D25</f>
        <v>Convert wheel line systems to low pressure systems on alfalfa acreage</v>
      </c>
      <c r="C24" s="31">
        <v>0.7</v>
      </c>
      <c r="D24" s="31">
        <v>0.7</v>
      </c>
      <c r="E24" s="31">
        <v>0.7</v>
      </c>
      <c r="F24" s="31">
        <v>0.7</v>
      </c>
      <c r="G24" t="s">
        <v>340</v>
      </c>
    </row>
    <row r="25" spans="1:7">
      <c r="B25" t="str">
        <f>MLIST!D26</f>
        <v>Convert hand line systems to low pressure systems on alfalfa acreage</v>
      </c>
      <c r="C25" s="31">
        <v>0.7</v>
      </c>
      <c r="D25" s="31">
        <v>0.7</v>
      </c>
      <c r="E25" s="31">
        <v>0.7</v>
      </c>
      <c r="F25" s="31">
        <v>0.7</v>
      </c>
      <c r="G25" t="s">
        <v>340</v>
      </c>
    </row>
    <row r="26" spans="1:7">
      <c r="B26" t="str">
        <f>MLIST!D27</f>
        <v>SIS</v>
      </c>
      <c r="C26" s="31">
        <v>0.15</v>
      </c>
      <c r="D26" s="31">
        <v>0.15</v>
      </c>
      <c r="E26" s="31">
        <v>0.15</v>
      </c>
      <c r="F26" s="31">
        <v>0.15</v>
      </c>
      <c r="G26" t="s">
        <v>340</v>
      </c>
    </row>
    <row r="27" spans="1:7">
      <c r="B27" t="str">
        <f>MLIST!D28</f>
        <v>LESA</v>
      </c>
      <c r="C27" s="31">
        <v>0.01</v>
      </c>
      <c r="D27" s="31">
        <v>0.01</v>
      </c>
      <c r="E27" s="31">
        <v>0.01</v>
      </c>
      <c r="F27" s="31">
        <v>0.01</v>
      </c>
    </row>
    <row r="28" spans="1:7">
      <c r="B28" t="str">
        <f>MLIST!D29</f>
        <v>Motor Rewind</v>
      </c>
      <c r="C28" s="187">
        <v>0.26</v>
      </c>
      <c r="D28" s="187">
        <v>0.26</v>
      </c>
      <c r="E28" s="187">
        <v>0.26</v>
      </c>
      <c r="F28" s="187">
        <v>0.26</v>
      </c>
      <c r="G28" t="s">
        <v>401</v>
      </c>
    </row>
    <row r="29" spans="1:7">
      <c r="B29" t="str">
        <f>MLIST!D30</f>
        <v>Install VSD on Irrigation Pump</v>
      </c>
      <c r="C29" s="187">
        <v>0.3</v>
      </c>
      <c r="D29" s="188">
        <v>0.3</v>
      </c>
      <c r="E29" s="188">
        <v>0.3</v>
      </c>
      <c r="F29" s="188">
        <v>0.3</v>
      </c>
    </row>
    <row r="30" spans="1:7">
      <c r="B30" t="str">
        <f>MLIST!D31</f>
        <v>VSD - Vacuum Pump - FreeStall</v>
      </c>
      <c r="C30" s="31">
        <v>0.95</v>
      </c>
      <c r="D30" s="31">
        <v>0.95</v>
      </c>
      <c r="E30" s="31">
        <v>0.95</v>
      </c>
      <c r="F30" s="31">
        <v>0.95</v>
      </c>
      <c r="G30" t="s">
        <v>362</v>
      </c>
    </row>
    <row r="31" spans="1:7">
      <c r="B31" t="str">
        <f>MLIST!D32</f>
        <v>Plate Milk Pre-cooler - FreeStall</v>
      </c>
      <c r="C31" s="31">
        <v>0.95</v>
      </c>
      <c r="D31" s="31">
        <v>0.95</v>
      </c>
      <c r="E31" s="31">
        <v>0.95</v>
      </c>
      <c r="F31" s="31">
        <v>0.95</v>
      </c>
      <c r="G31" t="s">
        <v>377</v>
      </c>
    </row>
    <row r="32" spans="1:7">
      <c r="B32" t="str">
        <f>MLIST!D33</f>
        <v>Energy Efficient Lighting - FreeStall</v>
      </c>
      <c r="C32" s="31">
        <f>'[8]EUI by Equipment Type'!$U$82+20%</f>
        <v>0.762144764962148</v>
      </c>
      <c r="D32" s="31">
        <f>'[8]EUI by Equipment Type'!$U$82+20%</f>
        <v>0.762144764962148</v>
      </c>
      <c r="E32" s="31">
        <f>'[8]EUI by Equipment Type'!$U$82+20%</f>
        <v>0.762144764962148</v>
      </c>
      <c r="F32" s="31">
        <f>'[8]EUI by Equipment Type'!$U$82+20%</f>
        <v>0.762144764962148</v>
      </c>
      <c r="G32" t="s">
        <v>364</v>
      </c>
    </row>
    <row r="33" spans="2:7">
      <c r="B33" t="str">
        <f>MLIST!D34</f>
        <v>VSD - Vacuum Pump - TieStall</v>
      </c>
      <c r="C33" s="31">
        <f>'[8]EUI by Equipment Type'!$R$83</f>
        <v>0.83113186267875672</v>
      </c>
      <c r="D33" s="31">
        <f>'[8]EUI by Equipment Type'!$R$83</f>
        <v>0.83113186267875672</v>
      </c>
      <c r="E33" s="31">
        <f>'[8]EUI by Equipment Type'!$R$83</f>
        <v>0.83113186267875672</v>
      </c>
      <c r="F33" s="31">
        <f>'[8]EUI by Equipment Type'!$R$83</f>
        <v>0.83113186267875672</v>
      </c>
      <c r="G33" t="s">
        <v>340</v>
      </c>
    </row>
    <row r="34" spans="2:7">
      <c r="B34" t="str">
        <f>MLIST!D35</f>
        <v>Heat Recovery Refrigeration - TieStall</v>
      </c>
      <c r="C34" s="31">
        <f>'[8]EUI by Equipment Type'!$S$83</f>
        <v>0.11423286867866647</v>
      </c>
      <c r="D34" s="31">
        <f>'[8]EUI by Equipment Type'!$S$83</f>
        <v>0.11423286867866647</v>
      </c>
      <c r="E34" s="31">
        <f>'[8]EUI by Equipment Type'!$S$83</f>
        <v>0.11423286867866647</v>
      </c>
      <c r="F34" s="31">
        <f>'[8]EUI by Equipment Type'!$S$83</f>
        <v>0.11423286867866647</v>
      </c>
      <c r="G34" t="s">
        <v>340</v>
      </c>
    </row>
    <row r="35" spans="2:7">
      <c r="B35" t="str">
        <f>MLIST!D36</f>
        <v>Plate Milk Pre-Cooler - TieStall</v>
      </c>
      <c r="C35" s="31">
        <f>'[8]EUI by Equipment Type'!$T$83</f>
        <v>0.43183110028420624</v>
      </c>
      <c r="D35" s="31">
        <f>'[8]EUI by Equipment Type'!$T$83</f>
        <v>0.43183110028420624</v>
      </c>
      <c r="E35" s="31">
        <f>'[8]EUI by Equipment Type'!$T$83</f>
        <v>0.43183110028420624</v>
      </c>
      <c r="F35" s="31">
        <f>'[8]EUI by Equipment Type'!$T$83</f>
        <v>0.43183110028420624</v>
      </c>
      <c r="G35" t="s">
        <v>340</v>
      </c>
    </row>
    <row r="36" spans="2:7">
      <c r="B36" t="str">
        <f>MLIST!D37</f>
        <v>Energy Efficient Lighting - TieStall</v>
      </c>
      <c r="C36" s="31">
        <f>'[8]EUI by Equipment Type'!$U$83+20%</f>
        <v>0.92433346866964405</v>
      </c>
      <c r="D36" s="31">
        <f>'[8]EUI by Equipment Type'!$U$83+20%</f>
        <v>0.92433346866964405</v>
      </c>
      <c r="E36" s="31">
        <f>'[8]EUI by Equipment Type'!$U$83+20%</f>
        <v>0.92433346866964405</v>
      </c>
      <c r="F36" s="31">
        <f>'[8]EUI by Equipment Type'!$U$83+20%</f>
        <v>0.92433346866964405</v>
      </c>
      <c r="G36" t="s">
        <v>364</v>
      </c>
    </row>
    <row r="37" spans="2:7">
      <c r="B37" t="str">
        <f>MLIST!D38</f>
        <v>35-44W LED fixture &amp; NEW Photocell_Replacing_175W MH fixture</v>
      </c>
      <c r="C37" s="31">
        <v>0.1</v>
      </c>
      <c r="D37" s="31">
        <v>0.1</v>
      </c>
      <c r="E37" s="31">
        <v>0.1</v>
      </c>
      <c r="F37" s="31">
        <v>0.1</v>
      </c>
      <c r="G37" t="s">
        <v>363</v>
      </c>
    </row>
    <row r="38" spans="2:7">
      <c r="B38" t="str">
        <f>MLIST!D39</f>
        <v>35-44W LED fixture &amp; NEW Photocell_Replacing_150W HID fixture</v>
      </c>
      <c r="C38" s="31">
        <v>0.1</v>
      </c>
      <c r="D38" s="31">
        <v>0.1</v>
      </c>
      <c r="E38" s="31">
        <v>0.1</v>
      </c>
      <c r="F38" s="31">
        <v>0.1</v>
      </c>
      <c r="G38" t="s">
        <v>363</v>
      </c>
    </row>
    <row r="39" spans="2:7">
      <c r="B39" t="str">
        <f>MLIST!D40</f>
        <v>35-44W LED fixture &amp; NEW Photocell_Replacing_100W HID fixture</v>
      </c>
      <c r="C39" s="31">
        <v>0.1</v>
      </c>
      <c r="D39" s="31">
        <v>0.1</v>
      </c>
      <c r="E39" s="31">
        <v>0.1</v>
      </c>
      <c r="F39" s="31">
        <v>0.1</v>
      </c>
      <c r="G39" t="s">
        <v>363</v>
      </c>
    </row>
    <row r="40" spans="2:7">
      <c r="B40" t="str">
        <f>MLIST!D41</f>
        <v>35-44W LED fixture &amp; NEW Photocell_Replacing_175W MV fixture</v>
      </c>
      <c r="C40" s="31">
        <v>0.1</v>
      </c>
      <c r="D40" s="31">
        <v>0.1</v>
      </c>
      <c r="E40" s="31">
        <v>0.1</v>
      </c>
      <c r="F40" s="31">
        <v>0.1</v>
      </c>
      <c r="G40" t="s">
        <v>363</v>
      </c>
    </row>
    <row r="41" spans="2:7">
      <c r="B41" t="str">
        <f>MLIST!D42</f>
        <v>35-44W LED fixture &amp; NEW Photocell_Replacing_200W HID fixture</v>
      </c>
      <c r="C41" s="31">
        <v>0.1</v>
      </c>
      <c r="D41" s="31">
        <v>0.1</v>
      </c>
      <c r="E41" s="31">
        <v>0.1</v>
      </c>
      <c r="F41" s="31">
        <v>0.1</v>
      </c>
      <c r="G41" t="s">
        <v>363</v>
      </c>
    </row>
    <row r="54" spans="2:6">
      <c r="C54" s="31"/>
      <c r="D54" s="31"/>
      <c r="E54" s="31"/>
      <c r="F54" s="31"/>
    </row>
    <row r="55" spans="2:6">
      <c r="C55" s="31"/>
      <c r="D55" s="31"/>
      <c r="E55" s="31"/>
      <c r="F55" s="31"/>
    </row>
    <row r="60" spans="2:6">
      <c r="B60">
        <f>MLIST!D44</f>
        <v>0</v>
      </c>
    </row>
    <row r="61" spans="2:6">
      <c r="B61">
        <f>MLIST!D45</f>
        <v>0</v>
      </c>
    </row>
    <row r="62" spans="2:6">
      <c r="B62">
        <f>MLIST!D46</f>
        <v>0</v>
      </c>
    </row>
    <row r="63" spans="2:6">
      <c r="B63">
        <f>MLIST!D47</f>
        <v>0</v>
      </c>
    </row>
    <row r="64" spans="2:6">
      <c r="B64">
        <f>MLIST!D48</f>
        <v>0</v>
      </c>
    </row>
    <row r="65" spans="2:6">
      <c r="B65">
        <f>MLIST!D49</f>
        <v>0</v>
      </c>
    </row>
    <row r="66" spans="2:6">
      <c r="B66">
        <f>MLIST!D50</f>
        <v>0</v>
      </c>
    </row>
    <row r="67" spans="2:6">
      <c r="B67">
        <f>MLIST!D51</f>
        <v>0</v>
      </c>
    </row>
    <row r="68" spans="2:6">
      <c r="B68">
        <f>MLIST!D52</f>
        <v>0</v>
      </c>
    </row>
    <row r="69" spans="2:6">
      <c r="B69">
        <f>MLIST!D53</f>
        <v>0</v>
      </c>
    </row>
    <row r="70" spans="2:6">
      <c r="B70">
        <f>MLIST!D54</f>
        <v>0</v>
      </c>
      <c r="C70" s="30"/>
      <c r="D70" s="30"/>
      <c r="E70" s="30"/>
      <c r="F70" s="30"/>
    </row>
    <row r="71" spans="2:6">
      <c r="B71">
        <f>MLIST!D55</f>
        <v>0</v>
      </c>
      <c r="C71" s="30"/>
      <c r="D71" s="30"/>
      <c r="E71" s="30"/>
      <c r="F71" s="30"/>
    </row>
    <row r="72" spans="2:6">
      <c r="B72">
        <f>MLIST!D56</f>
        <v>0</v>
      </c>
      <c r="C72" s="30"/>
      <c r="D72" s="30"/>
      <c r="E72" s="30"/>
      <c r="F72" s="30"/>
    </row>
    <row r="73" spans="2:6">
      <c r="B73">
        <f>MLIST!D57</f>
        <v>0</v>
      </c>
      <c r="C73" s="30"/>
      <c r="D73" s="30"/>
      <c r="E73" s="30"/>
      <c r="F73" s="30"/>
    </row>
    <row r="74" spans="2:6">
      <c r="B74">
        <f>MLIST!D58</f>
        <v>0</v>
      </c>
      <c r="C74" s="30"/>
      <c r="D74" s="30"/>
      <c r="E74" s="30"/>
      <c r="F74" s="30"/>
    </row>
    <row r="75" spans="2:6">
      <c r="B75">
        <f>MLIST!D59</f>
        <v>0</v>
      </c>
      <c r="C75" s="30"/>
      <c r="D75" s="30"/>
      <c r="E75" s="30"/>
      <c r="F75" s="30"/>
    </row>
    <row r="76" spans="2:6">
      <c r="B76">
        <f>MLIST!D60</f>
        <v>0</v>
      </c>
      <c r="C76" s="30"/>
      <c r="D76" s="30"/>
      <c r="E76" s="30"/>
      <c r="F76" s="30"/>
    </row>
    <row r="77" spans="2:6">
      <c r="B77">
        <f>MLIST!D61</f>
        <v>0</v>
      </c>
      <c r="C77" s="30"/>
      <c r="D77" s="30"/>
      <c r="E77" s="30"/>
      <c r="F77" s="30"/>
    </row>
    <row r="78" spans="2:6">
      <c r="B78">
        <f>MLIST!D62</f>
        <v>0</v>
      </c>
      <c r="C78" s="30"/>
      <c r="D78" s="30"/>
      <c r="E78" s="30"/>
      <c r="F78" s="30"/>
    </row>
    <row r="79" spans="2:6">
      <c r="B79">
        <f>MLIST!D63</f>
        <v>0</v>
      </c>
      <c r="C79" s="30"/>
      <c r="D79" s="30"/>
      <c r="E79" s="30"/>
      <c r="F79" s="30"/>
    </row>
    <row r="80" spans="2:6">
      <c r="B80">
        <f>MLIST!D64</f>
        <v>0</v>
      </c>
      <c r="C80" s="30"/>
      <c r="D80" s="30"/>
      <c r="E80" s="30"/>
      <c r="F80" s="30"/>
    </row>
    <row r="81" spans="2:6">
      <c r="B81">
        <f>MLIST!D65</f>
        <v>0</v>
      </c>
      <c r="C81" s="30"/>
      <c r="D81" s="30"/>
      <c r="E81" s="30"/>
      <c r="F81" s="30"/>
    </row>
    <row r="82" spans="2:6">
      <c r="B82">
        <f>MLIST!D66</f>
        <v>0</v>
      </c>
      <c r="C82" s="30"/>
      <c r="D82" s="30"/>
      <c r="E82" s="30"/>
      <c r="F82" s="30"/>
    </row>
    <row r="83" spans="2:6">
      <c r="B83">
        <f>MLIST!D67</f>
        <v>0</v>
      </c>
      <c r="C83" s="30"/>
      <c r="D83" s="30"/>
      <c r="E83" s="30"/>
      <c r="F83" s="30"/>
    </row>
    <row r="84" spans="2:6">
      <c r="B84">
        <f>MLIST!D68</f>
        <v>0</v>
      </c>
      <c r="C84" s="22"/>
      <c r="D84" s="30"/>
      <c r="E84" s="30"/>
      <c r="F84" s="30"/>
    </row>
    <row r="85" spans="2:6">
      <c r="B85">
        <f>MLIST!D69</f>
        <v>0</v>
      </c>
      <c r="C85" s="30"/>
      <c r="D85" s="30"/>
      <c r="E85" s="30"/>
      <c r="F85" s="30"/>
    </row>
    <row r="86" spans="2:6">
      <c r="B86">
        <f>MLIST!D70</f>
        <v>0</v>
      </c>
      <c r="C86" s="30"/>
    </row>
    <row r="87" spans="2:6">
      <c r="B87">
        <f>MLIST!D71</f>
        <v>0</v>
      </c>
      <c r="C87" s="86"/>
    </row>
    <row r="88" spans="2:6">
      <c r="B88">
        <f>MLIST!D72</f>
        <v>0</v>
      </c>
      <c r="C88" s="30"/>
    </row>
    <row r="89" spans="2:6">
      <c r="B89">
        <f>MLIST!D73</f>
        <v>0</v>
      </c>
      <c r="C89" s="30"/>
    </row>
    <row r="90" spans="2:6">
      <c r="B90">
        <f>MLIST!D74</f>
        <v>0</v>
      </c>
      <c r="C90" s="30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3"/>
  </sheetPr>
  <dimension ref="A1:F77"/>
  <sheetViews>
    <sheetView workbookViewId="0">
      <selection activeCell="B8" sqref="B8:G8"/>
    </sheetView>
  </sheetViews>
  <sheetFormatPr defaultRowHeight="12.75"/>
  <cols>
    <col min="1" max="1" width="43.5703125" customWidth="1"/>
    <col min="2" max="6" width="10.28515625" customWidth="1"/>
    <col min="8" max="8" width="21.7109375" customWidth="1"/>
  </cols>
  <sheetData>
    <row r="1" spans="1:6">
      <c r="A1" t="s">
        <v>22</v>
      </c>
    </row>
    <row r="8" spans="1:6">
      <c r="A8" s="2" t="s">
        <v>31</v>
      </c>
      <c r="B8" s="3"/>
      <c r="C8" s="3"/>
      <c r="D8" s="3"/>
      <c r="E8" s="3"/>
      <c r="F8" s="3"/>
    </row>
    <row r="9" spans="1:6">
      <c r="A9" s="13"/>
    </row>
    <row r="10" spans="1:6">
      <c r="A10" s="13"/>
    </row>
    <row r="11" spans="1:6">
      <c r="A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  <row r="28" spans="1:1">
      <c r="A28" s="13"/>
    </row>
    <row r="29" spans="1:1">
      <c r="A29" s="13"/>
    </row>
    <row r="30" spans="1:1">
      <c r="A30" s="13"/>
    </row>
    <row r="31" spans="1:1">
      <c r="A31" s="13"/>
    </row>
    <row r="32" spans="1:1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0000"/>
  </sheetPr>
  <dimension ref="A1:J103"/>
  <sheetViews>
    <sheetView zoomScale="85" workbookViewId="0">
      <pane xSplit="2" ySplit="8" topLeftCell="C9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A47" sqref="A47:XFD95"/>
    </sheetView>
  </sheetViews>
  <sheetFormatPr defaultRowHeight="12.75"/>
  <cols>
    <col min="1" max="1" width="13.85546875" customWidth="1"/>
    <col min="2" max="2" width="43.85546875" customWidth="1"/>
    <col min="3" max="3" width="12.28515625" bestFit="1" customWidth="1"/>
    <col min="4" max="4" width="19.42578125" bestFit="1" customWidth="1"/>
    <col min="5" max="5" width="19.85546875" bestFit="1" customWidth="1"/>
    <col min="6" max="6" width="12.42578125" bestFit="1" customWidth="1"/>
    <col min="7" max="7" width="17" bestFit="1" customWidth="1"/>
    <col min="8" max="8" width="35.28515625" customWidth="1"/>
  </cols>
  <sheetData>
    <row r="1" spans="1:10">
      <c r="A1" t="s">
        <v>41</v>
      </c>
      <c r="B1" t="s">
        <v>9</v>
      </c>
    </row>
    <row r="2" spans="1:10">
      <c r="A2" s="1">
        <f>COLUMN()</f>
        <v>1</v>
      </c>
      <c r="B2" s="1">
        <f>COLUMN()</f>
        <v>2</v>
      </c>
      <c r="C2" s="1">
        <f>COLUMN()</f>
        <v>3</v>
      </c>
      <c r="D2" s="1">
        <f>COLUMN()</f>
        <v>4</v>
      </c>
      <c r="E2" s="1">
        <f>COLUMN()</f>
        <v>5</v>
      </c>
      <c r="F2" s="1">
        <f>COLUMN()</f>
        <v>6</v>
      </c>
      <c r="G2" s="1">
        <f>COLUMN()</f>
        <v>7</v>
      </c>
    </row>
    <row r="6" spans="1:10">
      <c r="C6" s="30"/>
      <c r="D6" s="30"/>
      <c r="E6" s="30"/>
      <c r="F6" s="30"/>
      <c r="G6" s="30"/>
    </row>
    <row r="8" spans="1:10">
      <c r="A8" s="2" t="s">
        <v>16</v>
      </c>
      <c r="B8" s="2" t="s">
        <v>31</v>
      </c>
      <c r="C8" s="3"/>
      <c r="D8" s="3"/>
      <c r="E8" s="3"/>
      <c r="F8" s="3"/>
      <c r="G8" s="3" t="s">
        <v>10</v>
      </c>
      <c r="H8" s="3" t="s">
        <v>6</v>
      </c>
      <c r="I8" s="4" t="s">
        <v>58</v>
      </c>
      <c r="J8" s="4" t="s">
        <v>59</v>
      </c>
    </row>
    <row r="9" spans="1:10">
      <c r="B9" t="str">
        <f>MLIST!D10</f>
        <v xml:space="preserve">Wheel/hand line systems: Replace worn nozzle with new flow controlling type nozzle for impact sprinklers </v>
      </c>
      <c r="C9" s="30" t="str">
        <f t="shared" ref="C9:C15" si="0">IF(RIGHT($B9,2)="NR",1/$I9,"")</f>
        <v/>
      </c>
      <c r="D9" s="30" t="str">
        <f t="shared" ref="D9:F30" si="1">IF(RIGHT($B9,2)="NR",1/$I9,"")</f>
        <v/>
      </c>
      <c r="E9" s="30" t="str">
        <f t="shared" si="1"/>
        <v/>
      </c>
      <c r="F9" s="30" t="str">
        <f t="shared" si="1"/>
        <v/>
      </c>
    </row>
    <row r="10" spans="1:10">
      <c r="A10" s="30"/>
      <c r="B10" t="str">
        <f>MLIST!D11</f>
        <v xml:space="preserve">Wheel/hand line systems: Replace worn nozzle with new nozzle </v>
      </c>
      <c r="C10" s="30" t="str">
        <f t="shared" si="0"/>
        <v/>
      </c>
      <c r="D10" s="30" t="str">
        <f t="shared" si="1"/>
        <v/>
      </c>
      <c r="E10" s="30" t="str">
        <f t="shared" si="1"/>
        <v/>
      </c>
      <c r="F10" s="30" t="str">
        <f t="shared" si="1"/>
        <v/>
      </c>
      <c r="G10" s="26"/>
    </row>
    <row r="11" spans="1:10">
      <c r="B11" t="str">
        <f>MLIST!D12</f>
        <v xml:space="preserve">Wheel/hand line systems: Rebuild or replace leaking impact sprinkler with new or rebuilt impact sprinkler </v>
      </c>
      <c r="C11" s="30" t="str">
        <f t="shared" si="0"/>
        <v/>
      </c>
      <c r="D11" s="30" t="str">
        <f t="shared" si="1"/>
        <v/>
      </c>
      <c r="E11" s="30" t="str">
        <f t="shared" si="1"/>
        <v/>
      </c>
      <c r="F11" s="30" t="str">
        <f t="shared" si="1"/>
        <v/>
      </c>
      <c r="G11" s="26"/>
    </row>
    <row r="12" spans="1:10">
      <c r="B12" t="str">
        <f>MLIST!D13</f>
        <v xml:space="preserve">Wheel/hand line systems: Replace leaking gasket with new gasket </v>
      </c>
      <c r="C12" s="30" t="str">
        <f t="shared" si="0"/>
        <v/>
      </c>
      <c r="D12" s="30" t="str">
        <f t="shared" si="1"/>
        <v/>
      </c>
      <c r="E12" s="30" t="str">
        <f t="shared" si="1"/>
        <v/>
      </c>
      <c r="F12" s="30" t="str">
        <f t="shared" si="1"/>
        <v/>
      </c>
      <c r="G12" s="26"/>
    </row>
    <row r="13" spans="1:10">
      <c r="B13" t="str">
        <f>MLIST!D14</f>
        <v xml:space="preserve">Wheel/hand line systems: Replace leaking drain with new drain </v>
      </c>
      <c r="C13" s="30" t="str">
        <f t="shared" si="0"/>
        <v/>
      </c>
      <c r="D13" s="30" t="str">
        <f t="shared" si="1"/>
        <v/>
      </c>
      <c r="E13" s="30" t="str">
        <f t="shared" si="1"/>
        <v/>
      </c>
      <c r="F13" s="30" t="str">
        <f t="shared" si="1"/>
        <v/>
      </c>
      <c r="G13" s="26"/>
    </row>
    <row r="14" spans="1:10">
      <c r="B14" t="str">
        <f>MLIST!D15</f>
        <v xml:space="preserve">Wheel/hand line systems: Cut and pipe press repair of leaking hand-lines, wheel-lines, and portable main-lines </v>
      </c>
      <c r="C14" s="30" t="str">
        <f t="shared" si="0"/>
        <v/>
      </c>
      <c r="D14" s="30" t="str">
        <f t="shared" si="1"/>
        <v/>
      </c>
      <c r="E14" s="30" t="str">
        <f t="shared" si="1"/>
        <v/>
      </c>
      <c r="F14" s="30" t="str">
        <f t="shared" si="1"/>
        <v/>
      </c>
      <c r="G14" s="26"/>
    </row>
    <row r="15" spans="1:10">
      <c r="B15" t="str">
        <f>MLIST!D16</f>
        <v xml:space="preserve">Thunderbird wheel line systems: Replace leaking hub with new hub </v>
      </c>
      <c r="C15" s="30" t="str">
        <f t="shared" si="0"/>
        <v/>
      </c>
      <c r="D15" s="30" t="str">
        <f t="shared" si="1"/>
        <v/>
      </c>
      <c r="E15" s="30" t="str">
        <f t="shared" si="1"/>
        <v/>
      </c>
      <c r="F15" s="30" t="str">
        <f t="shared" si="1"/>
        <v/>
      </c>
      <c r="G15" s="26"/>
    </row>
    <row r="16" spans="1:10">
      <c r="B16" t="str">
        <f>MLIST!D17</f>
        <v xml:space="preserve">Wheel line systems: Rebuild or replace leaking or malfunctioning leveler with new or rebuilt leveler. </v>
      </c>
      <c r="C16" s="30" t="str">
        <f>IF(RIGHT($B16,2)="NR",1/$I16,"")</f>
        <v/>
      </c>
      <c r="D16" s="30" t="str">
        <f t="shared" si="1"/>
        <v/>
      </c>
      <c r="E16" s="30" t="str">
        <f t="shared" si="1"/>
        <v/>
      </c>
      <c r="F16" s="30" t="str">
        <f t="shared" si="1"/>
        <v/>
      </c>
      <c r="G16" s="26"/>
    </row>
    <row r="17" spans="2:7">
      <c r="B17" t="str">
        <f>MLIST!D18</f>
        <v xml:space="preserve">Center pivot/linear move systems: Install new sprinkler package on an existing system. </v>
      </c>
      <c r="C17" s="30" t="str">
        <f t="shared" ref="C17:C30" si="2">IF(RIGHT($B17,2)="NR",1/$I17,"")</f>
        <v/>
      </c>
      <c r="D17" s="30" t="str">
        <f t="shared" si="1"/>
        <v/>
      </c>
      <c r="E17" s="30" t="str">
        <f t="shared" si="1"/>
        <v/>
      </c>
      <c r="F17" s="30" t="str">
        <f t="shared" si="1"/>
        <v/>
      </c>
      <c r="G17" s="26"/>
    </row>
    <row r="18" spans="2:7">
      <c r="B18" t="str">
        <f>MLIST!D19</f>
        <v xml:space="preserve">Center pivot/linear move systems: New gooseneck elbows </v>
      </c>
      <c r="C18" s="30" t="str">
        <f t="shared" si="2"/>
        <v/>
      </c>
      <c r="D18" s="30" t="str">
        <f t="shared" si="1"/>
        <v/>
      </c>
      <c r="E18" s="30" t="str">
        <f t="shared" si="1"/>
        <v/>
      </c>
      <c r="F18" s="30" t="str">
        <f t="shared" si="1"/>
        <v/>
      </c>
      <c r="G18" s="26"/>
    </row>
    <row r="19" spans="2:7">
      <c r="B19" t="str">
        <f>MLIST!D20</f>
        <v xml:space="preserve">Center pivot/linear move systems: New drop tubes (3 feet minimum) </v>
      </c>
      <c r="C19" s="30" t="str">
        <f t="shared" si="2"/>
        <v/>
      </c>
      <c r="D19" s="30" t="str">
        <f t="shared" si="1"/>
        <v/>
      </c>
      <c r="E19" s="30" t="str">
        <f t="shared" si="1"/>
        <v/>
      </c>
      <c r="F19" s="30" t="str">
        <f t="shared" si="1"/>
        <v/>
      </c>
      <c r="G19" s="26"/>
    </row>
    <row r="20" spans="2:7">
      <c r="B20" t="str">
        <f>MLIST!D21</f>
        <v xml:space="preserve">Center pivot/linear move systems: Replace leaking pivot boot gasket with new pivot boot gasket </v>
      </c>
      <c r="C20" s="30" t="str">
        <f t="shared" si="2"/>
        <v/>
      </c>
      <c r="D20" s="30" t="str">
        <f t="shared" si="1"/>
        <v/>
      </c>
      <c r="E20" s="30" t="str">
        <f t="shared" si="1"/>
        <v/>
      </c>
      <c r="F20" s="30" t="str">
        <f t="shared" si="1"/>
        <v/>
      </c>
      <c r="G20" s="26"/>
    </row>
    <row r="21" spans="2:7">
      <c r="B21" t="str">
        <f>MLIST!D22</f>
        <v xml:space="preserve">Center pivot/linear move systems: Replace leaking tower gasket with new tower gasket </v>
      </c>
      <c r="C21" s="30" t="str">
        <f t="shared" si="2"/>
        <v/>
      </c>
      <c r="D21" s="30" t="str">
        <f t="shared" si="1"/>
        <v/>
      </c>
      <c r="E21" s="30" t="str">
        <f t="shared" si="1"/>
        <v/>
      </c>
      <c r="F21" s="30" t="str">
        <f t="shared" si="1"/>
        <v/>
      </c>
      <c r="G21" s="26"/>
    </row>
    <row r="22" spans="2:7">
      <c r="B22" t="str">
        <f>MLIST!D23</f>
        <v>Convert Medium Pressure Center Pivot to Low pressure system</v>
      </c>
      <c r="C22" s="30" t="str">
        <f t="shared" si="2"/>
        <v/>
      </c>
      <c r="D22" s="30" t="str">
        <f t="shared" si="1"/>
        <v/>
      </c>
      <c r="E22" s="30" t="str">
        <f t="shared" si="1"/>
        <v/>
      </c>
      <c r="F22" s="30" t="str">
        <f t="shared" si="1"/>
        <v/>
      </c>
      <c r="G22" s="26"/>
    </row>
    <row r="23" spans="2:7">
      <c r="B23" t="str">
        <f>MLIST!D24</f>
        <v>Convert High Pressure Center Pivot to Low pressure system</v>
      </c>
      <c r="C23" s="30" t="str">
        <f t="shared" si="2"/>
        <v/>
      </c>
      <c r="D23" s="30" t="str">
        <f t="shared" si="1"/>
        <v/>
      </c>
      <c r="E23" s="30" t="str">
        <f t="shared" si="1"/>
        <v/>
      </c>
      <c r="F23" s="30" t="str">
        <f t="shared" si="1"/>
        <v/>
      </c>
      <c r="G23" s="26"/>
    </row>
    <row r="24" spans="2:7">
      <c r="B24" t="str">
        <f>MLIST!D25</f>
        <v>Convert wheel line systems to low pressure systems on alfalfa acreage</v>
      </c>
      <c r="C24" s="30" t="str">
        <f t="shared" si="2"/>
        <v/>
      </c>
      <c r="D24" s="30" t="str">
        <f t="shared" si="1"/>
        <v/>
      </c>
      <c r="E24" s="30" t="str">
        <f t="shared" si="1"/>
        <v/>
      </c>
      <c r="F24" s="30" t="str">
        <f t="shared" si="1"/>
        <v/>
      </c>
      <c r="G24" s="26"/>
    </row>
    <row r="25" spans="2:7">
      <c r="B25" t="str">
        <f>MLIST!D26</f>
        <v>Convert hand line systems to low pressure systems on alfalfa acreage</v>
      </c>
      <c r="C25" s="30" t="str">
        <f t="shared" si="2"/>
        <v/>
      </c>
      <c r="D25" s="30" t="str">
        <f t="shared" si="1"/>
        <v/>
      </c>
      <c r="E25" s="30" t="str">
        <f t="shared" si="1"/>
        <v/>
      </c>
      <c r="F25" s="30" t="str">
        <f t="shared" si="1"/>
        <v/>
      </c>
      <c r="G25" s="26"/>
    </row>
    <row r="26" spans="2:7">
      <c r="B26" t="str">
        <f>MLIST!D27</f>
        <v>SIS</v>
      </c>
      <c r="C26" s="30" t="str">
        <f t="shared" si="2"/>
        <v/>
      </c>
      <c r="D26" s="30" t="str">
        <f t="shared" si="1"/>
        <v/>
      </c>
      <c r="E26" s="30" t="str">
        <f t="shared" si="1"/>
        <v/>
      </c>
      <c r="F26" s="30" t="str">
        <f t="shared" si="1"/>
        <v/>
      </c>
      <c r="G26" s="26"/>
    </row>
    <row r="27" spans="2:7">
      <c r="B27" t="str">
        <f>MLIST!D28</f>
        <v>LESA</v>
      </c>
      <c r="C27" s="30" t="str">
        <f t="shared" si="2"/>
        <v/>
      </c>
      <c r="D27" s="30" t="str">
        <f t="shared" si="1"/>
        <v/>
      </c>
      <c r="E27" s="30" t="str">
        <f t="shared" si="1"/>
        <v/>
      </c>
      <c r="F27" s="30" t="str">
        <f t="shared" si="1"/>
        <v/>
      </c>
      <c r="G27" s="26"/>
    </row>
    <row r="28" spans="2:7">
      <c r="B28" t="str">
        <f>MLIST!D29</f>
        <v>Motor Rewind</v>
      </c>
      <c r="C28" s="30" t="str">
        <f t="shared" si="2"/>
        <v/>
      </c>
      <c r="D28" s="30" t="str">
        <f t="shared" si="1"/>
        <v/>
      </c>
      <c r="E28" s="30" t="str">
        <f t="shared" si="1"/>
        <v/>
      </c>
      <c r="F28" s="30" t="str">
        <f t="shared" si="1"/>
        <v/>
      </c>
      <c r="G28" s="26"/>
    </row>
    <row r="29" spans="2:7">
      <c r="B29" t="str">
        <f>MLIST!D30</f>
        <v>Install VSD on Irrigation Pump</v>
      </c>
      <c r="C29" s="30" t="str">
        <f t="shared" si="2"/>
        <v/>
      </c>
      <c r="D29" s="30" t="str">
        <f t="shared" si="1"/>
        <v/>
      </c>
      <c r="E29" s="30" t="str">
        <f t="shared" si="1"/>
        <v/>
      </c>
      <c r="F29" s="30" t="str">
        <f t="shared" si="1"/>
        <v/>
      </c>
      <c r="G29" s="26"/>
    </row>
    <row r="30" spans="2:7">
      <c r="B30" t="str">
        <f>MLIST!D31</f>
        <v>VSD - Vacuum Pump - FreeStall</v>
      </c>
      <c r="C30" s="30" t="str">
        <f t="shared" si="2"/>
        <v/>
      </c>
      <c r="D30" s="30" t="str">
        <f t="shared" si="1"/>
        <v/>
      </c>
      <c r="E30" s="30" t="str">
        <f t="shared" si="1"/>
        <v/>
      </c>
      <c r="F30" s="30" t="str">
        <f t="shared" si="1"/>
        <v/>
      </c>
      <c r="G30" s="26"/>
    </row>
    <row r="31" spans="2:7">
      <c r="B31" t="str">
        <f>MLIST!D32</f>
        <v>Plate Milk Pre-cooler - FreeStall</v>
      </c>
      <c r="C31" s="30"/>
      <c r="D31" s="30"/>
      <c r="E31" s="30"/>
      <c r="F31" s="30"/>
      <c r="G31" s="26"/>
    </row>
    <row r="32" spans="2:7">
      <c r="B32" t="str">
        <f>MLIST!D33</f>
        <v>Energy Efficient Lighting - FreeStall</v>
      </c>
      <c r="C32" s="30"/>
      <c r="D32" s="30"/>
      <c r="E32" s="30"/>
      <c r="F32" s="30"/>
      <c r="G32" s="26"/>
    </row>
    <row r="33" spans="2:7">
      <c r="B33" t="str">
        <f>MLIST!D34</f>
        <v>VSD - Vacuum Pump - TieStall</v>
      </c>
      <c r="C33" s="30"/>
      <c r="D33" s="30"/>
      <c r="E33" s="30"/>
      <c r="F33" s="30"/>
      <c r="G33" s="26"/>
    </row>
    <row r="34" spans="2:7">
      <c r="B34" t="str">
        <f>MLIST!D35</f>
        <v>Heat Recovery Refrigeration - TieStall</v>
      </c>
      <c r="C34" s="30"/>
      <c r="D34" s="30"/>
      <c r="E34" s="30"/>
      <c r="F34" s="30"/>
      <c r="G34" s="26"/>
    </row>
    <row r="35" spans="2:7">
      <c r="B35" t="str">
        <f>MLIST!D36</f>
        <v>Plate Milk Pre-Cooler - TieStall</v>
      </c>
      <c r="C35" s="30"/>
      <c r="D35" s="30"/>
      <c r="E35" s="30"/>
      <c r="F35" s="30"/>
      <c r="G35" s="26"/>
    </row>
    <row r="36" spans="2:7">
      <c r="B36" t="str">
        <f>MLIST!D37</f>
        <v>Energy Efficient Lighting - TieStall</v>
      </c>
      <c r="C36" s="30"/>
      <c r="D36" s="30"/>
      <c r="E36" s="30"/>
      <c r="F36" s="30"/>
      <c r="G36" s="26"/>
    </row>
    <row r="37" spans="2:7">
      <c r="C37" s="30"/>
      <c r="D37" s="30"/>
      <c r="E37" s="30"/>
      <c r="F37" s="30"/>
      <c r="G37" s="26"/>
    </row>
    <row r="38" spans="2:7">
      <c r="C38" s="30"/>
      <c r="D38" s="30"/>
      <c r="E38" s="30"/>
      <c r="F38" s="30"/>
      <c r="G38" s="26"/>
    </row>
    <row r="39" spans="2:7">
      <c r="C39" s="30"/>
      <c r="D39" s="30"/>
      <c r="E39" s="30"/>
      <c r="F39" s="30"/>
    </row>
    <row r="40" spans="2:7">
      <c r="C40" s="30"/>
      <c r="D40" s="30"/>
      <c r="E40" s="30"/>
      <c r="F40" s="30"/>
      <c r="G40" s="26"/>
    </row>
    <row r="41" spans="2:7">
      <c r="C41" s="30"/>
      <c r="D41" s="30"/>
      <c r="E41" s="30"/>
      <c r="F41" s="30"/>
      <c r="G41" s="26"/>
    </row>
    <row r="42" spans="2:7">
      <c r="C42" s="30"/>
      <c r="D42" s="30"/>
      <c r="E42" s="30"/>
      <c r="F42" s="30"/>
      <c r="G42" s="26"/>
    </row>
    <row r="43" spans="2:7">
      <c r="C43" s="30"/>
      <c r="D43" s="30"/>
      <c r="E43" s="30"/>
      <c r="F43" s="30"/>
      <c r="G43" s="26"/>
    </row>
    <row r="44" spans="2:7">
      <c r="C44" s="30"/>
      <c r="D44" s="30"/>
      <c r="E44" s="30"/>
      <c r="F44" s="30"/>
      <c r="G44" s="26"/>
    </row>
    <row r="45" spans="2:7">
      <c r="C45" s="30"/>
      <c r="D45" s="30"/>
      <c r="E45" s="30"/>
      <c r="F45" s="30"/>
      <c r="G45" s="26"/>
    </row>
    <row r="46" spans="2:7">
      <c r="C46" s="30"/>
      <c r="D46" s="30"/>
      <c r="E46" s="30"/>
      <c r="F46" s="30"/>
      <c r="G46" s="26"/>
    </row>
    <row r="47" spans="2:7">
      <c r="C47" s="30"/>
      <c r="D47" s="30"/>
      <c r="E47" s="30"/>
      <c r="F47" s="30"/>
      <c r="G47" s="26"/>
    </row>
    <row r="48" spans="2:7">
      <c r="C48" s="30"/>
      <c r="D48" s="30"/>
      <c r="E48" s="30"/>
      <c r="F48" s="30"/>
      <c r="G48" s="26"/>
    </row>
    <row r="49" spans="3:7">
      <c r="C49" s="30"/>
      <c r="D49" s="30"/>
      <c r="E49" s="30"/>
      <c r="F49" s="30"/>
      <c r="G49" s="26"/>
    </row>
    <row r="50" spans="3:7">
      <c r="C50" s="30"/>
      <c r="D50" s="30"/>
      <c r="E50" s="30"/>
      <c r="F50" s="30"/>
      <c r="G50" s="26"/>
    </row>
    <row r="51" spans="3:7">
      <c r="C51" s="30"/>
      <c r="D51" s="30"/>
      <c r="E51" s="30"/>
      <c r="F51" s="30"/>
      <c r="G51" s="26"/>
    </row>
    <row r="52" spans="3:7">
      <c r="C52" s="30"/>
      <c r="D52" s="30"/>
      <c r="E52" s="30"/>
      <c r="F52" s="30"/>
      <c r="G52" s="26"/>
    </row>
    <row r="53" spans="3:7">
      <c r="C53" s="30"/>
      <c r="D53" s="30"/>
      <c r="E53" s="30"/>
      <c r="F53" s="30"/>
      <c r="G53" s="26"/>
    </row>
    <row r="54" spans="3:7">
      <c r="C54" s="30"/>
      <c r="D54" s="30"/>
      <c r="E54" s="30"/>
      <c r="F54" s="30"/>
    </row>
    <row r="55" spans="3:7">
      <c r="C55" s="30"/>
      <c r="D55" s="30"/>
      <c r="E55" s="30"/>
      <c r="F55" s="30"/>
    </row>
    <row r="56" spans="3:7">
      <c r="C56" s="30"/>
      <c r="D56" s="30"/>
      <c r="E56" s="30"/>
      <c r="F56" s="30"/>
    </row>
    <row r="57" spans="3:7">
      <c r="C57" s="30"/>
      <c r="D57" s="30"/>
      <c r="E57" s="30"/>
      <c r="F57" s="30"/>
    </row>
    <row r="58" spans="3:7">
      <c r="C58" s="30"/>
      <c r="D58" s="30"/>
      <c r="E58" s="30"/>
      <c r="F58" s="30"/>
    </row>
    <row r="59" spans="3:7">
      <c r="C59" s="30"/>
      <c r="D59" s="30"/>
      <c r="E59" s="30"/>
      <c r="F59" s="30"/>
    </row>
    <row r="60" spans="3:7">
      <c r="C60" s="30"/>
      <c r="D60" s="30"/>
      <c r="E60" s="30"/>
      <c r="F60" s="30"/>
    </row>
    <row r="61" spans="3:7">
      <c r="C61" s="30"/>
      <c r="D61" s="30"/>
      <c r="E61" s="30"/>
      <c r="F61" s="30"/>
    </row>
    <row r="62" spans="3:7">
      <c r="C62" s="30"/>
      <c r="D62" s="30"/>
      <c r="E62" s="30"/>
      <c r="F62" s="30"/>
    </row>
    <row r="63" spans="3:7">
      <c r="C63" s="30"/>
      <c r="D63" s="30"/>
      <c r="E63" s="30"/>
      <c r="F63" s="30"/>
    </row>
    <row r="64" spans="3:7">
      <c r="C64" s="30"/>
      <c r="D64" s="30"/>
      <c r="E64" s="30"/>
      <c r="F64" s="30"/>
    </row>
    <row r="65" spans="3:6">
      <c r="C65" s="30"/>
      <c r="D65" s="30"/>
      <c r="E65" s="30"/>
      <c r="F65" s="30"/>
    </row>
    <row r="66" spans="3:6">
      <c r="C66" s="30"/>
      <c r="D66" s="30"/>
      <c r="E66" s="30"/>
      <c r="F66" s="30"/>
    </row>
    <row r="67" spans="3:6">
      <c r="C67" s="30"/>
      <c r="D67" s="30"/>
      <c r="E67" s="30"/>
      <c r="F67" s="30"/>
    </row>
    <row r="68" spans="3:6">
      <c r="C68" s="30"/>
      <c r="D68" s="30"/>
      <c r="E68" s="30"/>
      <c r="F68" s="30"/>
    </row>
    <row r="69" spans="3:6">
      <c r="C69" s="30"/>
      <c r="D69" s="30"/>
      <c r="E69" s="30"/>
      <c r="F69" s="30"/>
    </row>
    <row r="70" spans="3:6">
      <c r="C70" s="30"/>
      <c r="D70" s="30"/>
      <c r="E70" s="30"/>
      <c r="F70" s="30"/>
    </row>
    <row r="71" spans="3:6">
      <c r="C71" s="30"/>
      <c r="D71" s="30"/>
      <c r="E71" s="30"/>
      <c r="F71" s="30"/>
    </row>
    <row r="72" spans="3:6">
      <c r="C72" s="30"/>
      <c r="D72" s="30"/>
      <c r="E72" s="30"/>
      <c r="F72" s="30"/>
    </row>
    <row r="73" spans="3:6">
      <c r="C73" s="30"/>
      <c r="D73" s="30"/>
      <c r="E73" s="30"/>
      <c r="F73" s="30"/>
    </row>
    <row r="74" spans="3:6">
      <c r="C74" s="30"/>
      <c r="D74" s="30"/>
      <c r="E74" s="30"/>
      <c r="F74" s="30"/>
    </row>
    <row r="75" spans="3:6">
      <c r="C75" s="30"/>
      <c r="D75" s="30"/>
      <c r="E75" s="30"/>
      <c r="F75" s="30"/>
    </row>
    <row r="76" spans="3:6">
      <c r="C76" s="30"/>
      <c r="D76" s="30"/>
      <c r="E76" s="30"/>
      <c r="F76" s="30"/>
    </row>
    <row r="77" spans="3:6">
      <c r="C77" s="30"/>
      <c r="D77" s="30"/>
      <c r="E77" s="30"/>
      <c r="F77" s="30"/>
    </row>
    <row r="78" spans="3:6">
      <c r="C78" s="30"/>
      <c r="D78" s="30"/>
      <c r="E78" s="30"/>
      <c r="F78" s="30"/>
    </row>
    <row r="79" spans="3:6">
      <c r="C79" s="30"/>
      <c r="D79" s="30"/>
      <c r="E79" s="30"/>
      <c r="F79" s="30"/>
    </row>
    <row r="80" spans="3:6">
      <c r="C80" s="30"/>
      <c r="D80" s="30"/>
      <c r="E80" s="30"/>
      <c r="F80" s="30"/>
    </row>
    <row r="81" spans="3:6">
      <c r="C81" s="30"/>
      <c r="D81" s="30"/>
      <c r="E81" s="30"/>
      <c r="F81" s="30"/>
    </row>
    <row r="82" spans="3:6">
      <c r="C82" s="30"/>
      <c r="D82" s="30"/>
      <c r="E82" s="30"/>
      <c r="F82" s="30"/>
    </row>
    <row r="83" spans="3:6">
      <c r="C83" s="30"/>
      <c r="D83" s="30"/>
      <c r="E83" s="30"/>
      <c r="F83" s="30"/>
    </row>
    <row r="84" spans="3:6">
      <c r="C84" s="30"/>
      <c r="D84" s="30"/>
      <c r="E84" s="30"/>
      <c r="F84" s="30"/>
    </row>
    <row r="85" spans="3:6">
      <c r="C85" s="30"/>
      <c r="D85" s="30"/>
      <c r="E85" s="30"/>
      <c r="F85" s="30"/>
    </row>
    <row r="86" spans="3:6">
      <c r="C86" s="30"/>
      <c r="D86" s="30"/>
      <c r="E86" s="30"/>
      <c r="F86" s="30"/>
    </row>
    <row r="87" spans="3:6">
      <c r="C87" s="30"/>
      <c r="D87" s="30"/>
      <c r="E87" s="30"/>
      <c r="F87" s="30"/>
    </row>
    <row r="88" spans="3:6">
      <c r="C88" s="30"/>
      <c r="D88" s="30"/>
      <c r="E88" s="30"/>
      <c r="F88" s="30"/>
    </row>
    <row r="89" spans="3:6">
      <c r="C89" s="30"/>
      <c r="D89" s="30"/>
      <c r="E89" s="30"/>
      <c r="F89" s="30"/>
    </row>
    <row r="90" spans="3:6">
      <c r="C90" s="30"/>
      <c r="D90" s="30"/>
      <c r="E90" s="30"/>
      <c r="F90" s="30"/>
    </row>
    <row r="91" spans="3:6">
      <c r="C91" s="30"/>
      <c r="D91" s="30"/>
      <c r="E91" s="30"/>
      <c r="F91" s="30"/>
    </row>
    <row r="92" spans="3:6">
      <c r="C92" s="30"/>
      <c r="D92" s="30"/>
      <c r="E92" s="30"/>
      <c r="F92" s="30"/>
    </row>
    <row r="93" spans="3:6">
      <c r="C93" s="30"/>
      <c r="D93" s="30"/>
      <c r="E93" s="30"/>
      <c r="F93" s="30"/>
    </row>
    <row r="94" spans="3:6">
      <c r="C94" s="30"/>
      <c r="D94" s="30"/>
      <c r="E94" s="30"/>
      <c r="F94" s="30"/>
    </row>
    <row r="95" spans="3:6">
      <c r="C95" s="30"/>
      <c r="D95" s="30"/>
      <c r="E95" s="30"/>
      <c r="F95" s="30"/>
    </row>
    <row r="96" spans="3:6">
      <c r="C96" s="30"/>
      <c r="D96" s="30"/>
      <c r="E96" s="30"/>
      <c r="F96" s="30"/>
    </row>
    <row r="97" spans="3:6">
      <c r="C97" s="30"/>
      <c r="D97" s="30"/>
      <c r="E97" s="30"/>
      <c r="F97" s="30"/>
    </row>
    <row r="98" spans="3:6">
      <c r="C98" s="30"/>
      <c r="D98" s="30"/>
      <c r="E98" s="30"/>
      <c r="F98" s="30"/>
    </row>
    <row r="99" spans="3:6">
      <c r="C99" s="30"/>
      <c r="D99" s="30"/>
      <c r="E99" s="30"/>
      <c r="F99" s="30"/>
    </row>
    <row r="100" spans="3:6">
      <c r="C100" s="30"/>
      <c r="D100" s="30"/>
      <c r="E100" s="30"/>
      <c r="F100" s="30"/>
    </row>
    <row r="101" spans="3:6">
      <c r="C101" s="30"/>
      <c r="D101" s="30"/>
      <c r="E101" s="30"/>
      <c r="F101" s="30"/>
    </row>
    <row r="102" spans="3:6">
      <c r="C102" s="30"/>
      <c r="D102" s="30"/>
      <c r="E102" s="30"/>
      <c r="F102" s="30"/>
    </row>
    <row r="103" spans="3:6">
      <c r="C103" s="30"/>
      <c r="D103" s="30"/>
      <c r="E103" s="30"/>
      <c r="F103" s="30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Overview</vt:lpstr>
      <vt:lpstr>Update Log</vt:lpstr>
      <vt:lpstr>MLIST</vt:lpstr>
      <vt:lpstr>FILES</vt:lpstr>
      <vt:lpstr>APPLIC</vt:lpstr>
      <vt:lpstr>FEAS</vt:lpstr>
      <vt:lpstr>BASE</vt:lpstr>
      <vt:lpstr>STOCK</vt:lpstr>
      <vt:lpstr>TURN</vt:lpstr>
      <vt:lpstr>ACHIEV</vt:lpstr>
      <vt:lpstr>CODE</vt:lpstr>
      <vt:lpstr>SATS</vt:lpstr>
      <vt:lpstr>Water Applied by Crop</vt:lpstr>
      <vt:lpstr>Water Use by Sprinklers</vt:lpstr>
      <vt:lpstr>Energy Expense</vt:lpstr>
      <vt:lpstr>Depth of Wells</vt:lpstr>
      <vt:lpstr>Water Use by All Methods</vt:lpstr>
      <vt:lpstr>Applic Acres</vt:lpstr>
      <vt:lpstr>Vars</vt:lpstr>
      <vt:lpstr>Labels</vt:lpstr>
      <vt:lpstr>Lookup</vt:lpstr>
      <vt:lpstr>UEC</vt:lpstr>
      <vt:lpstr>Tracking Status</vt:lpstr>
      <vt:lpstr>Achiev</vt:lpstr>
      <vt:lpstr>POST2015Sat</vt:lpstr>
      <vt:lpstr>PRE2015Sat</vt:lpstr>
      <vt:lpstr>FEAS!Print_Area</vt:lpstr>
      <vt:lpstr>SATS!Print_Area</vt:lpstr>
      <vt:lpstr>VSTOCK</vt:lpstr>
    </vt:vector>
  </TitlesOfParts>
  <Company>NW Power Planning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Grist</dc:creator>
  <cp:lastModifiedBy>Tina Jayaweera</cp:lastModifiedBy>
  <cp:lastPrinted>2005-01-31T16:50:04Z</cp:lastPrinted>
  <dcterms:created xsi:type="dcterms:W3CDTF">2003-01-30T22:25:59Z</dcterms:created>
  <dcterms:modified xsi:type="dcterms:W3CDTF">2015-03-16T23:42:32Z</dcterms:modified>
</cp:coreProperties>
</file>