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comments8.xml" ContentType="application/vnd.openxmlformats-officedocument.spreadsheetml.comment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externalLinks/externalLink7.xml" ContentType="application/vnd.openxmlformats-officedocument.spreadsheetml.externalLink+xml"/>
  <Override PartName="/xl/comments6.xml" ContentType="application/vnd.openxmlformats-officedocument.spreadsheetml.comments+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comments4.xml" ContentType="application/vnd.openxmlformats-officedocument.spreadsheetml.comments+xml"/>
  <Override PartName="/xl/comments5.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comments10.xml" ContentType="application/vnd.openxmlformats-officedocument.spreadsheetml.comments+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externalLinks/externalLink8.xml" ContentType="application/vnd.openxmlformats-officedocument.spreadsheetml.externalLink+xml"/>
  <Override PartName="/xl/comments9.xml" ContentType="application/vnd.openxmlformats-officedocument.spreadsheetml.comments+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externalLinks/externalLink6.xml" ContentType="application/vnd.openxmlformats-officedocument.spreadsheetml.externalLink+xml"/>
  <Override PartName="/xl/comments7.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bookViews>
  <sheets>
    <sheet name="7PSourceSummary" sheetId="1" r:id="rId1"/>
    <sheet name="forRPM" sheetId="23" r:id="rId2"/>
    <sheet name="SC-NR" sheetId="6" r:id="rId3"/>
    <sheet name="Measure InputOutput_Out" sheetId="22" r:id="rId4"/>
    <sheet name="Measure InputOutput" sheetId="3" r:id="rId5"/>
    <sheet name="Savings and Cost" sheetId="7" r:id="rId6"/>
    <sheet name="MMap" sheetId="4" r:id="rId7"/>
    <sheet name="RTF Input Data" sheetId="5" r:id="rId8"/>
    <sheet name="Measure Weightings" sheetId="8" r:id="rId9"/>
    <sheet name="RTF Summary COMBI" sheetId="9" r:id="rId10"/>
    <sheet name="RTF Summary Conv" sheetId="11" r:id="rId11"/>
    <sheet name="RTF Sum Fryer" sheetId="17" r:id="rId12"/>
    <sheet name="RTF Sum HFHC" sheetId="18" r:id="rId13"/>
    <sheet name="RTF Sum Steamer" sheetId="19" r:id="rId14"/>
    <sheet name="CBSA" sheetId="12" r:id="rId15"/>
    <sheet name="Conv Cost" sheetId="13" r:id="rId16"/>
    <sheet name="Steamer Cost" sheetId="14" r:id="rId17"/>
    <sheet name="Combi Cost" sheetId="15" r:id="rId18"/>
    <sheet name="HFHC Cost" sheetId="16" r:id="rId19"/>
    <sheet name="CostData&amp;Analysis" sheetId="24" r:id="rId20"/>
    <sheet name="ToDo7P" sheetId="2" r:id="rId21"/>
    <sheet name="Steamer Calcs" sheetId="20" r:id="rId22"/>
    <sheet name="Steamer Example" sheetId="21"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_Key1" localSheetId="15" hidden="1">#REF!</definedName>
    <definedName name="_Key1" localSheetId="19" hidden="1">#REF!</definedName>
    <definedName name="_Key1" localSheetId="1" hidden="1">#REF!</definedName>
    <definedName name="_Key1" localSheetId="9" hidden="1">#REF!</definedName>
    <definedName name="_Key1" localSheetId="10" hidden="1">#REF!</definedName>
    <definedName name="_Key1" hidden="1">#REF!</definedName>
    <definedName name="_Order1" hidden="1">255</definedName>
    <definedName name="_Sort" localSheetId="15" hidden="1">#REF!</definedName>
    <definedName name="_Sort" localSheetId="19" hidden="1">#REF!</definedName>
    <definedName name="_Sort" localSheetId="1" hidden="1">#REF!</definedName>
    <definedName name="_Sort" localSheetId="9" hidden="1">#REF!</definedName>
    <definedName name="_Sort" localSheetId="10" hidden="1">#REF!</definedName>
    <definedName name="_Sort" hidden="1">#REF!</definedName>
    <definedName name="Baseline" localSheetId="15">[1]ValidationLists!$G$2:$G$4</definedName>
    <definedName name="Baseline" localSheetId="19">[2]ValidationLists!$G$2:$G$4</definedName>
    <definedName name="Baseline" localSheetId="10">[3]ValidationLists!$G$2:$G$4</definedName>
    <definedName name="Baseline">[4]ValidationLists!$G$2:$G$4</definedName>
    <definedName name="bb">[2]ValidationLists!$G$2:$G$4</definedName>
    <definedName name="BLDGTYP" localSheetId="2">[5]APPLIC!$C$11:$U$11</definedName>
    <definedName name="BtuperkWh">'[6]Supplemental Analysis Data'!$F$74</definedName>
    <definedName name="Category" localSheetId="19">[2]ValidationLists!$D$2:$D$6</definedName>
    <definedName name="Category">[7]ValidationLists!$D$2:$D$6</definedName>
    <definedName name="CheckListCategory" localSheetId="19">[2]Checklist!$I$7</definedName>
    <definedName name="CheckListCategory">[7]Checklist!$I$7</definedName>
    <definedName name="CheckListFilter" localSheetId="19">[2]Checklist!$I$9</definedName>
    <definedName name="CheckListFilter">[7]Checklist!$I$9</definedName>
    <definedName name="CheckListMethod" localSheetId="19">[2]Checklist!$I$6</definedName>
    <definedName name="CheckListMethod">[7]Checklist!$I$6</definedName>
    <definedName name="CheckListProcedure" localSheetId="19">[2]Checklist!$I$8</definedName>
    <definedName name="CheckListProcedure">[7]Checklist!$I$8</definedName>
    <definedName name="CostDataSourceTypes">[2]ValidationLists!$A$2:$A$12</definedName>
    <definedName name="DEF">'[6]Supplemental Analysis Data'!$F$89</definedName>
    <definedName name="DeltaT">'[6]Supplemental Analysis Data'!$F$75</definedName>
    <definedName name="Dryer_Electric_Savings">'[6]SavingsData&amp;Analysis'!$Q$25</definedName>
    <definedName name="Dryer_Gas_Savings">'[6]SavingsData&amp;Analysis'!$S$25</definedName>
    <definedName name="DUF">'[6]Supplemental Analysis Data'!$F$90</definedName>
    <definedName name="ElecMargCarbonTab">[2]ProData!$F$9</definedName>
    <definedName name="EUL">[6]Lifetime!$I$19</definedName>
    <definedName name="GasDryerFactor">'[6]Supplemental Analysis Data'!$G$84</definedName>
    <definedName name="GasMargCarbonTab">[2]ProData!$F$10</definedName>
    <definedName name="GasMargCostTab">[2]ProData!$F$7</definedName>
    <definedName name="GasSaveShapeTab">[2]ProData!$F$8</definedName>
    <definedName name="Guideline" localSheetId="19">[2]ValidationLists!$B$2:$B$8</definedName>
    <definedName name="Guideline">[7]ValidationLists!$B$2:$B$8</definedName>
    <definedName name="HotWater_Electric_Savings">'[6]SavingsData&amp;Analysis'!$R$25</definedName>
    <definedName name="HotWater_Gas_Savings">'[6]SavingsData&amp;Analysis'!$T$25</definedName>
    <definedName name="LAF">'[6]Supplemental Analysis Data'!$F$88</definedName>
    <definedName name="LineLossShapeTab">[2]ProData!$F$12</definedName>
    <definedName name="LinkedWorkbooks" localSheetId="9">'RTF Summary COMBI'!$B$15</definedName>
    <definedName name="LinkedWorkbooks" localSheetId="10">'RTF Summary Conv'!$B$15</definedName>
    <definedName name="LookupTable" localSheetId="19">[2]LookupTable!$1:$1048576</definedName>
    <definedName name="LookupTable">[8]LookupTable!$1:$1048576</definedName>
    <definedName name="Machine_Electric_Savings">'[6]SavingsData&amp;Analysis'!$P$25</definedName>
    <definedName name="MargCarbonCostTab">[2]ProData!$F$11</definedName>
    <definedName name="MargCostTab">[2]ProData!$F$5</definedName>
    <definedName name="MassWater">'[6]Supplemental Analysis Data'!$F$73</definedName>
    <definedName name="MaxLoadWtLookup">'[6]Supplemental Analysis Data'!$B$86:$C$116</definedName>
    <definedName name="MeasureOutput">'Measure InputOutput_Out'!$A$4:$N$8</definedName>
    <definedName name="MeasureOutputR">'Measure InputOutput_Out'!$A$4:$AM$8</definedName>
    <definedName name="Method" localSheetId="19">[2]ValidationLists!$C$2:$C$6</definedName>
    <definedName name="Method">[7]ValidationLists!$C$2:$C$6</definedName>
    <definedName name="OutputLookup">[9]WaterHeaters!$A$67:$CW$79</definedName>
    <definedName name="OutputRange" localSheetId="19">'[2]ProCost 6th Plan Inputs'!$G$58</definedName>
    <definedName name="OutputRange">'[7]ProCost 6th Plan Inputs'!$G$58</definedName>
    <definedName name="OutSCurve">'Measure InputOutput'!$A$56:$AL$83</definedName>
    <definedName name="PC_Main" localSheetId="15">'Conv Cost'!PC_Main</definedName>
    <definedName name="PC_Main" localSheetId="19">'CostData&amp;Analysis'!PC_Main</definedName>
    <definedName name="PC_Main" localSheetId="1">forRPM!PC_Main</definedName>
    <definedName name="PC_Main">[0]!PC_Main</definedName>
    <definedName name="Population">'[10]Pop Forecast (Base Case)'!$B$5:$BC$10</definedName>
    <definedName name="pp">[2]ValidationLists!$E$2:$E$5</definedName>
    <definedName name="Procedure" localSheetId="19">[2]ValidationLists!$E$2:$E$5</definedName>
    <definedName name="Procedure">[7]ValidationLists!$E$2:$E$5</definedName>
    <definedName name="Response" localSheetId="19">[2]ValidationLists!$F$2:$F$4</definedName>
    <definedName name="Response">[7]ValidationLists!$F$2:$F$4</definedName>
    <definedName name="SaveShapeTab">[2]ProData!$F$6</definedName>
    <definedName name="SCNR">'SC-NR'!$A$52:$Y$56</definedName>
    <definedName name="SECTOR_INPUTS" localSheetId="19">'[2]ProCost 6th Plan Inputs'!$A$1:$K$50</definedName>
    <definedName name="SECTOR_INPUTS">'[8]ProCost 6th Plan Inputs'!$A$1:$K$50</definedName>
    <definedName name="SpecificHt">'[6]Supplemental Analysis Data'!$F$72</definedName>
    <definedName name="TDCred">[11]ProData!#REF!</definedName>
    <definedName name="V_POST2013">[5]CHAR!$B$13:$T$52</definedName>
    <definedName name="V_PRE2013">[5]CHAR!$B$61:$T$100</definedName>
    <definedName name="WaterTreatment_Electric_Savings">'[6]SavingsData&amp;Analysis'!$W$25</definedName>
  </definedNames>
  <calcPr calcId="125725"/>
</workbook>
</file>

<file path=xl/calcChain.xml><?xml version="1.0" encoding="utf-8"?>
<calcChain xmlns="http://schemas.openxmlformats.org/spreadsheetml/2006/main">
  <c r="D9" i="6"/>
  <c r="D8"/>
  <c r="C6" i="24" l="1"/>
  <c r="D6" s="1"/>
  <c r="E6" s="1"/>
  <c r="B6"/>
  <c r="C5"/>
  <c r="D5" s="1"/>
  <c r="E5" s="1"/>
  <c r="B5"/>
  <c r="C4"/>
  <c r="D4" s="1"/>
  <c r="E4" s="1"/>
  <c r="B4"/>
  <c r="K11" i="23"/>
  <c r="J7" l="1"/>
  <c r="AZ7" s="1"/>
  <c r="J6"/>
  <c r="AY6" s="1"/>
  <c r="C3"/>
  <c r="C4" s="1"/>
  <c r="B3"/>
  <c r="B4" s="1"/>
  <c r="B5" s="1"/>
  <c r="B6" s="1"/>
  <c r="AD2"/>
  <c r="AC2"/>
  <c r="AB2"/>
  <c r="AA2"/>
  <c r="Z2"/>
  <c r="Y2"/>
  <c r="X2"/>
  <c r="W2"/>
  <c r="V2"/>
  <c r="U2"/>
  <c r="T2"/>
  <c r="S2"/>
  <c r="R2"/>
  <c r="Q2"/>
  <c r="P2"/>
  <c r="O2"/>
  <c r="N2"/>
  <c r="M2"/>
  <c r="L2"/>
  <c r="K2"/>
  <c r="D135" i="6"/>
  <c r="D134"/>
  <c r="AY7" i="23" l="1"/>
  <c r="AS7"/>
  <c r="AI7"/>
  <c r="BD7"/>
  <c r="F7"/>
  <c r="AN7"/>
  <c r="AM6"/>
  <c r="AF7"/>
  <c r="AK7"/>
  <c r="AQ7"/>
  <c r="AV7"/>
  <c r="BA7"/>
  <c r="AQ6"/>
  <c r="AG7"/>
  <c r="AM7"/>
  <c r="AR7"/>
  <c r="AW7"/>
  <c r="BC7"/>
  <c r="F6"/>
  <c r="BB7"/>
  <c r="AJ7"/>
  <c r="AO7"/>
  <c r="AU7"/>
  <c r="A4"/>
  <c r="C5"/>
  <c r="BA6"/>
  <c r="BC6"/>
  <c r="AU6"/>
  <c r="AI6"/>
  <c r="B7"/>
  <c r="A3"/>
  <c r="AF6"/>
  <c r="AJ6"/>
  <c r="AN6"/>
  <c r="AR6"/>
  <c r="AV6"/>
  <c r="AZ6"/>
  <c r="BD6"/>
  <c r="AH7"/>
  <c r="AL7"/>
  <c r="AP7"/>
  <c r="AT7"/>
  <c r="AX7"/>
  <c r="AH6"/>
  <c r="AL6"/>
  <c r="AP6"/>
  <c r="AT6"/>
  <c r="AX6"/>
  <c r="BB6"/>
  <c r="AG6"/>
  <c r="AK6"/>
  <c r="AO6"/>
  <c r="AS6"/>
  <c r="AW6"/>
  <c r="D55" i="6"/>
  <c r="D56"/>
  <c r="A5" i="23" l="1"/>
  <c r="C6"/>
  <c r="C8" i="6"/>
  <c r="A9" s="1"/>
  <c r="C9"/>
  <c r="E6" i="23" l="1"/>
  <c r="E4"/>
  <c r="E3"/>
  <c r="E7"/>
  <c r="E5"/>
  <c r="C7"/>
  <c r="A7" s="1"/>
  <c r="A6"/>
  <c r="H32" i="5"/>
  <c r="H33" s="1"/>
  <c r="H34" s="1"/>
  <c r="H31"/>
  <c r="H30"/>
  <c r="B25" i="20" l="1"/>
  <c r="J25" s="1"/>
  <c r="B24"/>
  <c r="I24" s="1"/>
  <c r="I27" s="1"/>
  <c r="I30" s="1"/>
  <c r="K22"/>
  <c r="J22"/>
  <c r="I22"/>
  <c r="H22"/>
  <c r="G22"/>
  <c r="F22"/>
  <c r="E22"/>
  <c r="D22"/>
  <c r="C22"/>
  <c r="B22"/>
  <c r="D60" i="19"/>
  <c r="D44"/>
  <c r="E37"/>
  <c r="B24"/>
  <c r="B16"/>
  <c r="B14"/>
  <c r="K24" i="20" l="1"/>
  <c r="K33" s="1"/>
  <c r="K31" s="1"/>
  <c r="E25"/>
  <c r="K25"/>
  <c r="G24"/>
  <c r="G27" s="1"/>
  <c r="G30" s="1"/>
  <c r="D25"/>
  <c r="I25"/>
  <c r="I33" s="1"/>
  <c r="I31" s="1"/>
  <c r="G25"/>
  <c r="C24"/>
  <c r="C25"/>
  <c r="H25"/>
  <c r="F24"/>
  <c r="F27" s="1"/>
  <c r="F30" s="1"/>
  <c r="B27"/>
  <c r="B30" s="1"/>
  <c r="B32" s="1"/>
  <c r="B33"/>
  <c r="E24"/>
  <c r="E27" s="1"/>
  <c r="E30" s="1"/>
  <c r="D24"/>
  <c r="D27" s="1"/>
  <c r="D30" s="1"/>
  <c r="D32" s="1"/>
  <c r="H24"/>
  <c r="H27" s="1"/>
  <c r="H30" s="1"/>
  <c r="H32" s="1"/>
  <c r="F25"/>
  <c r="J24"/>
  <c r="J27" s="1"/>
  <c r="J30" s="1"/>
  <c r="J32" s="1"/>
  <c r="H33" l="1"/>
  <c r="D33"/>
  <c r="E32"/>
  <c r="D34" s="1"/>
  <c r="G32"/>
  <c r="C33"/>
  <c r="C31" s="1"/>
  <c r="C27"/>
  <c r="C30" s="1"/>
  <c r="C32" s="1"/>
  <c r="B34" s="1"/>
  <c r="F33"/>
  <c r="I32"/>
  <c r="H34" s="1"/>
  <c r="K27"/>
  <c r="K30" s="1"/>
  <c r="K32" s="1"/>
  <c r="J34" s="1"/>
  <c r="G33"/>
  <c r="G31" s="1"/>
  <c r="B31"/>
  <c r="H35"/>
  <c r="H31"/>
  <c r="F32"/>
  <c r="J33"/>
  <c r="E33"/>
  <c r="E31" s="1"/>
  <c r="F31"/>
  <c r="D35" l="1"/>
  <c r="D31"/>
  <c r="B35"/>
  <c r="F35"/>
  <c r="F36" s="1"/>
  <c r="F34"/>
  <c r="J35"/>
  <c r="J31"/>
  <c r="H36"/>
  <c r="H37"/>
  <c r="D37"/>
  <c r="D36"/>
  <c r="B36"/>
  <c r="B37"/>
  <c r="F37" l="1"/>
  <c r="J36"/>
  <c r="J37"/>
  <c r="D50" i="18" l="1"/>
  <c r="D34"/>
  <c r="E29"/>
  <c r="B24"/>
  <c r="B16"/>
  <c r="B14"/>
  <c r="D59" i="17" l="1"/>
  <c r="D43"/>
  <c r="E37"/>
  <c r="B24"/>
  <c r="B16"/>
  <c r="B14"/>
  <c r="A13" i="3" l="1"/>
  <c r="A11"/>
  <c r="Y28" i="6" l="1"/>
  <c r="C24" i="8" l="1"/>
  <c r="C23"/>
  <c r="G5" i="16"/>
  <c r="G4"/>
  <c r="F6"/>
  <c r="F5"/>
  <c r="F4"/>
  <c r="C5"/>
  <c r="D5" s="1"/>
  <c r="E5" s="1"/>
  <c r="B5"/>
  <c r="D4"/>
  <c r="E4" s="1"/>
  <c r="C4"/>
  <c r="B4"/>
  <c r="C17" i="8" l="1"/>
  <c r="C16"/>
  <c r="H5" i="15"/>
  <c r="H4"/>
  <c r="G7"/>
  <c r="G5"/>
  <c r="G4"/>
  <c r="G50"/>
  <c r="G49"/>
  <c r="G48"/>
  <c r="G47"/>
  <c r="G46"/>
  <c r="G45"/>
  <c r="G44"/>
  <c r="G43"/>
  <c r="G42"/>
  <c r="G41"/>
  <c r="G40"/>
  <c r="G39"/>
  <c r="G38"/>
  <c r="G37"/>
  <c r="G36"/>
  <c r="G35"/>
  <c r="G34"/>
  <c r="G33"/>
  <c r="G32"/>
  <c r="G31"/>
  <c r="G30"/>
  <c r="G29"/>
  <c r="G28"/>
  <c r="G27"/>
  <c r="G26"/>
  <c r="D6" s="1"/>
  <c r="E6" s="1"/>
  <c r="F6" s="1"/>
  <c r="G25"/>
  <c r="G24"/>
  <c r="G23"/>
  <c r="G22"/>
  <c r="G21"/>
  <c r="G20"/>
  <c r="G19"/>
  <c r="G18"/>
  <c r="G17"/>
  <c r="G16"/>
  <c r="G15"/>
  <c r="G14"/>
  <c r="G13"/>
  <c r="C6" s="1"/>
  <c r="G12"/>
  <c r="G11"/>
  <c r="B6"/>
  <c r="D5"/>
  <c r="E5" s="1"/>
  <c r="F5" s="1"/>
  <c r="C5"/>
  <c r="B5"/>
  <c r="D4"/>
  <c r="E4" s="1"/>
  <c r="F4" s="1"/>
  <c r="C4"/>
  <c r="B4"/>
  <c r="G9" i="14" l="1"/>
  <c r="G5"/>
  <c r="C10" i="8" s="1"/>
  <c r="G6" i="14"/>
  <c r="C11" i="8" s="1"/>
  <c r="G7" i="14"/>
  <c r="G8"/>
  <c r="G4"/>
  <c r="C9" i="8" s="1"/>
  <c r="C12"/>
  <c r="C13"/>
  <c r="C6"/>
  <c r="C5"/>
  <c r="F5" i="14"/>
  <c r="F6"/>
  <c r="F7"/>
  <c r="F8"/>
  <c r="F4"/>
  <c r="F9" s="1"/>
  <c r="G64"/>
  <c r="D64"/>
  <c r="G63"/>
  <c r="D63"/>
  <c r="G62"/>
  <c r="E62"/>
  <c r="B9" s="1"/>
  <c r="D9" s="1"/>
  <c r="E9" s="1"/>
  <c r="G61"/>
  <c r="D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G20"/>
  <c r="G19"/>
  <c r="G18"/>
  <c r="G17"/>
  <c r="G16"/>
  <c r="G15"/>
  <c r="G14"/>
  <c r="C9"/>
  <c r="C8"/>
  <c r="D7"/>
  <c r="E7" s="1"/>
  <c r="C7"/>
  <c r="B7"/>
  <c r="D6"/>
  <c r="E6" s="1"/>
  <c r="C6"/>
  <c r="B6"/>
  <c r="D5"/>
  <c r="E5" s="1"/>
  <c r="C5"/>
  <c r="B5"/>
  <c r="D4"/>
  <c r="E4" s="1"/>
  <c r="C4"/>
  <c r="B4"/>
  <c r="D41" i="13"/>
  <c r="D40"/>
  <c r="D42" s="1"/>
  <c r="D38"/>
  <c r="D37"/>
  <c r="D35"/>
  <c r="D34"/>
  <c r="D36" s="1"/>
  <c r="C5"/>
  <c r="D5" s="1"/>
  <c r="E5" s="1"/>
  <c r="B5"/>
  <c r="C4"/>
  <c r="D4" s="1"/>
  <c r="E4" s="1"/>
  <c r="B4"/>
  <c r="E35" l="1"/>
  <c r="E34"/>
  <c r="E40"/>
  <c r="E41"/>
  <c r="D39"/>
  <c r="E38" s="1"/>
  <c r="B8" i="14"/>
  <c r="D8" s="1"/>
  <c r="E8" s="1"/>
  <c r="E37" i="13" l="1"/>
  <c r="B18" i="6" l="1"/>
  <c r="B17"/>
  <c r="B14"/>
  <c r="B19" s="1"/>
  <c r="B16"/>
  <c r="B15"/>
  <c r="D59" i="11" l="1"/>
  <c r="D43"/>
  <c r="E37"/>
  <c r="B16"/>
  <c r="B14"/>
  <c r="D60" i="9" l="1"/>
  <c r="D44"/>
  <c r="E37"/>
  <c r="B16"/>
  <c r="B14"/>
  <c r="H9" i="3" l="1"/>
  <c r="B8"/>
  <c r="F8"/>
  <c r="B9"/>
  <c r="F9"/>
  <c r="B10"/>
  <c r="F10"/>
  <c r="B11"/>
  <c r="F11"/>
  <c r="B12"/>
  <c r="F12"/>
  <c r="B13"/>
  <c r="F13"/>
  <c r="B14"/>
  <c r="F14"/>
  <c r="A9"/>
  <c r="A10"/>
  <c r="A12"/>
  <c r="A14"/>
  <c r="A8"/>
  <c r="G50" i="5"/>
  <c r="G13" i="7" s="1"/>
  <c r="D8"/>
  <c r="D8" i="3" s="1"/>
  <c r="E8" i="7"/>
  <c r="E8" i="3" s="1"/>
  <c r="G8" i="7"/>
  <c r="H8"/>
  <c r="H8" i="3" s="1"/>
  <c r="H9" i="7"/>
  <c r="H10"/>
  <c r="H10" i="3" s="1"/>
  <c r="D11" i="7"/>
  <c r="D11" i="3" s="1"/>
  <c r="E11" i="7"/>
  <c r="E11" i="3" s="1"/>
  <c r="G11" i="7"/>
  <c r="H11"/>
  <c r="H11" i="3" s="1"/>
  <c r="C8" i="7"/>
  <c r="C8" i="3" s="1"/>
  <c r="B33" i="7"/>
  <c r="B34"/>
  <c r="B35"/>
  <c r="B36"/>
  <c r="B32"/>
  <c r="D51" i="5"/>
  <c r="D14" i="7" s="1"/>
  <c r="D14" i="3" s="1"/>
  <c r="E51" i="5"/>
  <c r="E14" i="7" s="1"/>
  <c r="E14" i="3" s="1"/>
  <c r="F51" i="5"/>
  <c r="H51"/>
  <c r="H14" i="7" s="1"/>
  <c r="H14" i="3" s="1"/>
  <c r="C51" i="5"/>
  <c r="C14" i="7" s="1"/>
  <c r="C14" i="3" s="1"/>
  <c r="D50" i="5"/>
  <c r="D13" i="7" s="1"/>
  <c r="D13" i="3" s="1"/>
  <c r="E50" i="5"/>
  <c r="E13" i="7" s="1"/>
  <c r="E13" i="3" s="1"/>
  <c r="F50" i="5"/>
  <c r="H50"/>
  <c r="H13" i="7" s="1"/>
  <c r="H13" i="3" s="1"/>
  <c r="C50" i="5"/>
  <c r="C13" i="7" s="1"/>
  <c r="C13" i="3" s="1"/>
  <c r="B38" i="5"/>
  <c r="C38"/>
  <c r="D38"/>
  <c r="E38"/>
  <c r="F38"/>
  <c r="G38"/>
  <c r="H38"/>
  <c r="B39"/>
  <c r="C39"/>
  <c r="D39"/>
  <c r="E39"/>
  <c r="F39"/>
  <c r="G39"/>
  <c r="H39"/>
  <c r="A39"/>
  <c r="A38"/>
  <c r="D49"/>
  <c r="D12" i="7" s="1"/>
  <c r="D12" i="3" s="1"/>
  <c r="H49" i="5"/>
  <c r="H12" i="7" s="1"/>
  <c r="H12" i="3" s="1"/>
  <c r="F49" i="5"/>
  <c r="E49"/>
  <c r="E12" i="7" s="1"/>
  <c r="E12" i="3" s="1"/>
  <c r="C49" i="5"/>
  <c r="C12" i="7" s="1"/>
  <c r="C12" i="3" s="1"/>
  <c r="C36" i="5"/>
  <c r="D36"/>
  <c r="E36"/>
  <c r="F36"/>
  <c r="G36"/>
  <c r="H36"/>
  <c r="C37"/>
  <c r="D37"/>
  <c r="E37"/>
  <c r="F37"/>
  <c r="G37"/>
  <c r="H37"/>
  <c r="B36"/>
  <c r="B37"/>
  <c r="A37"/>
  <c r="A36"/>
  <c r="G10" i="6"/>
  <c r="H10" s="1"/>
  <c r="I10" s="1"/>
  <c r="J10" s="1"/>
  <c r="K10" s="1"/>
  <c r="L10" s="1"/>
  <c r="M10" s="1"/>
  <c r="N10" s="1"/>
  <c r="O10" s="1"/>
  <c r="P10" s="1"/>
  <c r="Q10" s="1"/>
  <c r="R10" s="1"/>
  <c r="S10" s="1"/>
  <c r="T10" s="1"/>
  <c r="U10" s="1"/>
  <c r="V10" s="1"/>
  <c r="W10" s="1"/>
  <c r="X10" s="1"/>
  <c r="F10"/>
  <c r="G47" i="5" l="1"/>
  <c r="E47"/>
  <c r="E10" i="7" s="1"/>
  <c r="E10" i="3" s="1"/>
  <c r="C47" i="5"/>
  <c r="C10" i="7" s="1"/>
  <c r="C10" i="3" s="1"/>
  <c r="D48" i="5"/>
  <c r="E48"/>
  <c r="F48"/>
  <c r="G48"/>
  <c r="H48"/>
  <c r="D47"/>
  <c r="D10" i="7" s="1"/>
  <c r="D10" i="3" s="1"/>
  <c r="C48" i="5"/>
  <c r="C11" i="7" s="1"/>
  <c r="C11" i="3" s="1"/>
  <c r="B30" i="5"/>
  <c r="C30"/>
  <c r="D30"/>
  <c r="E30"/>
  <c r="F30"/>
  <c r="G30"/>
  <c r="B31"/>
  <c r="C31"/>
  <c r="D31"/>
  <c r="E31"/>
  <c r="F31"/>
  <c r="G31"/>
  <c r="B32"/>
  <c r="C32"/>
  <c r="D32"/>
  <c r="E32"/>
  <c r="F32"/>
  <c r="G32"/>
  <c r="B33"/>
  <c r="C33"/>
  <c r="D33"/>
  <c r="E33"/>
  <c r="F33"/>
  <c r="G33"/>
  <c r="B34"/>
  <c r="C34"/>
  <c r="D34"/>
  <c r="E34"/>
  <c r="F34"/>
  <c r="G34"/>
  <c r="A34"/>
  <c r="A33"/>
  <c r="A32"/>
  <c r="A31"/>
  <c r="A30"/>
  <c r="G46"/>
  <c r="G9" i="7" s="1"/>
  <c r="D46" i="5"/>
  <c r="D9" i="7" s="1"/>
  <c r="D9" i="3" s="1"/>
  <c r="E46" i="5"/>
  <c r="E9" i="7" s="1"/>
  <c r="E9" i="3" s="1"/>
  <c r="C46" i="5"/>
  <c r="C9" i="7" s="1"/>
  <c r="C9" i="3" s="1"/>
  <c r="D45" i="5"/>
  <c r="E45"/>
  <c r="F45"/>
  <c r="G45"/>
  <c r="C45"/>
  <c r="G10" i="7" l="1"/>
  <c r="G49" i="5"/>
  <c r="G51" l="1"/>
  <c r="G14" i="7" s="1"/>
  <c r="G12"/>
  <c r="C24" i="6"/>
  <c r="C30" s="1"/>
  <c r="C25"/>
  <c r="C31" s="1"/>
  <c r="C26"/>
  <c r="C32" s="1"/>
  <c r="C27"/>
  <c r="C33" s="1"/>
  <c r="C23"/>
  <c r="C29" s="1"/>
  <c r="C46" l="1"/>
  <c r="C43"/>
  <c r="C44"/>
  <c r="C45"/>
  <c r="C42"/>
  <c r="C37"/>
  <c r="D53" s="1"/>
  <c r="J4" i="23" s="1"/>
  <c r="C38" i="6"/>
  <c r="D54" s="1"/>
  <c r="J5" i="23" s="1"/>
  <c r="C39" i="6"/>
  <c r="C40"/>
  <c r="C36"/>
  <c r="D52" s="1"/>
  <c r="B52" l="1"/>
  <c r="H3" i="23" s="1"/>
  <c r="J3"/>
  <c r="AU4"/>
  <c r="AP4"/>
  <c r="BC4"/>
  <c r="AM4"/>
  <c r="AI4"/>
  <c r="AQ4"/>
  <c r="F4"/>
  <c r="AY4"/>
  <c r="AT4"/>
  <c r="AK4"/>
  <c r="BA4"/>
  <c r="AN4"/>
  <c r="BD4"/>
  <c r="AL4"/>
  <c r="AG4"/>
  <c r="AW4"/>
  <c r="AJ4"/>
  <c r="AZ4"/>
  <c r="AH4"/>
  <c r="BB4"/>
  <c r="AS4"/>
  <c r="AF4"/>
  <c r="AV4"/>
  <c r="AX4"/>
  <c r="AO4"/>
  <c r="AR4"/>
  <c r="BD5"/>
  <c r="AQ5"/>
  <c r="AJ5"/>
  <c r="AG5"/>
  <c r="BC5"/>
  <c r="AN5"/>
  <c r="AT5"/>
  <c r="BA5"/>
  <c r="F5"/>
  <c r="AZ5"/>
  <c r="AW5"/>
  <c r="AI5"/>
  <c r="AP5"/>
  <c r="AK5"/>
  <c r="AF5"/>
  <c r="AU5"/>
  <c r="AR5"/>
  <c r="BB5"/>
  <c r="AY5"/>
  <c r="AL5"/>
  <c r="AV5"/>
  <c r="AO5"/>
  <c r="AM5"/>
  <c r="AS5"/>
  <c r="AH5"/>
  <c r="AX5"/>
  <c r="B56" i="6"/>
  <c r="H7" i="23" s="1"/>
  <c r="BA3" l="1"/>
  <c r="AV3"/>
  <c r="AQ3"/>
  <c r="AK3"/>
  <c r="AF3"/>
  <c r="BC3"/>
  <c r="BD3"/>
  <c r="AY3"/>
  <c r="AS3"/>
  <c r="AN3"/>
  <c r="AI3"/>
  <c r="F3"/>
  <c r="AR3"/>
  <c r="AG3"/>
  <c r="AZ3"/>
  <c r="AU3"/>
  <c r="AO3"/>
  <c r="AJ3"/>
  <c r="BB3"/>
  <c r="AW3"/>
  <c r="AM3"/>
  <c r="AT3"/>
  <c r="AP3"/>
  <c r="AL3"/>
  <c r="AH3"/>
  <c r="AX3"/>
  <c r="B54" i="6"/>
  <c r="H5" i="23" s="1"/>
  <c r="B55" i="6"/>
  <c r="H6" i="23" s="1"/>
  <c r="A55" i="6"/>
  <c r="G6" i="23" s="1"/>
  <c r="A54" i="6"/>
  <c r="G5" i="23" s="1"/>
  <c r="B53" i="6"/>
  <c r="H4" i="23" s="1"/>
  <c r="A56" i="6"/>
  <c r="G7" i="23" s="1"/>
  <c r="O9" i="7"/>
  <c r="P9"/>
  <c r="O10"/>
  <c r="P10"/>
  <c r="O11"/>
  <c r="P11"/>
  <c r="O12"/>
  <c r="P12"/>
  <c r="O13"/>
  <c r="P13"/>
  <c r="O14"/>
  <c r="P14"/>
  <c r="O8"/>
  <c r="P8"/>
  <c r="A53" i="6" l="1"/>
  <c r="G4" i="23" s="1"/>
  <c r="A52" i="6"/>
  <c r="G3" i="23" s="1"/>
  <c r="E11" i="6" l="1"/>
  <c r="D99"/>
  <c r="C49"/>
  <c r="B4" i="2"/>
  <c r="B5"/>
  <c r="B6"/>
  <c r="B3"/>
  <c r="F11" i="6" l="1"/>
  <c r="F50" s="1"/>
  <c r="F62" s="1"/>
  <c r="F99" s="1"/>
  <c r="E51"/>
  <c r="E12"/>
  <c r="E50"/>
  <c r="E62" s="1"/>
  <c r="E99" s="1"/>
  <c r="E21"/>
  <c r="C22"/>
  <c r="B2" i="3"/>
  <c r="E63" i="6" l="1"/>
  <c r="E100" s="1"/>
  <c r="C35"/>
  <c r="F12"/>
  <c r="G11"/>
  <c r="F51"/>
  <c r="F21"/>
  <c r="E35" l="1"/>
  <c r="F35"/>
  <c r="G35"/>
  <c r="F63"/>
  <c r="F100" s="1"/>
  <c r="H11"/>
  <c r="H35" s="1"/>
  <c r="G51"/>
  <c r="G21"/>
  <c r="G12"/>
  <c r="G50"/>
  <c r="G62" s="1"/>
  <c r="G99" s="1"/>
  <c r="I11" l="1"/>
  <c r="I35" s="1"/>
  <c r="H51"/>
  <c r="G63"/>
  <c r="G100" s="1"/>
  <c r="H50"/>
  <c r="H62" s="1"/>
  <c r="H99" s="1"/>
  <c r="H12"/>
  <c r="H21"/>
  <c r="I50" l="1"/>
  <c r="I62" s="1"/>
  <c r="I99" s="1"/>
  <c r="I12"/>
  <c r="J11"/>
  <c r="J35" s="1"/>
  <c r="I51"/>
  <c r="H63"/>
  <c r="H100" s="1"/>
  <c r="I21"/>
  <c r="J12" l="1"/>
  <c r="K11"/>
  <c r="K35" s="1"/>
  <c r="J51"/>
  <c r="I63"/>
  <c r="I100" s="1"/>
  <c r="J50"/>
  <c r="J62" s="1"/>
  <c r="J99" s="1"/>
  <c r="J21"/>
  <c r="K21" l="1"/>
  <c r="K50"/>
  <c r="K62" s="1"/>
  <c r="K99" s="1"/>
  <c r="L11"/>
  <c r="L35" s="1"/>
  <c r="K51"/>
  <c r="J63"/>
  <c r="J100" s="1"/>
  <c r="K12"/>
  <c r="L50" l="1"/>
  <c r="L62" s="1"/>
  <c r="L99" s="1"/>
  <c r="L21"/>
  <c r="M11"/>
  <c r="M35" s="1"/>
  <c r="L51"/>
  <c r="K63"/>
  <c r="K100" s="1"/>
  <c r="L12"/>
  <c r="M50" l="1"/>
  <c r="M62" s="1"/>
  <c r="M99" s="1"/>
  <c r="N11"/>
  <c r="N35" s="1"/>
  <c r="M51"/>
  <c r="L63"/>
  <c r="L100" s="1"/>
  <c r="M12"/>
  <c r="M21"/>
  <c r="N12" l="1"/>
  <c r="N50"/>
  <c r="N62" s="1"/>
  <c r="N99" s="1"/>
  <c r="N21"/>
  <c r="M63"/>
  <c r="M100" s="1"/>
  <c r="O11"/>
  <c r="O35" s="1"/>
  <c r="N51"/>
  <c r="O21" l="1"/>
  <c r="O12"/>
  <c r="O50"/>
  <c r="O62" s="1"/>
  <c r="O99" s="1"/>
  <c r="N63"/>
  <c r="N100" s="1"/>
  <c r="P11"/>
  <c r="P35" s="1"/>
  <c r="O51"/>
  <c r="P21" l="1"/>
  <c r="P50"/>
  <c r="P62" s="1"/>
  <c r="P99" s="1"/>
  <c r="Q11"/>
  <c r="P51"/>
  <c r="O63"/>
  <c r="O100" s="1"/>
  <c r="P12"/>
  <c r="Q50" l="1"/>
  <c r="Q62" s="1"/>
  <c r="Q99" s="1"/>
  <c r="Q35"/>
  <c r="Q12"/>
  <c r="R11"/>
  <c r="R35" s="1"/>
  <c r="Q51"/>
  <c r="P63"/>
  <c r="P100" s="1"/>
  <c r="Q21"/>
  <c r="R12" l="1"/>
  <c r="Q63"/>
  <c r="Q100" s="1"/>
  <c r="R50"/>
  <c r="R62" s="1"/>
  <c r="R99" s="1"/>
  <c r="S11"/>
  <c r="S35" s="1"/>
  <c r="R51"/>
  <c r="R21"/>
  <c r="S21" l="1"/>
  <c r="S12"/>
  <c r="S50"/>
  <c r="S62" s="1"/>
  <c r="S99" s="1"/>
  <c r="R63"/>
  <c r="R100" s="1"/>
  <c r="T11"/>
  <c r="T35" s="1"/>
  <c r="S51"/>
  <c r="T21" l="1"/>
  <c r="T12"/>
  <c r="T50"/>
  <c r="T62" s="1"/>
  <c r="T99" s="1"/>
  <c r="U11"/>
  <c r="T51"/>
  <c r="S63"/>
  <c r="S100" s="1"/>
  <c r="U21" l="1"/>
  <c r="U35"/>
  <c r="U50"/>
  <c r="U62" s="1"/>
  <c r="U99" s="1"/>
  <c r="U12"/>
  <c r="T63"/>
  <c r="T100" s="1"/>
  <c r="V11"/>
  <c r="V35" s="1"/>
  <c r="U51"/>
  <c r="V21" l="1"/>
  <c r="V12"/>
  <c r="W11"/>
  <c r="W35" s="1"/>
  <c r="V51"/>
  <c r="V50"/>
  <c r="V62" s="1"/>
  <c r="V99" s="1"/>
  <c r="U63"/>
  <c r="U100" s="1"/>
  <c r="W12" l="1"/>
  <c r="V63"/>
  <c r="V100" s="1"/>
  <c r="W50"/>
  <c r="W62" s="1"/>
  <c r="W99" s="1"/>
  <c r="X11"/>
  <c r="X35" s="1"/>
  <c r="W51"/>
  <c r="W21"/>
  <c r="X51" l="1"/>
  <c r="X12"/>
  <c r="X21"/>
  <c r="X50"/>
  <c r="X62" s="1"/>
  <c r="X99" s="1"/>
  <c r="W63"/>
  <c r="W100" s="1"/>
  <c r="X63" l="1"/>
  <c r="X100" s="1"/>
  <c r="F13" l="1"/>
  <c r="G13"/>
  <c r="H13"/>
  <c r="I13"/>
  <c r="J13"/>
  <c r="K13"/>
  <c r="L13"/>
  <c r="M13"/>
  <c r="N13"/>
  <c r="O13"/>
  <c r="P13"/>
  <c r="Q13"/>
  <c r="R13"/>
  <c r="S13"/>
  <c r="T13"/>
  <c r="U13"/>
  <c r="V13"/>
  <c r="W13"/>
  <c r="X13"/>
  <c r="E13"/>
  <c r="A14" l="1"/>
  <c r="E14" s="1"/>
  <c r="A17"/>
  <c r="A15"/>
  <c r="A16"/>
  <c r="E16" s="1"/>
  <c r="A18"/>
  <c r="V16" l="1"/>
  <c r="L16"/>
  <c r="J16"/>
  <c r="N16"/>
  <c r="Q16"/>
  <c r="W16"/>
  <c r="H16"/>
  <c r="U16"/>
  <c r="G16"/>
  <c r="F16"/>
  <c r="P16"/>
  <c r="I16"/>
  <c r="T16"/>
  <c r="R16"/>
  <c r="O16"/>
  <c r="X16"/>
  <c r="M16"/>
  <c r="S16"/>
  <c r="K16"/>
  <c r="M17"/>
  <c r="U17"/>
  <c r="R17"/>
  <c r="L17"/>
  <c r="W17"/>
  <c r="K17"/>
  <c r="J17"/>
  <c r="X17"/>
  <c r="V17"/>
  <c r="O17"/>
  <c r="P17"/>
  <c r="H17"/>
  <c r="N17"/>
  <c r="Q17"/>
  <c r="S17"/>
  <c r="F17"/>
  <c r="I17"/>
  <c r="T17"/>
  <c r="G17"/>
  <c r="J18"/>
  <c r="G18"/>
  <c r="T18"/>
  <c r="F18"/>
  <c r="H18"/>
  <c r="P18"/>
  <c r="Q18"/>
  <c r="S18"/>
  <c r="R18"/>
  <c r="W18"/>
  <c r="U18"/>
  <c r="X18"/>
  <c r="M18"/>
  <c r="V18"/>
  <c r="L18"/>
  <c r="I18"/>
  <c r="O18"/>
  <c r="N18"/>
  <c r="K18"/>
  <c r="E15"/>
  <c r="L15"/>
  <c r="X15"/>
  <c r="G15"/>
  <c r="P15"/>
  <c r="N15"/>
  <c r="I15"/>
  <c r="H15"/>
  <c r="S15"/>
  <c r="W15"/>
  <c r="T15"/>
  <c r="J15"/>
  <c r="Q15"/>
  <c r="R15"/>
  <c r="M15"/>
  <c r="U15"/>
  <c r="V15"/>
  <c r="O15"/>
  <c r="F15"/>
  <c r="K15"/>
  <c r="S14"/>
  <c r="V14"/>
  <c r="M14"/>
  <c r="Q14"/>
  <c r="N14"/>
  <c r="P14"/>
  <c r="G14"/>
  <c r="H14"/>
  <c r="W14"/>
  <c r="F14"/>
  <c r="T14"/>
  <c r="I14"/>
  <c r="L14"/>
  <c r="O14"/>
  <c r="J14"/>
  <c r="K14"/>
  <c r="R14"/>
  <c r="X14"/>
  <c r="U14"/>
  <c r="E17"/>
  <c r="E18"/>
  <c r="A24" l="1"/>
  <c r="A23"/>
  <c r="B24"/>
  <c r="A27"/>
  <c r="B25"/>
  <c r="B26"/>
  <c r="B27"/>
  <c r="A25"/>
  <c r="B23"/>
  <c r="A26"/>
  <c r="Y24" l="1"/>
  <c r="Y30" s="1"/>
  <c r="X24"/>
  <c r="X37" s="1"/>
  <c r="X53" s="1"/>
  <c r="AD4" i="23" s="1"/>
  <c r="I24" i="6"/>
  <c r="I37" s="1"/>
  <c r="I53" s="1"/>
  <c r="O4" i="23" s="1"/>
  <c r="Q24" i="6"/>
  <c r="Q37" s="1"/>
  <c r="Q53" s="1"/>
  <c r="W4" i="23" s="1"/>
  <c r="AC15" i="6"/>
  <c r="W24"/>
  <c r="W37" s="1"/>
  <c r="W53" s="1"/>
  <c r="AC4" i="23" s="1"/>
  <c r="V24" i="6"/>
  <c r="V37" s="1"/>
  <c r="V53" s="1"/>
  <c r="AB4" i="23" s="1"/>
  <c r="K24" i="6"/>
  <c r="K37" s="1"/>
  <c r="K53" s="1"/>
  <c r="Q4" i="23" s="1"/>
  <c r="U24" i="6"/>
  <c r="U37" s="1"/>
  <c r="U53" s="1"/>
  <c r="AA4" i="23" s="1"/>
  <c r="R24" i="6"/>
  <c r="R37" s="1"/>
  <c r="R53" s="1"/>
  <c r="X4" i="23" s="1"/>
  <c r="F24" i="6"/>
  <c r="F37" s="1"/>
  <c r="F53" s="1"/>
  <c r="L4" i="23" s="1"/>
  <c r="P24" i="6"/>
  <c r="P37" s="1"/>
  <c r="P53" s="1"/>
  <c r="V4" i="23" s="1"/>
  <c r="AB15" i="6"/>
  <c r="O24"/>
  <c r="O37" s="1"/>
  <c r="O53" s="1"/>
  <c r="U4" i="23" s="1"/>
  <c r="J24" i="6"/>
  <c r="J37" s="1"/>
  <c r="J53" s="1"/>
  <c r="P4" i="23" s="1"/>
  <c r="H24" i="6"/>
  <c r="H37" s="1"/>
  <c r="H53" s="1"/>
  <c r="N4" i="23" s="1"/>
  <c r="S24" i="6"/>
  <c r="S37" s="1"/>
  <c r="S53" s="1"/>
  <c r="Y4" i="23" s="1"/>
  <c r="E24" i="6"/>
  <c r="T24"/>
  <c r="T37" s="1"/>
  <c r="T53" s="1"/>
  <c r="Z4" i="23" s="1"/>
  <c r="N24" i="6"/>
  <c r="N37" s="1"/>
  <c r="N53" s="1"/>
  <c r="T4" i="23" s="1"/>
  <c r="L24" i="6"/>
  <c r="L37" s="1"/>
  <c r="L53" s="1"/>
  <c r="R4" i="23" s="1"/>
  <c r="G24" i="6"/>
  <c r="G37" s="1"/>
  <c r="G53" s="1"/>
  <c r="M4" i="23" s="1"/>
  <c r="M24" i="6"/>
  <c r="M37" s="1"/>
  <c r="M53" s="1"/>
  <c r="S4" i="23" s="1"/>
  <c r="Y26" i="6"/>
  <c r="Y32" s="1"/>
  <c r="I26"/>
  <c r="I39" s="1"/>
  <c r="I55" s="1"/>
  <c r="O6" i="23" s="1"/>
  <c r="W26" i="6"/>
  <c r="W39" s="1"/>
  <c r="W55" s="1"/>
  <c r="AC6" i="23" s="1"/>
  <c r="AC17" i="6"/>
  <c r="M26"/>
  <c r="M39" s="1"/>
  <c r="M55" s="1"/>
  <c r="S6" i="23" s="1"/>
  <c r="AB17" i="6"/>
  <c r="S26"/>
  <c r="S39" s="1"/>
  <c r="S55" s="1"/>
  <c r="Y6" i="23" s="1"/>
  <c r="G26" i="6"/>
  <c r="G39" s="1"/>
  <c r="G55" s="1"/>
  <c r="M6" i="23" s="1"/>
  <c r="R26" i="6"/>
  <c r="R39" s="1"/>
  <c r="R55" s="1"/>
  <c r="X6" i="23" s="1"/>
  <c r="K26" i="6"/>
  <c r="K39" s="1"/>
  <c r="K55" s="1"/>
  <c r="Q6" i="23" s="1"/>
  <c r="J26" i="6"/>
  <c r="J39" s="1"/>
  <c r="J55" s="1"/>
  <c r="P6" i="23" s="1"/>
  <c r="U26" i="6"/>
  <c r="U39" s="1"/>
  <c r="U55" s="1"/>
  <c r="AA6" i="23" s="1"/>
  <c r="P26" i="6"/>
  <c r="P39" s="1"/>
  <c r="P55" s="1"/>
  <c r="V6" i="23" s="1"/>
  <c r="X26" i="6"/>
  <c r="X39" s="1"/>
  <c r="X55" s="1"/>
  <c r="AD6" i="23" s="1"/>
  <c r="H26" i="6"/>
  <c r="H39" s="1"/>
  <c r="H55" s="1"/>
  <c r="N6" i="23" s="1"/>
  <c r="V26" i="6"/>
  <c r="V39" s="1"/>
  <c r="V55" s="1"/>
  <c r="AB6" i="23" s="1"/>
  <c r="N26" i="6"/>
  <c r="N39" s="1"/>
  <c r="N55" s="1"/>
  <c r="T6" i="23" s="1"/>
  <c r="O26" i="6"/>
  <c r="O39" s="1"/>
  <c r="O55" s="1"/>
  <c r="U6" i="23" s="1"/>
  <c r="E26" i="6"/>
  <c r="Q26"/>
  <c r="Q39" s="1"/>
  <c r="Q55" s="1"/>
  <c r="W6" i="23" s="1"/>
  <c r="F26" i="6"/>
  <c r="F39" s="1"/>
  <c r="F55" s="1"/>
  <c r="L6" i="23" s="1"/>
  <c r="T26" i="6"/>
  <c r="T39" s="1"/>
  <c r="T55" s="1"/>
  <c r="Z6" i="23" s="1"/>
  <c r="L26" i="6"/>
  <c r="L39" s="1"/>
  <c r="L55" s="1"/>
  <c r="R6" i="23" s="1"/>
  <c r="Y23" i="6"/>
  <c r="Y29" s="1"/>
  <c r="Y52" s="1"/>
  <c r="AB14"/>
  <c r="L23"/>
  <c r="L36" s="1"/>
  <c r="L52" s="1"/>
  <c r="W23"/>
  <c r="W36" s="1"/>
  <c r="W52" s="1"/>
  <c r="N23"/>
  <c r="N36" s="1"/>
  <c r="N52" s="1"/>
  <c r="P23"/>
  <c r="P36" s="1"/>
  <c r="P52" s="1"/>
  <c r="H23"/>
  <c r="H36" s="1"/>
  <c r="H52" s="1"/>
  <c r="G23"/>
  <c r="G36" s="1"/>
  <c r="G52" s="1"/>
  <c r="S23"/>
  <c r="S36" s="1"/>
  <c r="S52" s="1"/>
  <c r="J23"/>
  <c r="J36" s="1"/>
  <c r="J52" s="1"/>
  <c r="T23"/>
  <c r="T36" s="1"/>
  <c r="T52" s="1"/>
  <c r="F23"/>
  <c r="F36" s="1"/>
  <c r="F52" s="1"/>
  <c r="K23"/>
  <c r="K36" s="1"/>
  <c r="K52" s="1"/>
  <c r="U23"/>
  <c r="U36" s="1"/>
  <c r="U52" s="1"/>
  <c r="O23"/>
  <c r="O36" s="1"/>
  <c r="O52" s="1"/>
  <c r="M23"/>
  <c r="M36" s="1"/>
  <c r="M52" s="1"/>
  <c r="R23"/>
  <c r="R36" s="1"/>
  <c r="R52" s="1"/>
  <c r="I23"/>
  <c r="I36" s="1"/>
  <c r="I52" s="1"/>
  <c r="Q23"/>
  <c r="Q36" s="1"/>
  <c r="Q52" s="1"/>
  <c r="E23"/>
  <c r="AC14"/>
  <c r="X23"/>
  <c r="X36" s="1"/>
  <c r="X52" s="1"/>
  <c r="V23"/>
  <c r="V36" s="1"/>
  <c r="V52" s="1"/>
  <c r="Y25"/>
  <c r="Y31" s="1"/>
  <c r="T25"/>
  <c r="T38" s="1"/>
  <c r="T54" s="1"/>
  <c r="G25"/>
  <c r="G38" s="1"/>
  <c r="G54" s="1"/>
  <c r="AB16"/>
  <c r="M25"/>
  <c r="M38" s="1"/>
  <c r="M54" s="1"/>
  <c r="E25"/>
  <c r="O25"/>
  <c r="O38" s="1"/>
  <c r="O54" s="1"/>
  <c r="L25"/>
  <c r="L38" s="1"/>
  <c r="L54" s="1"/>
  <c r="K25"/>
  <c r="K38" s="1"/>
  <c r="K54" s="1"/>
  <c r="H25"/>
  <c r="H38" s="1"/>
  <c r="H54" s="1"/>
  <c r="W25"/>
  <c r="W38" s="1"/>
  <c r="W54" s="1"/>
  <c r="X25"/>
  <c r="X38" s="1"/>
  <c r="X54" s="1"/>
  <c r="V25"/>
  <c r="V38" s="1"/>
  <c r="V54" s="1"/>
  <c r="I25"/>
  <c r="I38" s="1"/>
  <c r="I54" s="1"/>
  <c r="J25"/>
  <c r="J38" s="1"/>
  <c r="J54" s="1"/>
  <c r="S25"/>
  <c r="S38" s="1"/>
  <c r="S54" s="1"/>
  <c r="F25"/>
  <c r="F38" s="1"/>
  <c r="F54" s="1"/>
  <c r="R25"/>
  <c r="R38" s="1"/>
  <c r="R54" s="1"/>
  <c r="Q25"/>
  <c r="Q38" s="1"/>
  <c r="Q54" s="1"/>
  <c r="AC16"/>
  <c r="N25"/>
  <c r="N38" s="1"/>
  <c r="N54" s="1"/>
  <c r="P25"/>
  <c r="P38" s="1"/>
  <c r="P54" s="1"/>
  <c r="U25"/>
  <c r="U38" s="1"/>
  <c r="U54" s="1"/>
  <c r="Y27"/>
  <c r="Y33" s="1"/>
  <c r="F27"/>
  <c r="F40" s="1"/>
  <c r="F56" s="1"/>
  <c r="L7" i="23" s="1"/>
  <c r="S27" i="6"/>
  <c r="S40" s="1"/>
  <c r="S56" s="1"/>
  <c r="Y7" i="23" s="1"/>
  <c r="R27" i="6"/>
  <c r="R40" s="1"/>
  <c r="R56" s="1"/>
  <c r="X7" i="23" s="1"/>
  <c r="L27" i="6"/>
  <c r="L40" s="1"/>
  <c r="L56" s="1"/>
  <c r="R7" i="23" s="1"/>
  <c r="U27" i="6"/>
  <c r="U40" s="1"/>
  <c r="U56" s="1"/>
  <c r="AA7" i="23" s="1"/>
  <c r="T27" i="6"/>
  <c r="T40" s="1"/>
  <c r="T56" s="1"/>
  <c r="Z7" i="23" s="1"/>
  <c r="X27" i="6"/>
  <c r="X40" s="1"/>
  <c r="X56" s="1"/>
  <c r="AD7" i="23" s="1"/>
  <c r="J27" i="6"/>
  <c r="J40" s="1"/>
  <c r="J56" s="1"/>
  <c r="P7" i="23" s="1"/>
  <c r="N27" i="6"/>
  <c r="N40" s="1"/>
  <c r="N56" s="1"/>
  <c r="T7" i="23" s="1"/>
  <c r="W27" i="6"/>
  <c r="W40" s="1"/>
  <c r="W56" s="1"/>
  <c r="AC7" i="23" s="1"/>
  <c r="M27" i="6"/>
  <c r="M40" s="1"/>
  <c r="M56" s="1"/>
  <c r="S7" i="23" s="1"/>
  <c r="E27" i="6"/>
  <c r="I27"/>
  <c r="I40" s="1"/>
  <c r="I56" s="1"/>
  <c r="O7" i="23" s="1"/>
  <c r="AB18" i="6"/>
  <c r="G27"/>
  <c r="G40" s="1"/>
  <c r="G56" s="1"/>
  <c r="M7" i="23" s="1"/>
  <c r="Q27" i="6"/>
  <c r="Q40" s="1"/>
  <c r="Q56" s="1"/>
  <c r="W7" i="23" s="1"/>
  <c r="P27" i="6"/>
  <c r="P40" s="1"/>
  <c r="P56" s="1"/>
  <c r="V7" i="23" s="1"/>
  <c r="O27" i="6"/>
  <c r="O40" s="1"/>
  <c r="O56" s="1"/>
  <c r="U7" i="23" s="1"/>
  <c r="AC18" i="6"/>
  <c r="V27"/>
  <c r="V40" s="1"/>
  <c r="V56" s="1"/>
  <c r="AB7" i="23" s="1"/>
  <c r="H27" i="6"/>
  <c r="H40" s="1"/>
  <c r="H56" s="1"/>
  <c r="N7" i="23" s="1"/>
  <c r="K27" i="6"/>
  <c r="K40" s="1"/>
  <c r="K56" s="1"/>
  <c r="Q7" i="23" s="1"/>
  <c r="AC19" i="6" l="1"/>
  <c r="E40"/>
  <c r="E33"/>
  <c r="F33" s="1"/>
  <c r="G33" s="1"/>
  <c r="H33" s="1"/>
  <c r="I33" s="1"/>
  <c r="J33" s="1"/>
  <c r="K33" s="1"/>
  <c r="L33" s="1"/>
  <c r="M33" s="1"/>
  <c r="N33" s="1"/>
  <c r="O33" s="1"/>
  <c r="P33" s="1"/>
  <c r="Q33" s="1"/>
  <c r="R33" s="1"/>
  <c r="S33" s="1"/>
  <c r="T33" s="1"/>
  <c r="U33" s="1"/>
  <c r="V33" s="1"/>
  <c r="W33" s="1"/>
  <c r="X33" s="1"/>
  <c r="Y56" s="1"/>
  <c r="AE7" i="23" s="1"/>
  <c r="S66" i="6"/>
  <c r="Y5" i="23"/>
  <c r="S65" i="6"/>
  <c r="S64"/>
  <c r="S101" s="1"/>
  <c r="S67"/>
  <c r="S104" s="1"/>
  <c r="S68"/>
  <c r="X64"/>
  <c r="X101" s="1"/>
  <c r="X68"/>
  <c r="X65"/>
  <c r="AD5" i="23"/>
  <c r="X66" i="6"/>
  <c r="X67"/>
  <c r="L66"/>
  <c r="L64"/>
  <c r="L101" s="1"/>
  <c r="L65"/>
  <c r="L68"/>
  <c r="R5" i="23"/>
  <c r="L67" i="6"/>
  <c r="AB3" i="23"/>
  <c r="V84" i="6"/>
  <c r="V77"/>
  <c r="V85"/>
  <c r="V75"/>
  <c r="V69"/>
  <c r="V74"/>
  <c r="V92"/>
  <c r="V87"/>
  <c r="V91"/>
  <c r="V86"/>
  <c r="V93"/>
  <c r="V130" s="1"/>
  <c r="V70"/>
  <c r="V73"/>
  <c r="V89"/>
  <c r="V76"/>
  <c r="V95"/>
  <c r="V58"/>
  <c r="V83"/>
  <c r="V82"/>
  <c r="V71"/>
  <c r="V108" s="1"/>
  <c r="V81"/>
  <c r="V94"/>
  <c r="V72"/>
  <c r="V90"/>
  <c r="V79"/>
  <c r="V78"/>
  <c r="V115" s="1"/>
  <c r="V80"/>
  <c r="V88"/>
  <c r="V125" s="1"/>
  <c r="Q74"/>
  <c r="Q90"/>
  <c r="Q72"/>
  <c r="Q70"/>
  <c r="Q81"/>
  <c r="Q84"/>
  <c r="Q82"/>
  <c r="Q89"/>
  <c r="Q58"/>
  <c r="Q73"/>
  <c r="Q91"/>
  <c r="Q95"/>
  <c r="Q94"/>
  <c r="Q78"/>
  <c r="Q69"/>
  <c r="Q80"/>
  <c r="Q86"/>
  <c r="Q75"/>
  <c r="Q76"/>
  <c r="Q87"/>
  <c r="Q88"/>
  <c r="Q71"/>
  <c r="Q93"/>
  <c r="Q79"/>
  <c r="Q77"/>
  <c r="W3" i="23"/>
  <c r="Q92" i="6"/>
  <c r="Q129" s="1"/>
  <c r="Q85"/>
  <c r="Q83"/>
  <c r="O83"/>
  <c r="O86"/>
  <c r="O70"/>
  <c r="O91"/>
  <c r="O80"/>
  <c r="O87"/>
  <c r="O76"/>
  <c r="O71"/>
  <c r="O90"/>
  <c r="O73"/>
  <c r="O94"/>
  <c r="O79"/>
  <c r="O75"/>
  <c r="O89"/>
  <c r="O72"/>
  <c r="O74"/>
  <c r="O58"/>
  <c r="O82"/>
  <c r="O69"/>
  <c r="O92"/>
  <c r="O129" s="1"/>
  <c r="O95"/>
  <c r="O85"/>
  <c r="O88"/>
  <c r="U3" i="23"/>
  <c r="O93" i="6"/>
  <c r="O84"/>
  <c r="O78"/>
  <c r="O77"/>
  <c r="O81"/>
  <c r="O118" s="1"/>
  <c r="T90"/>
  <c r="T89"/>
  <c r="T78"/>
  <c r="T69"/>
  <c r="T85"/>
  <c r="T70"/>
  <c r="T76"/>
  <c r="T81"/>
  <c r="T86"/>
  <c r="T75"/>
  <c r="T94"/>
  <c r="T79"/>
  <c r="T73"/>
  <c r="T58"/>
  <c r="T87"/>
  <c r="T80"/>
  <c r="T117" s="1"/>
  <c r="T72"/>
  <c r="T84"/>
  <c r="T92"/>
  <c r="T77"/>
  <c r="T83"/>
  <c r="T82"/>
  <c r="T74"/>
  <c r="T71"/>
  <c r="T88"/>
  <c r="Z3" i="23"/>
  <c r="T91" i="6"/>
  <c r="T93"/>
  <c r="T95"/>
  <c r="H94"/>
  <c r="H58"/>
  <c r="H88"/>
  <c r="H85"/>
  <c r="H71"/>
  <c r="H90"/>
  <c r="N3" i="23"/>
  <c r="H79" i="6"/>
  <c r="H84"/>
  <c r="H87"/>
  <c r="H91"/>
  <c r="H93"/>
  <c r="H95"/>
  <c r="H132" s="1"/>
  <c r="H92"/>
  <c r="H76"/>
  <c r="H77"/>
  <c r="H82"/>
  <c r="H83"/>
  <c r="H70"/>
  <c r="H73"/>
  <c r="H74"/>
  <c r="H80"/>
  <c r="H86"/>
  <c r="H75"/>
  <c r="H72"/>
  <c r="H109" s="1"/>
  <c r="H78"/>
  <c r="H69"/>
  <c r="H89"/>
  <c r="H81"/>
  <c r="L93"/>
  <c r="L95"/>
  <c r="L77"/>
  <c r="L83"/>
  <c r="L81"/>
  <c r="R3" i="23"/>
  <c r="L87" i="6"/>
  <c r="L80"/>
  <c r="L90"/>
  <c r="L91"/>
  <c r="L74"/>
  <c r="L88"/>
  <c r="L89"/>
  <c r="L69"/>
  <c r="L70"/>
  <c r="L79"/>
  <c r="L76"/>
  <c r="L86"/>
  <c r="L58"/>
  <c r="L85"/>
  <c r="L82"/>
  <c r="L119" s="1"/>
  <c r="L73"/>
  <c r="L78"/>
  <c r="L115" s="1"/>
  <c r="L84"/>
  <c r="L121" s="1"/>
  <c r="L92"/>
  <c r="L94"/>
  <c r="L75"/>
  <c r="L112" s="1"/>
  <c r="L71"/>
  <c r="L72"/>
  <c r="N64"/>
  <c r="N101" s="1"/>
  <c r="N65"/>
  <c r="N66"/>
  <c r="N67"/>
  <c r="N68"/>
  <c r="T5" i="23"/>
  <c r="F68" i="6"/>
  <c r="L5" i="23"/>
  <c r="F65" i="6"/>
  <c r="F66"/>
  <c r="F67"/>
  <c r="F64"/>
  <c r="F101" s="1"/>
  <c r="AB5" i="23"/>
  <c r="V68" i="6"/>
  <c r="V67"/>
  <c r="V64"/>
  <c r="V101" s="1"/>
  <c r="V65"/>
  <c r="V66"/>
  <c r="K68"/>
  <c r="Q5" i="23"/>
  <c r="K65" i="6"/>
  <c r="K64"/>
  <c r="K101" s="1"/>
  <c r="K66"/>
  <c r="K67"/>
  <c r="M64"/>
  <c r="M101" s="1"/>
  <c r="M68"/>
  <c r="S5" i="23"/>
  <c r="M66" i="6"/>
  <c r="M67"/>
  <c r="M65"/>
  <c r="E29"/>
  <c r="F29" s="1"/>
  <c r="G29" s="1"/>
  <c r="H29" s="1"/>
  <c r="I29" s="1"/>
  <c r="J29" s="1"/>
  <c r="K29" s="1"/>
  <c r="L29" s="1"/>
  <c r="M29" s="1"/>
  <c r="N29" s="1"/>
  <c r="O29" s="1"/>
  <c r="P29" s="1"/>
  <c r="Q29" s="1"/>
  <c r="R29" s="1"/>
  <c r="S29" s="1"/>
  <c r="T29" s="1"/>
  <c r="U29" s="1"/>
  <c r="V29" s="1"/>
  <c r="W29" s="1"/>
  <c r="X29" s="1"/>
  <c r="E36"/>
  <c r="M86"/>
  <c r="M84"/>
  <c r="M94"/>
  <c r="M81"/>
  <c r="M80"/>
  <c r="M95"/>
  <c r="M78"/>
  <c r="M82"/>
  <c r="M73"/>
  <c r="M74"/>
  <c r="M79"/>
  <c r="M116" s="1"/>
  <c r="M93"/>
  <c r="M76"/>
  <c r="M91"/>
  <c r="M70"/>
  <c r="M72"/>
  <c r="M77"/>
  <c r="M114" s="1"/>
  <c r="S3" i="23"/>
  <c r="M92" i="6"/>
  <c r="M58"/>
  <c r="M83"/>
  <c r="M89"/>
  <c r="M71"/>
  <c r="M108" s="1"/>
  <c r="M90"/>
  <c r="M88"/>
  <c r="M69"/>
  <c r="M106" s="1"/>
  <c r="M87"/>
  <c r="M75"/>
  <c r="M85"/>
  <c r="F81"/>
  <c r="F78"/>
  <c r="F95"/>
  <c r="F85"/>
  <c r="F76"/>
  <c r="F92"/>
  <c r="F88"/>
  <c r="F72"/>
  <c r="F79"/>
  <c r="F91"/>
  <c r="F90"/>
  <c r="F94"/>
  <c r="F77"/>
  <c r="F114" s="1"/>
  <c r="F69"/>
  <c r="F106" s="1"/>
  <c r="F89"/>
  <c r="F126" s="1"/>
  <c r="F80"/>
  <c r="F83"/>
  <c r="F87"/>
  <c r="F71"/>
  <c r="F70"/>
  <c r="F84"/>
  <c r="F121" s="1"/>
  <c r="F75"/>
  <c r="F82"/>
  <c r="F86"/>
  <c r="F123" s="1"/>
  <c r="F74"/>
  <c r="L3" i="23"/>
  <c r="F73" i="6"/>
  <c r="F93"/>
  <c r="F58"/>
  <c r="G92"/>
  <c r="G89"/>
  <c r="G78"/>
  <c r="G93"/>
  <c r="G74"/>
  <c r="G80"/>
  <c r="G69"/>
  <c r="G88"/>
  <c r="G90"/>
  <c r="M3" i="23"/>
  <c r="G86" i="6"/>
  <c r="G81"/>
  <c r="G83"/>
  <c r="G76"/>
  <c r="G85"/>
  <c r="G73"/>
  <c r="G70"/>
  <c r="G77"/>
  <c r="G91"/>
  <c r="G95"/>
  <c r="G75"/>
  <c r="G112" s="1"/>
  <c r="G82"/>
  <c r="G58"/>
  <c r="G84"/>
  <c r="G87"/>
  <c r="G72"/>
  <c r="G94"/>
  <c r="G71"/>
  <c r="G79"/>
  <c r="W89"/>
  <c r="W94"/>
  <c r="W83"/>
  <c r="W92"/>
  <c r="W82"/>
  <c r="W91"/>
  <c r="W77"/>
  <c r="W76"/>
  <c r="W95"/>
  <c r="W81"/>
  <c r="W74"/>
  <c r="AC3" i="23"/>
  <c r="W93" i="6"/>
  <c r="W69"/>
  <c r="W85"/>
  <c r="W72"/>
  <c r="W80"/>
  <c r="W78"/>
  <c r="W73"/>
  <c r="W90"/>
  <c r="W86"/>
  <c r="W88"/>
  <c r="W58"/>
  <c r="W70"/>
  <c r="W79"/>
  <c r="W84"/>
  <c r="W75"/>
  <c r="W112" s="1"/>
  <c r="W71"/>
  <c r="W87"/>
  <c r="W124" s="1"/>
  <c r="E39"/>
  <c r="E32"/>
  <c r="F32" s="1"/>
  <c r="G32" s="1"/>
  <c r="H32" s="1"/>
  <c r="I32" s="1"/>
  <c r="J32" s="1"/>
  <c r="K32" s="1"/>
  <c r="L32" s="1"/>
  <c r="M32" s="1"/>
  <c r="N32" s="1"/>
  <c r="O32" s="1"/>
  <c r="P32" s="1"/>
  <c r="Q32" s="1"/>
  <c r="R32" s="1"/>
  <c r="S32" s="1"/>
  <c r="T32" s="1"/>
  <c r="U32" s="1"/>
  <c r="V32" s="1"/>
  <c r="W32" s="1"/>
  <c r="X32" s="1"/>
  <c r="Y55" s="1"/>
  <c r="AE6" i="23" s="1"/>
  <c r="E37" i="6"/>
  <c r="E30"/>
  <c r="F30" s="1"/>
  <c r="G30" s="1"/>
  <c r="H30" s="1"/>
  <c r="I30" s="1"/>
  <c r="J30" s="1"/>
  <c r="K30" s="1"/>
  <c r="L30" s="1"/>
  <c r="M30" s="1"/>
  <c r="N30" s="1"/>
  <c r="O30" s="1"/>
  <c r="P30" s="1"/>
  <c r="Q30" s="1"/>
  <c r="R30" s="1"/>
  <c r="S30" s="1"/>
  <c r="T30" s="1"/>
  <c r="U30" s="1"/>
  <c r="V30" s="1"/>
  <c r="W30" s="1"/>
  <c r="X30" s="1"/>
  <c r="Y53" s="1"/>
  <c r="AE4" i="23" s="1"/>
  <c r="P68" i="6"/>
  <c r="P65"/>
  <c r="P64"/>
  <c r="P101" s="1"/>
  <c r="P67"/>
  <c r="P66"/>
  <c r="V5" i="23"/>
  <c r="R67" i="6"/>
  <c r="R64"/>
  <c r="R101" s="1"/>
  <c r="R66"/>
  <c r="R68"/>
  <c r="X5" i="23"/>
  <c r="R65" i="6"/>
  <c r="R102" s="1"/>
  <c r="I67"/>
  <c r="O5" i="23"/>
  <c r="I66" i="6"/>
  <c r="I64"/>
  <c r="I101" s="1"/>
  <c r="I68"/>
  <c r="I105" s="1"/>
  <c r="I65"/>
  <c r="H65"/>
  <c r="H68"/>
  <c r="H67"/>
  <c r="H66"/>
  <c r="H64"/>
  <c r="H101" s="1"/>
  <c r="N5" i="23"/>
  <c r="E38" i="6"/>
  <c r="E31"/>
  <c r="F31" s="1"/>
  <c r="G31" s="1"/>
  <c r="H31" s="1"/>
  <c r="I31" s="1"/>
  <c r="J31" s="1"/>
  <c r="K31" s="1"/>
  <c r="L31" s="1"/>
  <c r="M31" s="1"/>
  <c r="N31" s="1"/>
  <c r="O31" s="1"/>
  <c r="P31" s="1"/>
  <c r="Q31" s="1"/>
  <c r="R31" s="1"/>
  <c r="S31" s="1"/>
  <c r="T31" s="1"/>
  <c r="U31" s="1"/>
  <c r="V31" s="1"/>
  <c r="W31" s="1"/>
  <c r="X31" s="1"/>
  <c r="Y54" s="1"/>
  <c r="Y69" s="1"/>
  <c r="T65"/>
  <c r="T66"/>
  <c r="T67"/>
  <c r="Z5" i="23"/>
  <c r="T64" i="6"/>
  <c r="T101" s="1"/>
  <c r="T68"/>
  <c r="R92"/>
  <c r="R91"/>
  <c r="R74"/>
  <c r="R79"/>
  <c r="R69"/>
  <c r="R83"/>
  <c r="R76"/>
  <c r="R87"/>
  <c r="R89"/>
  <c r="R77"/>
  <c r="R80"/>
  <c r="R81"/>
  <c r="R78"/>
  <c r="R58"/>
  <c r="R71"/>
  <c r="R72"/>
  <c r="R84"/>
  <c r="R75"/>
  <c r="R95"/>
  <c r="X3" i="23"/>
  <c r="R88" i="6"/>
  <c r="R93"/>
  <c r="R90"/>
  <c r="R85"/>
  <c r="R94"/>
  <c r="R70"/>
  <c r="R86"/>
  <c r="R73"/>
  <c r="R110" s="1"/>
  <c r="R82"/>
  <c r="K88"/>
  <c r="K93"/>
  <c r="K86"/>
  <c r="K77"/>
  <c r="K80"/>
  <c r="K79"/>
  <c r="K74"/>
  <c r="K91"/>
  <c r="Q3" i="23"/>
  <c r="K94" i="6"/>
  <c r="K131" s="1"/>
  <c r="K69"/>
  <c r="K70"/>
  <c r="K89"/>
  <c r="K126" s="1"/>
  <c r="K83"/>
  <c r="K84"/>
  <c r="K95"/>
  <c r="K71"/>
  <c r="K87"/>
  <c r="K78"/>
  <c r="K82"/>
  <c r="K73"/>
  <c r="K90"/>
  <c r="K72"/>
  <c r="K76"/>
  <c r="K92"/>
  <c r="K85"/>
  <c r="K58"/>
  <c r="K75"/>
  <c r="K81"/>
  <c r="K118" s="1"/>
  <c r="S69"/>
  <c r="S78"/>
  <c r="S70"/>
  <c r="S88"/>
  <c r="S72"/>
  <c r="S75"/>
  <c r="S76"/>
  <c r="Y3" i="23"/>
  <c r="S91" i="6"/>
  <c r="S86"/>
  <c r="S93"/>
  <c r="S77"/>
  <c r="S90"/>
  <c r="S58"/>
  <c r="S73"/>
  <c r="S79"/>
  <c r="S80"/>
  <c r="S84"/>
  <c r="S82"/>
  <c r="S92"/>
  <c r="S81"/>
  <c r="S95"/>
  <c r="S85"/>
  <c r="S83"/>
  <c r="S94"/>
  <c r="S87"/>
  <c r="S124" s="1"/>
  <c r="S74"/>
  <c r="S111" s="1"/>
  <c r="S71"/>
  <c r="S89"/>
  <c r="N92"/>
  <c r="N89"/>
  <c r="N69"/>
  <c r="N77"/>
  <c r="N93"/>
  <c r="N94"/>
  <c r="T3" i="23"/>
  <c r="N95" i="6"/>
  <c r="N90"/>
  <c r="N74"/>
  <c r="N81"/>
  <c r="N87"/>
  <c r="N76"/>
  <c r="N80"/>
  <c r="N71"/>
  <c r="N78"/>
  <c r="N115" s="1"/>
  <c r="N79"/>
  <c r="N73"/>
  <c r="N82"/>
  <c r="N119" s="1"/>
  <c r="N88"/>
  <c r="N83"/>
  <c r="N91"/>
  <c r="N84"/>
  <c r="N75"/>
  <c r="N58"/>
  <c r="N70"/>
  <c r="N86"/>
  <c r="N72"/>
  <c r="N85"/>
  <c r="AE3" i="23"/>
  <c r="AA5"/>
  <c r="U67" i="6"/>
  <c r="U68"/>
  <c r="U65"/>
  <c r="U66"/>
  <c r="U64"/>
  <c r="U101" s="1"/>
  <c r="W5" i="23"/>
  <c r="Q68" i="6"/>
  <c r="Q64"/>
  <c r="Q101" s="1"/>
  <c r="Q66"/>
  <c r="Q67"/>
  <c r="Q65"/>
  <c r="J67"/>
  <c r="J64"/>
  <c r="J101" s="1"/>
  <c r="J65"/>
  <c r="J66"/>
  <c r="P5" i="23"/>
  <c r="J68" i="6"/>
  <c r="W68"/>
  <c r="W64"/>
  <c r="W101" s="1"/>
  <c r="W67"/>
  <c r="W65"/>
  <c r="AC5" i="23"/>
  <c r="W66" i="6"/>
  <c r="U5" i="23"/>
  <c r="O65" i="6"/>
  <c r="O64"/>
  <c r="O101" s="1"/>
  <c r="O67"/>
  <c r="O68"/>
  <c r="O66"/>
  <c r="M5" i="23"/>
  <c r="G66" i="6"/>
  <c r="G64"/>
  <c r="G101" s="1"/>
  <c r="G67"/>
  <c r="G65"/>
  <c r="G68"/>
  <c r="X85"/>
  <c r="X89"/>
  <c r="X82"/>
  <c r="X81"/>
  <c r="X58"/>
  <c r="AD3" i="23"/>
  <c r="X91" i="6"/>
  <c r="X90"/>
  <c r="X69"/>
  <c r="X87"/>
  <c r="X94"/>
  <c r="X74"/>
  <c r="X80"/>
  <c r="X78"/>
  <c r="X79"/>
  <c r="X71"/>
  <c r="X72"/>
  <c r="X93"/>
  <c r="X95"/>
  <c r="X75"/>
  <c r="X112" s="1"/>
  <c r="X84"/>
  <c r="X76"/>
  <c r="X86"/>
  <c r="X92"/>
  <c r="X83"/>
  <c r="X70"/>
  <c r="X73"/>
  <c r="X77"/>
  <c r="X88"/>
  <c r="O3" i="23"/>
  <c r="I79" i="6"/>
  <c r="I77"/>
  <c r="I89"/>
  <c r="I76"/>
  <c r="I84"/>
  <c r="I81"/>
  <c r="I92"/>
  <c r="I58"/>
  <c r="I91"/>
  <c r="I69"/>
  <c r="I106" s="1"/>
  <c r="I93"/>
  <c r="I88"/>
  <c r="I78"/>
  <c r="I72"/>
  <c r="I86"/>
  <c r="I73"/>
  <c r="I80"/>
  <c r="I117" s="1"/>
  <c r="I87"/>
  <c r="I94"/>
  <c r="I131" s="1"/>
  <c r="I85"/>
  <c r="I75"/>
  <c r="I83"/>
  <c r="I71"/>
  <c r="I74"/>
  <c r="I90"/>
  <c r="I95"/>
  <c r="I70"/>
  <c r="I82"/>
  <c r="U58"/>
  <c r="U69"/>
  <c r="U87"/>
  <c r="U71"/>
  <c r="U77"/>
  <c r="U84"/>
  <c r="U72"/>
  <c r="U93"/>
  <c r="U80"/>
  <c r="U90"/>
  <c r="U75"/>
  <c r="U89"/>
  <c r="U74"/>
  <c r="U94"/>
  <c r="U76"/>
  <c r="U91"/>
  <c r="U81"/>
  <c r="U118" s="1"/>
  <c r="U73"/>
  <c r="AA3" i="23"/>
  <c r="U83" i="6"/>
  <c r="U92"/>
  <c r="U86"/>
  <c r="U85"/>
  <c r="U78"/>
  <c r="U95"/>
  <c r="U88"/>
  <c r="U82"/>
  <c r="U70"/>
  <c r="U79"/>
  <c r="J87"/>
  <c r="J58"/>
  <c r="J76"/>
  <c r="J80"/>
  <c r="J91"/>
  <c r="J82"/>
  <c r="J73"/>
  <c r="J70"/>
  <c r="J93"/>
  <c r="J72"/>
  <c r="J69"/>
  <c r="J106" s="1"/>
  <c r="J74"/>
  <c r="J92"/>
  <c r="J129" s="1"/>
  <c r="J75"/>
  <c r="J71"/>
  <c r="J77"/>
  <c r="J78"/>
  <c r="J95"/>
  <c r="J85"/>
  <c r="J94"/>
  <c r="J84"/>
  <c r="J88"/>
  <c r="J83"/>
  <c r="J79"/>
  <c r="P3" i="23"/>
  <c r="J90" i="6"/>
  <c r="J86"/>
  <c r="J123" s="1"/>
  <c r="J81"/>
  <c r="J118" s="1"/>
  <c r="J89"/>
  <c r="P94"/>
  <c r="P95"/>
  <c r="P85"/>
  <c r="P91"/>
  <c r="P79"/>
  <c r="P71"/>
  <c r="P88"/>
  <c r="P80"/>
  <c r="P93"/>
  <c r="P83"/>
  <c r="P84"/>
  <c r="P69"/>
  <c r="P106" s="1"/>
  <c r="P86"/>
  <c r="P77"/>
  <c r="P70"/>
  <c r="P58"/>
  <c r="P78"/>
  <c r="P87"/>
  <c r="P72"/>
  <c r="P82"/>
  <c r="P76"/>
  <c r="P89"/>
  <c r="P81"/>
  <c r="V3" i="23"/>
  <c r="P74" i="6"/>
  <c r="P90"/>
  <c r="P73"/>
  <c r="P110" s="1"/>
  <c r="P75"/>
  <c r="P92"/>
  <c r="AB19"/>
  <c r="U113" l="1"/>
  <c r="I130"/>
  <c r="T123"/>
  <c r="N112"/>
  <c r="N132"/>
  <c r="N114"/>
  <c r="S131"/>
  <c r="K122"/>
  <c r="K124"/>
  <c r="K120"/>
  <c r="K116"/>
  <c r="R123"/>
  <c r="R127"/>
  <c r="R132"/>
  <c r="R117"/>
  <c r="R111"/>
  <c r="R104"/>
  <c r="W107"/>
  <c r="W127"/>
  <c r="W129"/>
  <c r="G116"/>
  <c r="G124"/>
  <c r="G107"/>
  <c r="G120"/>
  <c r="G127"/>
  <c r="G129"/>
  <c r="F124"/>
  <c r="F128"/>
  <c r="M124"/>
  <c r="M115"/>
  <c r="M131"/>
  <c r="K103"/>
  <c r="K105"/>
  <c r="L120"/>
  <c r="H118"/>
  <c r="H121"/>
  <c r="H108"/>
  <c r="T119"/>
  <c r="T112"/>
  <c r="T107"/>
  <c r="O115"/>
  <c r="O109"/>
  <c r="O131"/>
  <c r="O113"/>
  <c r="Q122"/>
  <c r="Q116"/>
  <c r="Q124"/>
  <c r="Q132"/>
  <c r="Q126"/>
  <c r="V127"/>
  <c r="V132"/>
  <c r="V107"/>
  <c r="V124"/>
  <c r="V112"/>
  <c r="X103"/>
  <c r="S102"/>
  <c r="Y93"/>
  <c r="Y84"/>
  <c r="Y94"/>
  <c r="Y78"/>
  <c r="O124"/>
  <c r="Y81"/>
  <c r="Y89"/>
  <c r="N125"/>
  <c r="S117"/>
  <c r="S109"/>
  <c r="K130"/>
  <c r="R108"/>
  <c r="R113"/>
  <c r="G111"/>
  <c r="F112"/>
  <c r="F115"/>
  <c r="M129"/>
  <c r="M107"/>
  <c r="V104"/>
  <c r="L108"/>
  <c r="L125"/>
  <c r="H111"/>
  <c r="H131"/>
  <c r="T121"/>
  <c r="T126"/>
  <c r="O125"/>
  <c r="Y75"/>
  <c r="N124"/>
  <c r="K127"/>
  <c r="I103"/>
  <c r="W113"/>
  <c r="Q107"/>
  <c r="L102"/>
  <c r="Y91"/>
  <c r="L105"/>
  <c r="Y90"/>
  <c r="N109"/>
  <c r="S126"/>
  <c r="S106"/>
  <c r="F104"/>
  <c r="N103"/>
  <c r="L116"/>
  <c r="Y71"/>
  <c r="P126"/>
  <c r="P124"/>
  <c r="P114"/>
  <c r="P108"/>
  <c r="P132"/>
  <c r="J120"/>
  <c r="J108"/>
  <c r="J110"/>
  <c r="J113"/>
  <c r="U107"/>
  <c r="U115"/>
  <c r="U120"/>
  <c r="U128"/>
  <c r="U130"/>
  <c r="I119"/>
  <c r="I122"/>
  <c r="I110"/>
  <c r="I125"/>
  <c r="I113"/>
  <c r="X107"/>
  <c r="X113"/>
  <c r="X130"/>
  <c r="X115"/>
  <c r="X124"/>
  <c r="X126"/>
  <c r="G104"/>
  <c r="O102"/>
  <c r="W102"/>
  <c r="J105"/>
  <c r="Q103"/>
  <c r="U104"/>
  <c r="Y70"/>
  <c r="Y107" s="1"/>
  <c r="Y83"/>
  <c r="Y72"/>
  <c r="Y76"/>
  <c r="Y74"/>
  <c r="Y77"/>
  <c r="Y86"/>
  <c r="Y88"/>
  <c r="Y79"/>
  <c r="Y87"/>
  <c r="Y73"/>
  <c r="Y80"/>
  <c r="Y95"/>
  <c r="Y132" s="1"/>
  <c r="N106"/>
  <c r="W108"/>
  <c r="Y58"/>
  <c r="Y85"/>
  <c r="Y92"/>
  <c r="Y82"/>
  <c r="I111"/>
  <c r="H126"/>
  <c r="H114"/>
  <c r="O121"/>
  <c r="P127"/>
  <c r="S118"/>
  <c r="X132"/>
  <c r="N130"/>
  <c r="G114"/>
  <c r="O103"/>
  <c r="M119"/>
  <c r="P112"/>
  <c r="P117"/>
  <c r="J126"/>
  <c r="J128"/>
  <c r="U125"/>
  <c r="U123"/>
  <c r="U110"/>
  <c r="I132"/>
  <c r="I124"/>
  <c r="I109"/>
  <c r="X118"/>
  <c r="Q102"/>
  <c r="N107"/>
  <c r="S130"/>
  <c r="K119"/>
  <c r="R131"/>
  <c r="R121"/>
  <c r="R115"/>
  <c r="R106"/>
  <c r="R129"/>
  <c r="H104"/>
  <c r="P103"/>
  <c r="W121"/>
  <c r="W115"/>
  <c r="G131"/>
  <c r="G122"/>
  <c r="F117"/>
  <c r="M122"/>
  <c r="K102"/>
  <c r="H123"/>
  <c r="Q110"/>
  <c r="V131"/>
  <c r="V123"/>
  <c r="P119"/>
  <c r="J121"/>
  <c r="J115"/>
  <c r="U131"/>
  <c r="U106"/>
  <c r="I118"/>
  <c r="X129"/>
  <c r="X111"/>
  <c r="G103"/>
  <c r="J103"/>
  <c r="Q105"/>
  <c r="N128"/>
  <c r="N117"/>
  <c r="N131"/>
  <c r="S122"/>
  <c r="S113"/>
  <c r="K112"/>
  <c r="K107"/>
  <c r="R119"/>
  <c r="R125"/>
  <c r="T104"/>
  <c r="R103"/>
  <c r="P105"/>
  <c r="W125"/>
  <c r="W106"/>
  <c r="W118"/>
  <c r="W131"/>
  <c r="G115"/>
  <c r="F109"/>
  <c r="F122"/>
  <c r="M120"/>
  <c r="M113"/>
  <c r="M110"/>
  <c r="M104"/>
  <c r="V102"/>
  <c r="F102"/>
  <c r="N105"/>
  <c r="L131"/>
  <c r="L110"/>
  <c r="L106"/>
  <c r="L128"/>
  <c r="H128"/>
  <c r="H125"/>
  <c r="T130"/>
  <c r="T114"/>
  <c r="T116"/>
  <c r="O130"/>
  <c r="O112"/>
  <c r="O117"/>
  <c r="Q112"/>
  <c r="Q115"/>
  <c r="Q121"/>
  <c r="V111"/>
  <c r="P111"/>
  <c r="P123"/>
  <c r="J132"/>
  <c r="J112"/>
  <c r="J119"/>
  <c r="U119"/>
  <c r="U112"/>
  <c r="I129"/>
  <c r="X120"/>
  <c r="X117"/>
  <c r="X106"/>
  <c r="N123"/>
  <c r="N121"/>
  <c r="S116"/>
  <c r="S125"/>
  <c r="K110"/>
  <c r="I102"/>
  <c r="W120"/>
  <c r="G110"/>
  <c r="G118"/>
  <c r="F111"/>
  <c r="F120"/>
  <c r="M128"/>
  <c r="L114"/>
  <c r="H130"/>
  <c r="H116"/>
  <c r="T132"/>
  <c r="T125"/>
  <c r="T109"/>
  <c r="Q128"/>
  <c r="Q119"/>
  <c r="V117"/>
  <c r="V119"/>
  <c r="V129"/>
  <c r="V122"/>
  <c r="E53"/>
  <c r="E43"/>
  <c r="F43" s="1"/>
  <c r="G43" s="1"/>
  <c r="H43" s="1"/>
  <c r="I43" s="1"/>
  <c r="J43" s="1"/>
  <c r="K43" s="1"/>
  <c r="L43" s="1"/>
  <c r="M43" s="1"/>
  <c r="N43" s="1"/>
  <c r="O43" s="1"/>
  <c r="P43" s="1"/>
  <c r="Q43" s="1"/>
  <c r="R43" s="1"/>
  <c r="S43" s="1"/>
  <c r="T43" s="1"/>
  <c r="U43" s="1"/>
  <c r="V43" s="1"/>
  <c r="W43" s="1"/>
  <c r="X43" s="1"/>
  <c r="E56"/>
  <c r="E46"/>
  <c r="F46" s="1"/>
  <c r="G46" s="1"/>
  <c r="H46" s="1"/>
  <c r="I46" s="1"/>
  <c r="J46" s="1"/>
  <c r="K46" s="1"/>
  <c r="L46" s="1"/>
  <c r="M46" s="1"/>
  <c r="N46" s="1"/>
  <c r="O46" s="1"/>
  <c r="P46" s="1"/>
  <c r="Q46" s="1"/>
  <c r="R46" s="1"/>
  <c r="S46" s="1"/>
  <c r="T46" s="1"/>
  <c r="U46" s="1"/>
  <c r="V46" s="1"/>
  <c r="W46" s="1"/>
  <c r="X46" s="1"/>
  <c r="E42"/>
  <c r="F42" s="1"/>
  <c r="G42" s="1"/>
  <c r="H42" s="1"/>
  <c r="I42" s="1"/>
  <c r="J42" s="1"/>
  <c r="K42" s="1"/>
  <c r="L42" s="1"/>
  <c r="M42" s="1"/>
  <c r="N42" s="1"/>
  <c r="O42" s="1"/>
  <c r="P42" s="1"/>
  <c r="Q42" s="1"/>
  <c r="R42" s="1"/>
  <c r="S42" s="1"/>
  <c r="T42" s="1"/>
  <c r="U42" s="1"/>
  <c r="V42" s="1"/>
  <c r="W42" s="1"/>
  <c r="X42" s="1"/>
  <c r="E52"/>
  <c r="P120"/>
  <c r="J122"/>
  <c r="U126"/>
  <c r="U108"/>
  <c r="S127"/>
  <c r="S128"/>
  <c r="T102"/>
  <c r="H102"/>
  <c r="W109"/>
  <c r="F129"/>
  <c r="F105"/>
  <c r="L122"/>
  <c r="L117"/>
  <c r="H119"/>
  <c r="O106"/>
  <c r="O107"/>
  <c r="Q117"/>
  <c r="P118"/>
  <c r="P109"/>
  <c r="P107"/>
  <c r="P121"/>
  <c r="P125"/>
  <c r="P122"/>
  <c r="J116"/>
  <c r="J131"/>
  <c r="J114"/>
  <c r="J111"/>
  <c r="J107"/>
  <c r="J117"/>
  <c r="U116"/>
  <c r="U132"/>
  <c r="U129"/>
  <c r="U111"/>
  <c r="U117"/>
  <c r="U114"/>
  <c r="I127"/>
  <c r="I112"/>
  <c r="I115"/>
  <c r="I128"/>
  <c r="I121"/>
  <c r="I116"/>
  <c r="X110"/>
  <c r="X123"/>
  <c r="X116"/>
  <c r="X131"/>
  <c r="X128"/>
  <c r="X119"/>
  <c r="G102"/>
  <c r="W105"/>
  <c r="J102"/>
  <c r="Q104"/>
  <c r="U105"/>
  <c r="N122"/>
  <c r="N120"/>
  <c r="N116"/>
  <c r="N113"/>
  <c r="N127"/>
  <c r="N129"/>
  <c r="S132"/>
  <c r="S121"/>
  <c r="S123"/>
  <c r="S112"/>
  <c r="S115"/>
  <c r="K109"/>
  <c r="K115"/>
  <c r="K121"/>
  <c r="K106"/>
  <c r="K111"/>
  <c r="K123"/>
  <c r="R122"/>
  <c r="R109"/>
  <c r="R118"/>
  <c r="R124"/>
  <c r="R116"/>
  <c r="T105"/>
  <c r="T103"/>
  <c r="H105"/>
  <c r="P104"/>
  <c r="W116"/>
  <c r="W123"/>
  <c r="W117"/>
  <c r="W130"/>
  <c r="W132"/>
  <c r="W119"/>
  <c r="W126"/>
  <c r="G109"/>
  <c r="G119"/>
  <c r="G113"/>
  <c r="G117"/>
  <c r="G126"/>
  <c r="F110"/>
  <c r="F119"/>
  <c r="F108"/>
  <c r="F127"/>
  <c r="F125"/>
  <c r="F132"/>
  <c r="M112"/>
  <c r="M127"/>
  <c r="M109"/>
  <c r="M130"/>
  <c r="M118"/>
  <c r="M103"/>
  <c r="K104"/>
  <c r="N104"/>
  <c r="L109"/>
  <c r="L129"/>
  <c r="L113"/>
  <c r="L126"/>
  <c r="L127"/>
  <c r="L118"/>
  <c r="L130"/>
  <c r="H115"/>
  <c r="H117"/>
  <c r="H120"/>
  <c r="H129"/>
  <c r="H124"/>
  <c r="H127"/>
  <c r="T128"/>
  <c r="T111"/>
  <c r="T129"/>
  <c r="T124"/>
  <c r="T131"/>
  <c r="T113"/>
  <c r="T115"/>
  <c r="O114"/>
  <c r="O111"/>
  <c r="O116"/>
  <c r="O108"/>
  <c r="O128"/>
  <c r="Q120"/>
  <c r="Q114"/>
  <c r="Q125"/>
  <c r="Q123"/>
  <c r="Q131"/>
  <c r="Q118"/>
  <c r="Q111"/>
  <c r="V116"/>
  <c r="V118"/>
  <c r="V110"/>
  <c r="V128"/>
  <c r="V106"/>
  <c r="V121"/>
  <c r="X104"/>
  <c r="X105"/>
  <c r="E44"/>
  <c r="F44" s="1"/>
  <c r="G44" s="1"/>
  <c r="H44" s="1"/>
  <c r="I44" s="1"/>
  <c r="J44" s="1"/>
  <c r="K44" s="1"/>
  <c r="L44" s="1"/>
  <c r="M44" s="1"/>
  <c r="N44" s="1"/>
  <c r="O44" s="1"/>
  <c r="P44" s="1"/>
  <c r="Q44" s="1"/>
  <c r="R44" s="1"/>
  <c r="S44" s="1"/>
  <c r="T44" s="1"/>
  <c r="U44" s="1"/>
  <c r="V44" s="1"/>
  <c r="W44" s="1"/>
  <c r="X44" s="1"/>
  <c r="E54"/>
  <c r="E55"/>
  <c r="E45"/>
  <c r="F45" s="1"/>
  <c r="G45" s="1"/>
  <c r="H45" s="1"/>
  <c r="I45" s="1"/>
  <c r="J45" s="1"/>
  <c r="K45" s="1"/>
  <c r="L45" s="1"/>
  <c r="M45" s="1"/>
  <c r="N45" s="1"/>
  <c r="O45" s="1"/>
  <c r="P45" s="1"/>
  <c r="Q45" s="1"/>
  <c r="R45" s="1"/>
  <c r="S45" s="1"/>
  <c r="T45" s="1"/>
  <c r="U45" s="1"/>
  <c r="V45" s="1"/>
  <c r="W45" s="1"/>
  <c r="X45" s="1"/>
  <c r="P128"/>
  <c r="J130"/>
  <c r="J124"/>
  <c r="U127"/>
  <c r="U121"/>
  <c r="I120"/>
  <c r="I114"/>
  <c r="X114"/>
  <c r="X108"/>
  <c r="X127"/>
  <c r="G105"/>
  <c r="O104"/>
  <c r="W103"/>
  <c r="U102"/>
  <c r="N110"/>
  <c r="N111"/>
  <c r="N126"/>
  <c r="S119"/>
  <c r="S110"/>
  <c r="S107"/>
  <c r="K113"/>
  <c r="K132"/>
  <c r="K128"/>
  <c r="K114"/>
  <c r="R126"/>
  <c r="I104"/>
  <c r="W128"/>
  <c r="G128"/>
  <c r="G123"/>
  <c r="G106"/>
  <c r="F130"/>
  <c r="F107"/>
  <c r="F131"/>
  <c r="M125"/>
  <c r="M117"/>
  <c r="M123"/>
  <c r="L123"/>
  <c r="L132"/>
  <c r="H106"/>
  <c r="H107"/>
  <c r="H113"/>
  <c r="T108"/>
  <c r="T118"/>
  <c r="T106"/>
  <c r="O132"/>
  <c r="O127"/>
  <c r="O120"/>
  <c r="Q108"/>
  <c r="Q127"/>
  <c r="V120"/>
  <c r="V126"/>
  <c r="V114"/>
  <c r="L103"/>
  <c r="X102"/>
  <c r="S103"/>
  <c r="AE5" i="23"/>
  <c r="Y67" i="6"/>
  <c r="Y66"/>
  <c r="Y65"/>
  <c r="Y64"/>
  <c r="Y101" s="1"/>
  <c r="Y68"/>
  <c r="P129"/>
  <c r="P113"/>
  <c r="P115"/>
  <c r="P130"/>
  <c r="P116"/>
  <c r="P131"/>
  <c r="J127"/>
  <c r="J125"/>
  <c r="J109"/>
  <c r="U122"/>
  <c r="U109"/>
  <c r="U124"/>
  <c r="I107"/>
  <c r="I108"/>
  <c r="I123"/>
  <c r="I126"/>
  <c r="X125"/>
  <c r="X121"/>
  <c r="X109"/>
  <c r="X122"/>
  <c r="O105"/>
  <c r="W104"/>
  <c r="J104"/>
  <c r="U103"/>
  <c r="N108"/>
  <c r="N118"/>
  <c r="S108"/>
  <c r="S120"/>
  <c r="S129"/>
  <c r="S114"/>
  <c r="K129"/>
  <c r="K108"/>
  <c r="K117"/>
  <c r="K125"/>
  <c r="R107"/>
  <c r="R130"/>
  <c r="R112"/>
  <c r="R114"/>
  <c r="R120"/>
  <c r="R128"/>
  <c r="H103"/>
  <c r="R105"/>
  <c r="P102"/>
  <c r="W110"/>
  <c r="W122"/>
  <c r="W111"/>
  <c r="W114"/>
  <c r="G108"/>
  <c r="G121"/>
  <c r="G132"/>
  <c r="G125"/>
  <c r="G130"/>
  <c r="F116"/>
  <c r="F113"/>
  <c r="F118"/>
  <c r="M126"/>
  <c r="M111"/>
  <c r="M132"/>
  <c r="M121"/>
  <c r="M102"/>
  <c r="M105"/>
  <c r="V103"/>
  <c r="V105"/>
  <c r="F103"/>
  <c r="N102"/>
  <c r="L107"/>
  <c r="L111"/>
  <c r="L124"/>
  <c r="H112"/>
  <c r="H110"/>
  <c r="H122"/>
  <c r="T120"/>
  <c r="T110"/>
  <c r="T122"/>
  <c r="T127"/>
  <c r="O122"/>
  <c r="O119"/>
  <c r="O126"/>
  <c r="O110"/>
  <c r="O123"/>
  <c r="Q130"/>
  <c r="Q113"/>
  <c r="Q106"/>
  <c r="Q109"/>
  <c r="V109"/>
  <c r="V113"/>
  <c r="L104"/>
  <c r="S105"/>
  <c r="Y105" l="1"/>
  <c r="Y127"/>
  <c r="Y111"/>
  <c r="Y124"/>
  <c r="Y112"/>
  <c r="Y116"/>
  <c r="Y118"/>
  <c r="Y125"/>
  <c r="Y114"/>
  <c r="Y108"/>
  <c r="Y130"/>
  <c r="Y110"/>
  <c r="Y115"/>
  <c r="Y123"/>
  <c r="Y121"/>
  <c r="Y131"/>
  <c r="Y129"/>
  <c r="P134"/>
  <c r="Y122"/>
  <c r="Y126"/>
  <c r="Y113"/>
  <c r="Y128"/>
  <c r="F134"/>
  <c r="O134"/>
  <c r="M134"/>
  <c r="Y117"/>
  <c r="L134"/>
  <c r="T134"/>
  <c r="G134"/>
  <c r="H134"/>
  <c r="K134"/>
  <c r="Y109"/>
  <c r="N134"/>
  <c r="X134"/>
  <c r="W134"/>
  <c r="R134"/>
  <c r="Y120"/>
  <c r="V134"/>
  <c r="S134"/>
  <c r="U134"/>
  <c r="J134"/>
  <c r="I134"/>
  <c r="Q134"/>
  <c r="Y119"/>
  <c r="Y102"/>
  <c r="Y104"/>
  <c r="X47"/>
  <c r="K7" i="23"/>
  <c r="AA56" i="6"/>
  <c r="Y106"/>
  <c r="Y103"/>
  <c r="E66"/>
  <c r="E68"/>
  <c r="E64"/>
  <c r="E101" s="1"/>
  <c r="K5" i="23"/>
  <c r="E67" i="6"/>
  <c r="E104" s="1"/>
  <c r="E65"/>
  <c r="AA54"/>
  <c r="AA53"/>
  <c r="K4" i="23"/>
  <c r="AA55" i="6"/>
  <c r="K6" i="23"/>
  <c r="E95" i="6"/>
  <c r="E74"/>
  <c r="E77"/>
  <c r="E83"/>
  <c r="E76"/>
  <c r="AA52"/>
  <c r="E92"/>
  <c r="E72"/>
  <c r="E87"/>
  <c r="E78"/>
  <c r="E81"/>
  <c r="E70"/>
  <c r="K3" i="23"/>
  <c r="E94" i="6"/>
  <c r="E84"/>
  <c r="E89"/>
  <c r="E75"/>
  <c r="E69"/>
  <c r="E80"/>
  <c r="E91"/>
  <c r="E73"/>
  <c r="E85"/>
  <c r="E71"/>
  <c r="E79"/>
  <c r="E93"/>
  <c r="E82"/>
  <c r="E86"/>
  <c r="E88"/>
  <c r="E58"/>
  <c r="E90"/>
  <c r="E121" l="1"/>
  <c r="Y135"/>
  <c r="C10" s="1"/>
  <c r="B58"/>
  <c r="E112"/>
  <c r="E125"/>
  <c r="E116"/>
  <c r="E130"/>
  <c r="E110"/>
  <c r="E124"/>
  <c r="E127"/>
  <c r="E119"/>
  <c r="E122"/>
  <c r="E106"/>
  <c r="E115"/>
  <c r="E103"/>
  <c r="E131"/>
  <c r="E111"/>
  <c r="E123"/>
  <c r="E108"/>
  <c r="E117"/>
  <c r="E118"/>
  <c r="E129"/>
  <c r="E114"/>
  <c r="E102"/>
  <c r="E105"/>
  <c r="E128"/>
  <c r="E126"/>
  <c r="E107"/>
  <c r="E109"/>
  <c r="E120"/>
  <c r="E97"/>
  <c r="F97" s="1"/>
  <c r="G97" s="1"/>
  <c r="H97" s="1"/>
  <c r="I97" s="1"/>
  <c r="J97" s="1"/>
  <c r="K97" s="1"/>
  <c r="L97" s="1"/>
  <c r="M97" s="1"/>
  <c r="N97" s="1"/>
  <c r="O97" s="1"/>
  <c r="P97" s="1"/>
  <c r="Q97" s="1"/>
  <c r="R97" s="1"/>
  <c r="S97" s="1"/>
  <c r="T97" s="1"/>
  <c r="U97" s="1"/>
  <c r="V97" s="1"/>
  <c r="W97" s="1"/>
  <c r="X97" s="1"/>
  <c r="E132"/>
  <c r="E113"/>
  <c r="E134" l="1"/>
  <c r="E135" s="1"/>
  <c r="F135" s="1"/>
  <c r="G135" s="1"/>
  <c r="H135" s="1"/>
  <c r="I135" s="1"/>
  <c r="J135" s="1"/>
  <c r="K135" s="1"/>
  <c r="L135" s="1"/>
  <c r="M135" s="1"/>
  <c r="N135" s="1"/>
  <c r="O135" s="1"/>
  <c r="P135" s="1"/>
  <c r="Q135" s="1"/>
  <c r="R135" s="1"/>
  <c r="S135" s="1"/>
  <c r="T135" s="1"/>
  <c r="U135" s="1"/>
  <c r="V135" s="1"/>
  <c r="W135" s="1"/>
  <c r="X135" s="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4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41"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41"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4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53"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53"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53"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53"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3.xml><?xml version="1.0" encoding="utf-8"?>
<comments xmlns="http://schemas.openxmlformats.org/spreadsheetml/2006/main">
  <authors>
    <author xml:space="preserve"> </author>
  </authors>
  <commentList>
    <comment ref="I6" authorId="0">
      <text>
        <r>
          <rPr>
            <b/>
            <sz val="8"/>
            <color indexed="81"/>
            <rFont val="Tahoma"/>
            <family val="2"/>
          </rPr>
          <t xml:space="preserve"> :ProCost</t>
        </r>
        <r>
          <rPr>
            <sz val="8"/>
            <color indexed="81"/>
            <rFont val="Tahoma"/>
            <family val="2"/>
          </rPr>
          <t xml:space="preserve">
Periodic replacement costs and savings of the measure.
These are costs and savings that occur periodically, but at different periods than annually.  
Can be positive or negative.  Periodic replacement costs for both the measure and the baseline measure should be included if applicable. 
ProCost can analyze these costs in two ways dependent on the 'Repeat Periodic Replacement'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per fixture must be replaced at years 6 and 11.  Lamp and labor costs, expressed as positive costs, are entered as a cost and the period would be entered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Annual operations and maintenance cost for the measure in dollars.  Must be incremental cost over the baseline alternative.  May be positive, negative or zero.  
Dollars must be denominated in the same year as 'Input Cost Reference Year' input on the ProData page. 
O&amp;M costs are entered as positive values.    Negative values represent O&amp;M savings compared to the baseline alternative. 
Example:  Annualized maintenance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List>
</comments>
</file>

<file path=xl/comments4.xml><?xml version="1.0" encoding="utf-8"?>
<comments xmlns="http://schemas.openxmlformats.org/spreadsheetml/2006/main">
  <authors>
    <author>Charlie Grist</author>
    <author>Staff member</author>
  </authors>
  <commentList>
    <comment ref="K10" authorId="0">
      <text>
        <r>
          <rPr>
            <b/>
            <sz val="8"/>
            <color indexed="81"/>
            <rFont val="Tahoma"/>
            <family val="2"/>
          </rPr>
          <t>Charlie Grist:</t>
        </r>
        <r>
          <rPr>
            <sz val="8"/>
            <color indexed="81"/>
            <rFont val="Tahoma"/>
            <family val="2"/>
          </rPr>
          <t xml:space="preserve">
Measure Opportunity</t>
        </r>
      </text>
    </comment>
    <comment ref="N10" authorId="0">
      <text>
        <r>
          <rPr>
            <b/>
            <sz val="8"/>
            <color indexed="81"/>
            <rFont val="Tahoma"/>
            <family val="2"/>
          </rPr>
          <t>Charlie Grist:</t>
        </r>
        <r>
          <rPr>
            <sz val="8"/>
            <color indexed="81"/>
            <rFont val="Tahoma"/>
            <family val="2"/>
          </rPr>
          <t xml:space="preserve">
Note that formula for weight is diferent for cooliing versus heating and ventilation components
</t>
        </r>
      </text>
    </comment>
    <comment ref="Z10" authorId="1">
      <text>
        <r>
          <rPr>
            <b/>
            <sz val="8"/>
            <color indexed="81"/>
            <rFont val="Tahoma"/>
            <family val="2"/>
          </rPr>
          <t>Staff member:</t>
        </r>
        <r>
          <rPr>
            <sz val="8"/>
            <color indexed="81"/>
            <rFont val="Tahoma"/>
            <family val="2"/>
          </rPr>
          <t xml:space="preserve">
Assume units convert to cooling as per new buildings</t>
        </r>
      </text>
    </comment>
  </commentList>
</comments>
</file>

<file path=xl/comments5.xml><?xml version="1.0" encoding="utf-8"?>
<comments xmlns="http://schemas.openxmlformats.org/spreadsheetml/2006/main">
  <authors>
    <author xml:space="preserve"> </author>
  </authors>
  <commentList>
    <comment ref="I6" authorId="0">
      <text>
        <r>
          <rPr>
            <b/>
            <sz val="8"/>
            <color indexed="81"/>
            <rFont val="Tahoma"/>
            <family val="2"/>
          </rPr>
          <t xml:space="preserve"> :ProCost</t>
        </r>
        <r>
          <rPr>
            <sz val="8"/>
            <color indexed="81"/>
            <rFont val="Tahoma"/>
            <family val="2"/>
          </rPr>
          <t xml:space="preserve">
Periodic replacement costs and savings of the measure.
These are costs and savings that occur periodically, but at different periods than annually.  
Can be positive or negative.  Periodic replacement costs for both the measure and the baseline measure should be included if applicable. 
ProCost can analyze these costs in two ways dependent on the 'Repeat Periodic Replacement'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per fixture must be replaced at years 6 and 11.  Lamp and labor costs, expressed as positive costs, are entered as a cost and the period would be entered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Annual operations and maintenance cost for the measure in dollars.  Must be incremental cost over the baseline alternative.  May be positive, negative or zero.  
Dollars must be denominated in the same year as 'Input Cost Reference Year' input on the ProData page. 
O&amp;M costs are entered as positive values.    Negative values represent O&amp;M savings compared to the baseline alternative. 
Example:  Annualized maintenance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List>
</comments>
</file>

<file path=xl/comments6.xml><?xml version="1.0" encoding="utf-8"?>
<comments xmlns="http://schemas.openxmlformats.org/spreadsheetml/2006/main">
  <authors>
    <author>Mike Baker</author>
    <author>Nick O'Neil</author>
  </authors>
  <commentList>
    <comment ref="A15" authorId="0">
      <text>
        <r>
          <rPr>
            <sz val="9"/>
            <color indexed="81"/>
            <rFont val="Tahoma"/>
            <family val="2"/>
          </rPr>
          <t>These workbooks are available on the RTF website. If you cannot find them contact RTF staff.</t>
        </r>
      </text>
    </comment>
    <comment ref="B23" authorId="0">
      <text>
        <r>
          <rPr>
            <sz val="9"/>
            <color indexed="81"/>
            <rFont val="Tahoma"/>
            <family val="2"/>
          </rPr>
          <t xml:space="preserve">Show the actual values used, unless they are too numerous. In those cases, cite the sheet, plot or table where the values can be found. When practical, use an expression to link values to the source cell used in computing savings, so that it will automatically update if the values used in computing savings change. Add text needed to clarify the scope, e.g., "single-wide" and units, e.g., "square feet" for each value. </t>
        </r>
      </text>
    </comment>
    <comment ref="B36" authorId="0">
      <text>
        <r>
          <rPr>
            <sz val="9"/>
            <color indexed="81"/>
            <rFont val="Tahoma"/>
            <family val="2"/>
          </rPr>
          <t xml:space="preserve">Separate and additive Savings Components should be used if the savings come from more than one component of the affected systems, e.g., cooling and heating, and it is technically practical.  Some estimation methods, such as experimental designs (comparing participant and non-participant energy use) may not allow this. </t>
        </r>
      </text>
    </comment>
    <comment ref="C36" authorId="0">
      <text>
        <r>
          <rPr>
            <sz val="9"/>
            <color indexed="81"/>
            <rFont val="Tahoma"/>
            <family val="2"/>
          </rPr>
          <t xml:space="preserve">For simple methods, describe the equation(s) using the exact spelling of the constants and parameters defined above and format as </t>
        </r>
        <r>
          <rPr>
            <b/>
            <sz val="9"/>
            <color indexed="81"/>
            <rFont val="Tahoma"/>
            <family val="2"/>
          </rPr>
          <t>bold</t>
        </r>
        <r>
          <rPr>
            <sz val="9"/>
            <color indexed="81"/>
            <rFont val="Tahoma"/>
            <family val="2"/>
          </rPr>
          <t xml:space="preserve">. If weighted average values are used describe the weighting method. If model calibration is performed, summarize the calibration procedure.
</t>
        </r>
      </text>
    </comment>
    <comment ref="A43" authorId="0">
      <text>
        <r>
          <rPr>
            <sz val="9"/>
            <color indexed="81"/>
            <rFont val="Tahoma"/>
            <family val="2"/>
          </rPr>
          <t>Costs may vary across applications of the measure defined by the measure identifiers (shown above), e.g., housing type.  If so, use this column to list the identifiers associated with each Analysis Approach.  At least one CostDataAnalysis sheet must be included that shows the derivation of each unique cost (capital and O&amp;M) value, consistent with the analysis approach(es).</t>
        </r>
      </text>
    </comment>
    <comment ref="H43" authorId="0">
      <text>
        <r>
          <rPr>
            <sz val="9"/>
            <color indexed="81"/>
            <rFont val="Tahoma"/>
            <family val="2"/>
          </rPr>
          <t>Analyst's best judgment about the level of uncertainty for each cost/benefit by measure identifier.  Can be expressed as +/- % or as high, medium, low.</t>
        </r>
      </text>
    </comment>
    <comment ref="B44" authorId="0">
      <text>
        <r>
          <rPr>
            <sz val="9"/>
            <color indexed="81"/>
            <rFont val="Tahoma"/>
            <family val="2"/>
          </rPr>
          <t xml:space="preserve">Added to the ProCost input "Capital Cost"
</t>
        </r>
      </text>
    </comment>
    <comment ref="B47" authorId="0">
      <text>
        <r>
          <rPr>
            <sz val="9"/>
            <color indexed="81"/>
            <rFont val="Tahoma"/>
            <family val="2"/>
          </rPr>
          <t>Added to the ProCost input "Annual O&amp;M"</t>
        </r>
      </text>
    </comment>
    <comment ref="B50" authorId="0">
      <text>
        <r>
          <rPr>
            <sz val="9"/>
            <color indexed="81"/>
            <rFont val="Tahoma"/>
            <family val="2"/>
          </rPr>
          <t>Added to the ProCost input "Annual O&amp;M"</t>
        </r>
      </text>
    </comment>
    <comment ref="B53" authorId="0">
      <text>
        <r>
          <rPr>
            <sz val="9"/>
            <color indexed="81"/>
            <rFont val="Tahoma"/>
            <family val="2"/>
          </rPr>
          <t xml:space="preserve">Basis for the ProCost input "Non-E Val ($/yr)"
</t>
        </r>
      </text>
    </comment>
    <comment ref="B56" authorId="0">
      <text>
        <r>
          <rPr>
            <sz val="9"/>
            <color indexed="81"/>
            <rFont val="Tahoma"/>
            <family val="2"/>
          </rPr>
          <t>By default, these are not considered. Provide justification if you are considering their inclusion within the analysis</t>
        </r>
      </text>
    </comment>
    <comment ref="A59" authorId="0">
      <text>
        <r>
          <rPr>
            <sz val="9"/>
            <color indexed="81"/>
            <rFont val="Tahoma"/>
            <family val="2"/>
          </rPr>
          <t>Measure lifetime may vary across applications of the measure defined by the measure identifiers (shown above), e.g., climate zone.  If so, use this column to list the identifiers associated with each Analysis Approach.  At least one LifetimeDataAnalysis sheet must be included that shows the derivation of each unique lifetime value, consistent with analysis approach(es).</t>
        </r>
      </text>
    </comment>
    <comment ref="H59" authorId="1">
      <text>
        <r>
          <rPr>
            <sz val="9"/>
            <color indexed="81"/>
            <rFont val="Tahoma"/>
            <family val="2"/>
          </rPr>
          <t xml:space="preserve">Analyst's best judgment about the level of uncertainty for each measure identifier.  Can be expressed as +/- % or as high, medium, low.
</t>
        </r>
      </text>
    </comment>
  </commentList>
</comments>
</file>

<file path=xl/comments7.xml><?xml version="1.0" encoding="utf-8"?>
<comments xmlns="http://schemas.openxmlformats.org/spreadsheetml/2006/main">
  <authors>
    <author>Mike Baker</author>
    <author>Nick O'Neil</author>
  </authors>
  <commentList>
    <comment ref="A15" authorId="0">
      <text>
        <r>
          <rPr>
            <sz val="9"/>
            <color indexed="81"/>
            <rFont val="Tahoma"/>
            <family val="2"/>
          </rPr>
          <t>These workbooks are available on the RTF website. If you cannot find them contact RTF staff.</t>
        </r>
      </text>
    </comment>
    <comment ref="B23" authorId="0">
      <text>
        <r>
          <rPr>
            <sz val="9"/>
            <color indexed="81"/>
            <rFont val="Tahoma"/>
            <family val="2"/>
          </rPr>
          <t xml:space="preserve">Show the actual values used, unless they are too numerous. In those cases, cite the sheet, plot or table where the values can be found. When practical, use an expression to link values to the source cell used in computing savings, so that it will automatically update if the values used in computing savings change. Add text needed to clarify the scope, e.g., "single-wide" and units, e.g., "square feet" for each value. </t>
        </r>
      </text>
    </comment>
    <comment ref="B36" authorId="0">
      <text>
        <r>
          <rPr>
            <sz val="9"/>
            <color indexed="81"/>
            <rFont val="Tahoma"/>
            <family val="2"/>
          </rPr>
          <t xml:space="preserve">Separate and additive Savings Components should be used if the savings come from more than one component of the affected systems, e.g., cooling and heating, and it is technically practical.  Some estimation methods, such as experimental designs (comparing participant and non-participant energy use) may not allow this. </t>
        </r>
      </text>
    </comment>
    <comment ref="C36" authorId="0">
      <text>
        <r>
          <rPr>
            <sz val="9"/>
            <color indexed="81"/>
            <rFont val="Tahoma"/>
            <family val="2"/>
          </rPr>
          <t xml:space="preserve">For simple methods, describe the equation(s) using the exact spelling of the constants and parameters defined above and format as </t>
        </r>
        <r>
          <rPr>
            <b/>
            <sz val="9"/>
            <color indexed="81"/>
            <rFont val="Tahoma"/>
            <family val="2"/>
          </rPr>
          <t>bold</t>
        </r>
        <r>
          <rPr>
            <sz val="9"/>
            <color indexed="81"/>
            <rFont val="Tahoma"/>
            <family val="2"/>
          </rPr>
          <t xml:space="preserve">. If weighted average values are used describe the weighting method. If model calibration is performed, summarize the calibration procedure.
</t>
        </r>
      </text>
    </comment>
    <comment ref="A42" authorId="0">
      <text>
        <r>
          <rPr>
            <sz val="9"/>
            <color indexed="81"/>
            <rFont val="Tahoma"/>
            <family val="2"/>
          </rPr>
          <t>Costs may vary across applications of the measure defined by the measure identifiers (shown above), e.g., housing type.  If so, use this column to list the identifiers associated with each Analysis Approach.  At least one CostDataAnalysis sheet must be included that shows the derivation of each unique cost (capital and O&amp;M) value, consistent with the analysis approach(es).</t>
        </r>
      </text>
    </comment>
    <comment ref="H42" authorId="0">
      <text>
        <r>
          <rPr>
            <sz val="9"/>
            <color indexed="81"/>
            <rFont val="Tahoma"/>
            <family val="2"/>
          </rPr>
          <t>Analyst's best judgment about the level of uncertainty for each cost/benefit by measure identifier.  Can be expressed as +/- % or as high, medium, low.</t>
        </r>
      </text>
    </comment>
    <comment ref="B43" authorId="0">
      <text>
        <r>
          <rPr>
            <sz val="9"/>
            <color indexed="81"/>
            <rFont val="Tahoma"/>
            <family val="2"/>
          </rPr>
          <t xml:space="preserve">Added to the ProCost input "Capital Cost"
</t>
        </r>
      </text>
    </comment>
    <comment ref="B46" authorId="0">
      <text>
        <r>
          <rPr>
            <sz val="9"/>
            <color indexed="81"/>
            <rFont val="Tahoma"/>
            <family val="2"/>
          </rPr>
          <t>Added to the ProCost input "Annual O&amp;M"</t>
        </r>
      </text>
    </comment>
    <comment ref="B49" authorId="0">
      <text>
        <r>
          <rPr>
            <sz val="9"/>
            <color indexed="81"/>
            <rFont val="Tahoma"/>
            <family val="2"/>
          </rPr>
          <t>Added to the ProCost input "Annual O&amp;M"</t>
        </r>
      </text>
    </comment>
    <comment ref="B52" authorId="0">
      <text>
        <r>
          <rPr>
            <sz val="9"/>
            <color indexed="81"/>
            <rFont val="Tahoma"/>
            <family val="2"/>
          </rPr>
          <t xml:space="preserve">Basis for the ProCost input "Non-E Val ($/yr)"
</t>
        </r>
      </text>
    </comment>
    <comment ref="B55" authorId="0">
      <text>
        <r>
          <rPr>
            <sz val="9"/>
            <color indexed="81"/>
            <rFont val="Tahoma"/>
            <family val="2"/>
          </rPr>
          <t>By default, these are not considered. Provide justification if you are considering their inclusion within the analysis</t>
        </r>
      </text>
    </comment>
    <comment ref="A58" authorId="0">
      <text>
        <r>
          <rPr>
            <sz val="9"/>
            <color indexed="81"/>
            <rFont val="Tahoma"/>
            <family val="2"/>
          </rPr>
          <t>Measure lifetime may vary across applications of the measure defined by the measure identifiers (shown above), e.g., climate zone.  If so, use this column to list the identifiers associated with each Analysis Approach.  At least one LifetimeDataAnalysis sheet must be included that shows the derivation of each unique lifetime value, consistent with analysis approach(es).</t>
        </r>
      </text>
    </comment>
    <comment ref="H58" authorId="1">
      <text>
        <r>
          <rPr>
            <sz val="9"/>
            <color indexed="81"/>
            <rFont val="Tahoma"/>
            <family val="2"/>
          </rPr>
          <t xml:space="preserve">Analyst's best judgment about the level of uncertainty for each measure identifier.  Can be expressed as +/- % or as high, medium, low.
</t>
        </r>
      </text>
    </comment>
  </commentList>
</comments>
</file>

<file path=xl/comments8.xml><?xml version="1.0" encoding="utf-8"?>
<comments xmlns="http://schemas.openxmlformats.org/spreadsheetml/2006/main">
  <authors>
    <author>Mike Baker</author>
    <author>Nick O'Neil</author>
  </authors>
  <commentList>
    <comment ref="A15" authorId="0">
      <text>
        <r>
          <rPr>
            <sz val="9"/>
            <color indexed="81"/>
            <rFont val="Tahoma"/>
            <family val="2"/>
          </rPr>
          <t>These workbooks are available on the RTF website. If you cannot find them contact RTF staff.</t>
        </r>
      </text>
    </comment>
    <comment ref="B23" authorId="0">
      <text>
        <r>
          <rPr>
            <sz val="9"/>
            <color indexed="81"/>
            <rFont val="Tahoma"/>
            <family val="2"/>
          </rPr>
          <t xml:space="preserve">Show the actual values used, unless they are too numerous. In those cases, cite the sheet, plot or table where the values can be found. When practical, use an expression to link values to the source cell used in computing savings, so that it will automatically update if the values used in computing savings change. Add text needed to clarify the scope, e.g., "single-wide" and units, e.g., "square feet" for each value. </t>
        </r>
      </text>
    </comment>
    <comment ref="B36" authorId="0">
      <text>
        <r>
          <rPr>
            <sz val="9"/>
            <color indexed="81"/>
            <rFont val="Tahoma"/>
            <family val="2"/>
          </rPr>
          <t xml:space="preserve">Separate and additive Savings Components should be used if the savings come from more than one component of the affected systems, e.g., cooling and heating, and it is technically practical.  Some estimation methods, such as experimental designs (comparing participant and non-participant energy use) may not allow this. </t>
        </r>
      </text>
    </comment>
    <comment ref="C36" authorId="0">
      <text>
        <r>
          <rPr>
            <sz val="9"/>
            <color indexed="81"/>
            <rFont val="Tahoma"/>
            <family val="2"/>
          </rPr>
          <t xml:space="preserve">For simple methods, describe the equation(s) using the exact spelling of the constants and parameters defined above and format as </t>
        </r>
        <r>
          <rPr>
            <b/>
            <sz val="9"/>
            <color indexed="81"/>
            <rFont val="Tahoma"/>
            <family val="2"/>
          </rPr>
          <t>bold</t>
        </r>
        <r>
          <rPr>
            <sz val="9"/>
            <color indexed="81"/>
            <rFont val="Tahoma"/>
            <family val="2"/>
          </rPr>
          <t xml:space="preserve">. If weighted average values are used describe the weighting method. If model calibration is performed, summarize the calibration procedure.
</t>
        </r>
      </text>
    </comment>
    <comment ref="A42" authorId="0">
      <text>
        <r>
          <rPr>
            <sz val="9"/>
            <color indexed="81"/>
            <rFont val="Tahoma"/>
            <family val="2"/>
          </rPr>
          <t>Costs may vary across applications of the measure defined by the measure identifiers (shown above), e.g., housing type.  If so, use this column to list the identifiers associated with each Analysis Approach.  At least one CostDataAnalysis sheet must be included that shows the derivation of each unique cost (capital and O&amp;M) value, consistent with the analysis approach(es).</t>
        </r>
      </text>
    </comment>
    <comment ref="H42" authorId="0">
      <text>
        <r>
          <rPr>
            <sz val="9"/>
            <color indexed="81"/>
            <rFont val="Tahoma"/>
            <family val="2"/>
          </rPr>
          <t>Analyst's best judgment about the level of uncertainty for each cost/benefit by measure identifier.  Can be expressed as +/- % or as high, medium, low.</t>
        </r>
      </text>
    </comment>
    <comment ref="B43" authorId="0">
      <text>
        <r>
          <rPr>
            <sz val="9"/>
            <color indexed="81"/>
            <rFont val="Tahoma"/>
            <family val="2"/>
          </rPr>
          <t xml:space="preserve">Added to the ProCost input "Capital Cost"
</t>
        </r>
      </text>
    </comment>
    <comment ref="B46" authorId="0">
      <text>
        <r>
          <rPr>
            <sz val="9"/>
            <color indexed="81"/>
            <rFont val="Tahoma"/>
            <family val="2"/>
          </rPr>
          <t>Added to the ProCost input "Annual O&amp;M"</t>
        </r>
      </text>
    </comment>
    <comment ref="B49" authorId="0">
      <text>
        <r>
          <rPr>
            <sz val="9"/>
            <color indexed="81"/>
            <rFont val="Tahoma"/>
            <family val="2"/>
          </rPr>
          <t>Added to the ProCost input "Annual O&amp;M"</t>
        </r>
      </text>
    </comment>
    <comment ref="B52" authorId="0">
      <text>
        <r>
          <rPr>
            <sz val="9"/>
            <color indexed="81"/>
            <rFont val="Tahoma"/>
            <family val="2"/>
          </rPr>
          <t xml:space="preserve">Basis for the ProCost input "Non-E Val ($/yr)"
</t>
        </r>
      </text>
    </comment>
    <comment ref="B55" authorId="0">
      <text>
        <r>
          <rPr>
            <sz val="9"/>
            <color indexed="81"/>
            <rFont val="Tahoma"/>
            <family val="2"/>
          </rPr>
          <t>By default, these are not considered. Provide justification if you are considering their inclusion within the analysis</t>
        </r>
      </text>
    </comment>
    <comment ref="A58" authorId="0">
      <text>
        <r>
          <rPr>
            <sz val="9"/>
            <color indexed="81"/>
            <rFont val="Tahoma"/>
            <family val="2"/>
          </rPr>
          <t>Measure lifetime may vary across applications of the measure defined by the measure identifiers (shown above), e.g., climate zone.  If so, use this column to list the identifiers associated with each Analysis Approach.  At least one LifetimeDataAnalysis sheet must be included that shows the derivation of each unique lifetime value, consistent with analysis approach(es).</t>
        </r>
      </text>
    </comment>
    <comment ref="H58" authorId="1">
      <text>
        <r>
          <rPr>
            <sz val="9"/>
            <color indexed="81"/>
            <rFont val="Tahoma"/>
            <family val="2"/>
          </rPr>
          <t xml:space="preserve">Analyst's best judgment about the level of uncertainty for each measure identifier.  Can be expressed as +/- % or as high, medium, low.
</t>
        </r>
      </text>
    </comment>
  </commentList>
</comments>
</file>

<file path=xl/comments9.xml><?xml version="1.0" encoding="utf-8"?>
<comments xmlns="http://schemas.openxmlformats.org/spreadsheetml/2006/main">
  <authors>
    <author>Mike Baker</author>
    <author>Nick O'Neil</author>
  </authors>
  <commentList>
    <comment ref="A15" authorId="0">
      <text>
        <r>
          <rPr>
            <sz val="9"/>
            <color indexed="81"/>
            <rFont val="Tahoma"/>
            <family val="2"/>
          </rPr>
          <t>These workbooks are available on the RTF website. If you cannot find them contact RTF staff.</t>
        </r>
      </text>
    </comment>
    <comment ref="B23" authorId="0">
      <text>
        <r>
          <rPr>
            <sz val="9"/>
            <color indexed="81"/>
            <rFont val="Tahoma"/>
            <family val="2"/>
          </rPr>
          <t xml:space="preserve">Show the actual values used, unless they are too numerous. In those cases, cite the sheet, plot or table where the values can be found. When practical, use an expression to link values to the source cell used in computing savings, so that it will automatically update if the values used in computing savings change. Add text needed to clarify the scope, e.g., "single-wide" and units, e.g., "square feet" for each value. </t>
        </r>
      </text>
    </comment>
    <comment ref="B28" authorId="0">
      <text>
        <r>
          <rPr>
            <sz val="9"/>
            <color indexed="81"/>
            <rFont val="Tahoma"/>
            <family val="2"/>
          </rPr>
          <t xml:space="preserve">Separate and additive Savings Components should be used if the savings come from more than one component of the affected systems, e.g., cooling and heating, and it is technically practical.  Some estimation methods, such as experimental designs (comparing participant and non-participant energy use) may not allow this. </t>
        </r>
      </text>
    </comment>
    <comment ref="C28" authorId="0">
      <text>
        <r>
          <rPr>
            <sz val="9"/>
            <color indexed="81"/>
            <rFont val="Tahoma"/>
            <family val="2"/>
          </rPr>
          <t xml:space="preserve">For simple methods, describe the equation(s) using the exact spelling of the constants and parameters defined above and format as </t>
        </r>
        <r>
          <rPr>
            <b/>
            <sz val="9"/>
            <color indexed="81"/>
            <rFont val="Tahoma"/>
            <family val="2"/>
          </rPr>
          <t>bold</t>
        </r>
        <r>
          <rPr>
            <sz val="9"/>
            <color indexed="81"/>
            <rFont val="Tahoma"/>
            <family val="2"/>
          </rPr>
          <t xml:space="preserve">. If weighted average values are used describe the weighting method. If model calibration is performed, summarize the calibration procedure.
</t>
        </r>
      </text>
    </comment>
    <comment ref="A33" authorId="0">
      <text>
        <r>
          <rPr>
            <sz val="9"/>
            <color indexed="81"/>
            <rFont val="Tahoma"/>
            <family val="2"/>
          </rPr>
          <t>Costs may vary across applications of the measure defined by the measure identifiers (shown above), e.g., housing type.  If so, use this column to list the identifiers associated with each Analysis Approach.  At least one CostDataAnalysis sheet must be included that shows the derivation of each unique cost (capital and O&amp;M) value, consistent with the analysis approach(es).</t>
        </r>
      </text>
    </comment>
    <comment ref="H33" authorId="0">
      <text>
        <r>
          <rPr>
            <sz val="9"/>
            <color indexed="81"/>
            <rFont val="Tahoma"/>
            <family val="2"/>
          </rPr>
          <t>Analyst's best judgment about the level of uncertainty for each cost/benefit by measure identifier.  Can be expressed as +/- % or as high, medium, low.</t>
        </r>
      </text>
    </comment>
    <comment ref="B34" authorId="0">
      <text>
        <r>
          <rPr>
            <sz val="9"/>
            <color indexed="81"/>
            <rFont val="Tahoma"/>
            <family val="2"/>
          </rPr>
          <t xml:space="preserve">Added to the ProCost input "Capital Cost"
</t>
        </r>
      </text>
    </comment>
    <comment ref="B37" authorId="0">
      <text>
        <r>
          <rPr>
            <sz val="9"/>
            <color indexed="81"/>
            <rFont val="Tahoma"/>
            <family val="2"/>
          </rPr>
          <t>Added to the ProCost input "Annual O&amp;M"</t>
        </r>
      </text>
    </comment>
    <comment ref="B40" authorId="0">
      <text>
        <r>
          <rPr>
            <sz val="9"/>
            <color indexed="81"/>
            <rFont val="Tahoma"/>
            <family val="2"/>
          </rPr>
          <t>Added to the ProCost input "Annual O&amp;M"</t>
        </r>
      </text>
    </comment>
    <comment ref="B43" authorId="0">
      <text>
        <r>
          <rPr>
            <sz val="9"/>
            <color indexed="81"/>
            <rFont val="Tahoma"/>
            <family val="2"/>
          </rPr>
          <t xml:space="preserve">Basis for the ProCost input "Non-E Val ($/yr)"
</t>
        </r>
      </text>
    </comment>
    <comment ref="B46" authorId="0">
      <text>
        <r>
          <rPr>
            <sz val="9"/>
            <color indexed="81"/>
            <rFont val="Tahoma"/>
            <family val="2"/>
          </rPr>
          <t>By default, these are not considered. Provide justification if you are considering their inclusion within the analysis</t>
        </r>
      </text>
    </comment>
    <comment ref="A49" authorId="0">
      <text>
        <r>
          <rPr>
            <sz val="9"/>
            <color indexed="81"/>
            <rFont val="Tahoma"/>
            <family val="2"/>
          </rPr>
          <t>Measure lifetime may vary across applications of the measure defined by the measure identifiers (shown above), e.g., climate zone.  If so, use this column to list the identifiers associated with each Analysis Approach.  At least one LifetimeDataAnalysis sheet must be included that shows the derivation of each unique lifetime value, consistent with analysis approach(es).</t>
        </r>
      </text>
    </comment>
    <comment ref="H49" authorId="1">
      <text>
        <r>
          <rPr>
            <sz val="9"/>
            <color indexed="81"/>
            <rFont val="Tahoma"/>
            <family val="2"/>
          </rPr>
          <t xml:space="preserve">Analyst's best judgment about the level of uncertainty for each measure identifier.  Can be expressed as +/- % or as high, medium, low.
</t>
        </r>
      </text>
    </comment>
  </commentList>
</comments>
</file>

<file path=xl/comments10.xml><?xml version="1.0" encoding="utf-8"?>
<comments xmlns="http://schemas.openxmlformats.org/spreadsheetml/2006/main">
  <authors>
    <author>Mike Baker</author>
    <author>Nick O'Neil</author>
  </authors>
  <commentList>
    <comment ref="A15" authorId="0">
      <text>
        <r>
          <rPr>
            <sz val="9"/>
            <color indexed="81"/>
            <rFont val="Tahoma"/>
            <family val="2"/>
          </rPr>
          <t>These workbooks are available on the RTF website. If you cannot find them contact RTF staff.</t>
        </r>
      </text>
    </comment>
    <comment ref="B23" authorId="0">
      <text>
        <r>
          <rPr>
            <sz val="9"/>
            <color indexed="81"/>
            <rFont val="Tahoma"/>
            <family val="2"/>
          </rPr>
          <t xml:space="preserve">Show the actual values used, unless they are too numerous. In those cases, cite the sheet, plot or table where the values can be found. When practical, use an expression to link values to the source cell used in computing savings, so that it will automatically update if the values used in computing savings change. Add text needed to clarify the scope, e.g., "single-wide" and units, e.g., "square feet" for each value. </t>
        </r>
      </text>
    </comment>
    <comment ref="B36" authorId="0">
      <text>
        <r>
          <rPr>
            <sz val="9"/>
            <color indexed="81"/>
            <rFont val="Tahoma"/>
            <family val="2"/>
          </rPr>
          <t xml:space="preserve">Separate and additive Savings Components should be used if the savings come from more than one component of the affected systems, e.g., cooling and heating, and it is technically practical.  Some estimation methods, such as experimental designs (comparing participant and non-participant energy use) may not allow this. </t>
        </r>
      </text>
    </comment>
    <comment ref="C36" authorId="0">
      <text>
        <r>
          <rPr>
            <sz val="9"/>
            <color indexed="81"/>
            <rFont val="Tahoma"/>
            <family val="2"/>
          </rPr>
          <t xml:space="preserve">For simple methods, describe the equation(s) using the exact spelling of the constants and parameters defined above and format as </t>
        </r>
        <r>
          <rPr>
            <b/>
            <sz val="9"/>
            <color indexed="81"/>
            <rFont val="Tahoma"/>
            <family val="2"/>
          </rPr>
          <t>bold</t>
        </r>
        <r>
          <rPr>
            <sz val="9"/>
            <color indexed="81"/>
            <rFont val="Tahoma"/>
            <family val="2"/>
          </rPr>
          <t xml:space="preserve">. If weighted average values are used describe the weighting method. If model calibration is performed, summarize the calibration procedure.
</t>
        </r>
      </text>
    </comment>
    <comment ref="A43" authorId="0">
      <text>
        <r>
          <rPr>
            <sz val="9"/>
            <color indexed="81"/>
            <rFont val="Tahoma"/>
            <family val="2"/>
          </rPr>
          <t>Costs may vary across applications of the measure defined by the measure identifiers (shown above), e.g., housing type.  If so, use this column to list the identifiers associated with each Analysis Approach.  At least one CostDataAnalysis sheet must be included that shows the derivation of each unique cost (capital and O&amp;M) value, consistent with the analysis approach(es).</t>
        </r>
      </text>
    </comment>
    <comment ref="H43" authorId="0">
      <text>
        <r>
          <rPr>
            <sz val="9"/>
            <color indexed="81"/>
            <rFont val="Tahoma"/>
            <family val="2"/>
          </rPr>
          <t>Analyst's best judgment about the level of uncertainty for each cost/benefit by measure identifier.  Can be expressed as +/- % or as high, medium, low.</t>
        </r>
      </text>
    </comment>
    <comment ref="B44" authorId="0">
      <text>
        <r>
          <rPr>
            <sz val="9"/>
            <color indexed="81"/>
            <rFont val="Tahoma"/>
            <family val="2"/>
          </rPr>
          <t xml:space="preserve">Added to the ProCost input "Capital Cost"
</t>
        </r>
      </text>
    </comment>
    <comment ref="B47" authorId="0">
      <text>
        <r>
          <rPr>
            <sz val="9"/>
            <color indexed="81"/>
            <rFont val="Tahoma"/>
            <family val="2"/>
          </rPr>
          <t>Added to the ProCost input "Annual O&amp;M"</t>
        </r>
      </text>
    </comment>
    <comment ref="B50" authorId="0">
      <text>
        <r>
          <rPr>
            <sz val="9"/>
            <color indexed="81"/>
            <rFont val="Tahoma"/>
            <family val="2"/>
          </rPr>
          <t>Added to the ProCost input "Annual O&amp;M"</t>
        </r>
      </text>
    </comment>
    <comment ref="B53" authorId="0">
      <text>
        <r>
          <rPr>
            <sz val="9"/>
            <color indexed="81"/>
            <rFont val="Tahoma"/>
            <family val="2"/>
          </rPr>
          <t xml:space="preserve">Basis for the ProCost input "Non-E Val ($/yr)"
</t>
        </r>
      </text>
    </comment>
    <comment ref="B56" authorId="0">
      <text>
        <r>
          <rPr>
            <sz val="9"/>
            <color indexed="81"/>
            <rFont val="Tahoma"/>
            <family val="2"/>
          </rPr>
          <t>By default, these are not considered. Provide justification if you are considering their inclusion within the analysis</t>
        </r>
      </text>
    </comment>
    <comment ref="A59" authorId="0">
      <text>
        <r>
          <rPr>
            <sz val="9"/>
            <color indexed="81"/>
            <rFont val="Tahoma"/>
            <family val="2"/>
          </rPr>
          <t>Measure lifetime may vary across applications of the measure defined by the measure identifiers (shown above), e.g., climate zone.  If so, use this column to list the identifiers associated with each Analysis Approach.  At least one LifetimeDataAnalysis sheet must be included that shows the derivation of each unique lifetime value, consistent with analysis approach(es).</t>
        </r>
      </text>
    </comment>
    <comment ref="H59" authorId="1">
      <text>
        <r>
          <rPr>
            <sz val="9"/>
            <color indexed="81"/>
            <rFont val="Tahoma"/>
            <family val="2"/>
          </rPr>
          <t xml:space="preserve">Analyst's best judgment about the level of uncertainty for each measure identifier.  Can be expressed as +/- % or as high, medium, low.
</t>
        </r>
      </text>
    </comment>
  </commentList>
</comments>
</file>

<file path=xl/sharedStrings.xml><?xml version="1.0" encoding="utf-8"?>
<sst xmlns="http://schemas.openxmlformats.org/spreadsheetml/2006/main" count="2925" uniqueCount="1202">
  <si>
    <t>Item</t>
  </si>
  <si>
    <t>Methods &amp; Sources</t>
  </si>
  <si>
    <t>Note</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</si>
  <si>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</si>
  <si>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</si>
  <si>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</si>
  <si>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</si>
  <si>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</si>
  <si>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</si>
  <si>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</si>
  <si>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</si>
  <si>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</si>
  <si>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</si>
  <si>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</si>
  <si>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</si>
  <si>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</si>
  <si>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</si>
  <si>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</si>
  <si>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</si>
  <si>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</si>
  <si>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</si>
  <si>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</si>
  <si>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</si>
  <si>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</si>
  <si>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</si>
  <si>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</si>
  <si>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</si>
  <si>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</si>
  <si>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</si>
  <si>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</si>
  <si>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</si>
  <si>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</si>
  <si>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</si>
  <si>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</si>
  <si>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</si>
  <si>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</si>
  <si>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</si>
  <si>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</si>
  <si>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</si>
  <si>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</si>
  <si>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</si>
  <si>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Base Measure Name</t>
  </si>
  <si>
    <t>Category weighted for MeasEquipment</t>
  </si>
  <si>
    <t>Category Weighted for Weighting by Btype</t>
  </si>
  <si>
    <t>Option</t>
  </si>
  <si>
    <t>Spce Heat</t>
  </si>
  <si>
    <t>Savings End Use</t>
  </si>
  <si>
    <t>End Use Savinsg</t>
  </si>
  <si>
    <t>BType</t>
  </si>
  <si>
    <t>MOPP</t>
  </si>
  <si>
    <t>STOCK</t>
  </si>
  <si>
    <t>Weight for fuel measure density end use by Btype</t>
  </si>
  <si>
    <t>RAW Savings (kWh/yr.)</t>
  </si>
  <si>
    <t>RAW Capital Cost ($)</t>
  </si>
  <si>
    <t>REGIONAL WEIGHT (% of Stock)</t>
  </si>
  <si>
    <t>FLOOR AREA IN ROOF TOPS</t>
  </si>
  <si>
    <t>MEASURE DENSITY</t>
  </si>
  <si>
    <t>ECONOMIZER</t>
  </si>
  <si>
    <t>ELEC HEAT</t>
  </si>
  <si>
    <t>GAS HEAT</t>
  </si>
  <si>
    <t>HEAT PUMP HEAT</t>
  </si>
  <si>
    <t>COOLING SATURATION</t>
  </si>
  <si>
    <t>COOLING STOCK</t>
  </si>
  <si>
    <t>RAW ANNUAL GAS (therms)</t>
  </si>
  <si>
    <t>Fuel Weight</t>
  </si>
  <si>
    <t>Measure Map</t>
  </si>
  <si>
    <t xml:space="preserve">Description </t>
  </si>
  <si>
    <t>Date Done</t>
  </si>
  <si>
    <t>Who</t>
  </si>
  <si>
    <t>Result</t>
  </si>
  <si>
    <t>Baseline</t>
  </si>
  <si>
    <t>FLAT</t>
  </si>
  <si>
    <t>Units Methodology</t>
  </si>
  <si>
    <t>Measure Bundle</t>
  </si>
  <si>
    <t>Report Year</t>
  </si>
  <si>
    <t>UNITS FOR EXISTING STOCK</t>
  </si>
  <si>
    <t>APPLY MEASURE APPLICABILITY, TURNOVER RATE AND ACHIEVABLE PENETRATION RATE FOR MAX ANNUAL RATE</t>
  </si>
  <si>
    <t>Measure Applicability Factor</t>
  </si>
  <si>
    <t>Turnover Rate</t>
  </si>
  <si>
    <t>Non-Building Stock</t>
  </si>
  <si>
    <t xml:space="preserve">CUMULATIVE MAX BASED ON APPL, TURN &amp; ACHIEV  </t>
  </si>
  <si>
    <t>SUPPLY CURVE SAVINGS BY BUNDLE</t>
  </si>
  <si>
    <t>TRC Net Levelized Cost (Net of All Benefits) in mills/kWh</t>
  </si>
  <si>
    <t>Busbar Savings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</si>
  <si>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</si>
  <si>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</si>
  <si>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</si>
  <si>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</si>
  <si>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</si>
  <si>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</si>
  <si>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</si>
  <si>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</si>
  <si>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</si>
  <si>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</si>
  <si>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</si>
  <si>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</si>
  <si>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</si>
  <si>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</si>
  <si>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</si>
  <si>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</si>
  <si>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</si>
  <si>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</si>
  <si>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</si>
  <si>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</si>
  <si>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</si>
  <si>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</si>
  <si>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Total per Year</t>
  </si>
  <si>
    <t>Total Cumulative</t>
  </si>
  <si>
    <t>ProCost Results</t>
  </si>
  <si>
    <t xml:space="preserve">Version:    </t>
  </si>
  <si>
    <t>Run Time:</t>
  </si>
  <si>
    <t>Regurgitation of ProData input parameters which were used for this run</t>
  </si>
  <si>
    <t>Run Parameters</t>
  </si>
  <si>
    <t>Marginal Cost &amp; Conservation Load Shape Parameters</t>
  </si>
  <si>
    <t>Sponsor Parameters</t>
  </si>
  <si>
    <t>Program Parameters</t>
  </si>
  <si>
    <t>Utility System Parameters</t>
  </si>
  <si>
    <t>Electric</t>
  </si>
  <si>
    <t>Gas</t>
  </si>
  <si>
    <t>Run Type</t>
  </si>
  <si>
    <t>Marginal Costs and Savings Shape File</t>
  </si>
  <si>
    <t>Customer</t>
  </si>
  <si>
    <t>Wholesale Elec</t>
  </si>
  <si>
    <t>Retail Elec</t>
  </si>
  <si>
    <t>Nat Gas</t>
  </si>
  <si>
    <t>Program Life (yrs)</t>
  </si>
  <si>
    <t>Negative B/C Ratios</t>
  </si>
  <si>
    <t>Marginal Elec Avoided Cost Input Worksheet</t>
  </si>
  <si>
    <t>Real After-Tax Cost of Capital</t>
  </si>
  <si>
    <t>Program Start Date</t>
  </si>
  <si>
    <t>Bulk System T&amp;D Credit ($/kw-yr)($/dailytherm-yr)</t>
  </si>
  <si>
    <t>Admin Cost @ Category Level</t>
  </si>
  <si>
    <t>Elec Savings Shape Input Worksheet</t>
  </si>
  <si>
    <t>Financial Life (years)</t>
  </si>
  <si>
    <t>Present Value Time Zero</t>
  </si>
  <si>
    <t xml:space="preserve">Repeat Periodic Replacement </t>
  </si>
  <si>
    <t>Marginal Gas Avoided Cost Input Worksheet</t>
  </si>
  <si>
    <t>Input Cost Reference Year</t>
  </si>
  <si>
    <t>Local System Dist Credit ($/kw-yr)($/dailytherm-yr)</t>
  </si>
  <si>
    <t>Gas Savings Shape Input Worksheet</t>
  </si>
  <si>
    <t xml:space="preserve">Sponsor Share of Initial Capital Cost </t>
  </si>
  <si>
    <t>Real Discount Rate</t>
  </si>
  <si>
    <t>Run Type:</t>
  </si>
  <si>
    <t>Marginal Elec CO2 per kWh Input Worksheet</t>
  </si>
  <si>
    <t>Sponsor Share of Annual O&amp;M</t>
  </si>
  <si>
    <t>Capital Real Escalation Rate</t>
  </si>
  <si>
    <t>Negative B/C Ratios:</t>
  </si>
  <si>
    <t>False:  (Converts Negative B/C Ratios)</t>
  </si>
  <si>
    <t>Marginal Gas CO2 per therm Input Worksheet</t>
  </si>
  <si>
    <t>CO2 lbs per therm</t>
  </si>
  <si>
    <t>Sponsor Share of Periodic Replacement Cost</t>
  </si>
  <si>
    <t>Admin Cost / Category Level:</t>
  </si>
  <si>
    <t>True:  Admin Costs added at Category Results</t>
  </si>
  <si>
    <t>Marginal Avoided Cost CO2 Input Worksheet</t>
  </si>
  <si>
    <t>Zero Dollars per ton CO2</t>
  </si>
  <si>
    <t>Sponsor Share of Admin Cost</t>
  </si>
  <si>
    <t>Regional Act Conservation Credit (%)</t>
  </si>
  <si>
    <t>Periodic O&amp;M Treatment:</t>
  </si>
  <si>
    <t>True:  (Periodic O&amp;M Repeats over measure life)</t>
  </si>
  <si>
    <t>Line Loss Shape Input Worksheet</t>
  </si>
  <si>
    <t>LineLossShapes</t>
  </si>
  <si>
    <t>Report Annual Carbon Saved for Year</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</si>
  <si>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</si>
  <si>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</si>
  <si>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</si>
  <si>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</si>
  <si>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</si>
  <si>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</si>
  <si>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</si>
  <si>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</si>
  <si>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</si>
  <si>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</si>
  <si>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</si>
  <si>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</si>
  <si>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</si>
  <si>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</si>
  <si>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</si>
  <si>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</si>
  <si>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</si>
  <si>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</si>
  <si>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</si>
  <si>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Category</t>
  </si>
  <si>
    <t>Measure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</si>
  <si>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</si>
  <si>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</si>
  <si>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</si>
  <si>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</si>
  <si>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</si>
  <si>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</si>
  <si>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</si>
  <si>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</si>
  <si>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</si>
  <si>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</si>
  <si>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</si>
  <si>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</si>
  <si>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</si>
  <si>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</si>
  <si>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</si>
  <si>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</si>
  <si>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</si>
  <si>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</si>
  <si>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</si>
  <si>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</si>
  <si>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</si>
  <si>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</si>
  <si>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</si>
  <si>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</si>
  <si>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</si>
  <si>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</si>
  <si>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</si>
  <si>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</si>
  <si>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</si>
  <si>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</si>
  <si>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</si>
  <si>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</si>
  <si>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</si>
  <si>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</si>
  <si>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</si>
  <si>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</si>
  <si>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</si>
  <si>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</si>
  <si>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</si>
  <si>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</si>
  <si>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</si>
  <si>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</si>
  <si>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</si>
  <si>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</si>
  <si>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</si>
  <si>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</si>
  <si>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</si>
  <si>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</si>
  <si>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</si>
  <si>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</si>
  <si>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</si>
  <si>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</si>
  <si>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</si>
  <si>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</si>
  <si>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</si>
  <si>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</si>
  <si>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</si>
  <si>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</si>
  <si>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</si>
  <si>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</si>
  <si>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</si>
  <si>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</si>
  <si>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</si>
  <si>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</si>
  <si>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</si>
  <si>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</si>
  <si>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</si>
  <si>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</si>
  <si>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</si>
  <si>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</si>
  <si>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</si>
  <si>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</si>
  <si>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</si>
  <si>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</si>
  <si>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</si>
  <si>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</si>
  <si>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</si>
  <si>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</si>
  <si>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</si>
  <si>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</si>
  <si>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</si>
  <si>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</si>
  <si>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</si>
  <si>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</si>
  <si>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</si>
  <si>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</si>
  <si>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</si>
  <si>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</si>
  <si>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</si>
  <si>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</si>
  <si>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</si>
  <si>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</si>
  <si>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</si>
  <si>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</si>
  <si>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</si>
  <si>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</si>
  <si>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</si>
  <si>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</si>
  <si>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</si>
  <si>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</si>
  <si>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</si>
  <si>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</si>
  <si>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</si>
  <si>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</si>
  <si>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</si>
  <si>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Shaped Savings Results; By Category and sorted by TRC BC ratio</t>
  </si>
  <si>
    <t>aMW</t>
  </si>
  <si>
    <t>R</t>
  </si>
  <si>
    <t>lvlcost</t>
  </si>
  <si>
    <t>segment</t>
  </si>
  <si>
    <t>measure</t>
  </si>
  <si>
    <t>RECOMBINE MEASURE BUNDLES INTO SUPPLY CURVE CUMULATIVE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</si>
  <si>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</si>
  <si>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</si>
  <si>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</si>
  <si>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</si>
  <si>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</si>
  <si>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</si>
  <si>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</si>
  <si>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</si>
  <si>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</si>
  <si>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</si>
  <si>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</si>
  <si>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</si>
  <si>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</si>
  <si>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</si>
  <si>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</si>
  <si>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</si>
  <si>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</si>
  <si>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</si>
  <si>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</si>
  <si>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</si>
  <si>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</si>
  <si>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</si>
  <si>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</si>
  <si>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</si>
  <si>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</si>
  <si>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</si>
  <si>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</si>
  <si>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</si>
  <si>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</si>
  <si>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</si>
  <si>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</si>
  <si>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</si>
  <si>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</si>
  <si>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</si>
  <si>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</si>
  <si>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</si>
  <si>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</si>
  <si>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</si>
  <si>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</si>
  <si>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</si>
  <si>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</si>
  <si>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</si>
  <si>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</si>
  <si>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</si>
  <si>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All</t>
  </si>
  <si>
    <t>RTF Measure Data</t>
  </si>
  <si>
    <t>Busbar Savings (kWh)</t>
  </si>
  <si>
    <t>Cost inflator 2006 to 2012</t>
  </si>
  <si>
    <t>ProCost 3.0 - Beta04</t>
  </si>
  <si>
    <t>Off</t>
  </si>
  <si>
    <t>7P Mid</t>
  </si>
  <si>
    <t>Bulk System T&amp;D Loss Factor</t>
  </si>
  <si>
    <t>On</t>
  </si>
  <si>
    <t>GLSShapes</t>
  </si>
  <si>
    <t>7P Gas</t>
  </si>
  <si>
    <t>Bulk System T&amp;D I2R Loss Component (%)</t>
  </si>
  <si>
    <t>N/A</t>
  </si>
  <si>
    <t>Local System Dist Loss Factor</t>
  </si>
  <si>
    <t>CO2 lbs per kWh .95</t>
  </si>
  <si>
    <t>Admin Cost (as % of Initial Capital Cost)</t>
  </si>
  <si>
    <t>Local System Dist I2R Loss Component (%)</t>
  </si>
  <si>
    <t>Risk-Mitigation Credit (mills/kWh)(mills/therm) - Retro.</t>
  </si>
  <si>
    <t>Last Year of Non-Customer O&amp;M &amp; Period Replacement</t>
  </si>
  <si>
    <t>Risk-Mitigation Credit (mills/kWh)(mills/therm) - Lost Op.</t>
  </si>
  <si>
    <t>This page not used for this measure</t>
  </si>
  <si>
    <t>Savings per physical unit * units.  Analysis based on data reviewed by RTF 2008 and 2009 on behalf of Bonneville.</t>
  </si>
  <si>
    <t>Measures</t>
  </si>
  <si>
    <t>Various measure specific to equipment type.  Insulation and controls primarily.</t>
  </si>
  <si>
    <t>All physical stock.  So far estiamtes for Hot Food Holding Cabinets (HFHC) and Steamers Electric Convection Ovens and Steam-Electric Combination Ovens.  Stock estimates are from various sources including USDOE rulemaking and commercial kitchen equipment trade magazines and NAFEM.</t>
  </si>
  <si>
    <t>Baseline Penetration</t>
  </si>
  <si>
    <t>Depends on baseline.  See detailed sheets.</t>
  </si>
  <si>
    <t>Baseline Equipment</t>
  </si>
  <si>
    <t>Generally Energy Star as the Baseline except where noted.</t>
  </si>
  <si>
    <t>Hours of Operation</t>
  </si>
  <si>
    <t>Various.</t>
  </si>
  <si>
    <t>HVAC Interaction Factors</t>
  </si>
  <si>
    <t>None</t>
  </si>
  <si>
    <t>Capital Costs</t>
  </si>
  <si>
    <t xml:space="preserve">Taken from web searches for new equipment.  </t>
  </si>
  <si>
    <t>O&amp;M Costs</t>
  </si>
  <si>
    <t>Periodic Replacement Costs</t>
  </si>
  <si>
    <t>Savings Shapes</t>
  </si>
  <si>
    <t>ExRest</t>
  </si>
  <si>
    <t>12 from FSTC</t>
  </si>
  <si>
    <t>LO Medium</t>
  </si>
  <si>
    <t>RTF measures:  Combination Ovens, Hot Food Holding Cabinets, Fryers, Steamers, and Convection Ovens.</t>
  </si>
  <si>
    <t>From 6P:</t>
  </si>
  <si>
    <t>Efficient Convection Oven (Half Size)</t>
  </si>
  <si>
    <t>Efficient Convection Oven (Full Size)</t>
  </si>
  <si>
    <t>Efficient Electric Steamer (3-Pan)</t>
  </si>
  <si>
    <t>Wastewater savings</t>
  </si>
  <si>
    <t>Efficient Electric Steamer (4-Pan)</t>
  </si>
  <si>
    <t>Efficient Electric Steamer (5-Pan)</t>
  </si>
  <si>
    <t>Efficient Electric Steamer (6-Pan)</t>
  </si>
  <si>
    <t>Efficient Electric Steamer (10-Pan and Larger)</t>
  </si>
  <si>
    <t>Wastewater Treatment Savings</t>
  </si>
  <si>
    <t>Efficient Combination Oven (≥ 6 pan and ≤ 15)</t>
  </si>
  <si>
    <t>Efficient Combination Oven (≥ 16 pan and ≤ 20)</t>
  </si>
  <si>
    <t>Efficient Electric Fryer</t>
  </si>
  <si>
    <t>Efficient Hot Food Holding Cabinet (Half Size)</t>
  </si>
  <si>
    <t>Efficient Hot Food Holding Cabinet (Full Size)</t>
  </si>
  <si>
    <t>Fryers</t>
  </si>
  <si>
    <t>HFHC (Wt Average Size)</t>
  </si>
  <si>
    <t>Steamer (Wt Average Size)</t>
  </si>
  <si>
    <t>Combi Oven (Wt Average)</t>
  </si>
  <si>
    <t>Convection Oven (Wt Average)</t>
  </si>
  <si>
    <t xml:space="preserve">Uses RTF measure baseline and savings.  Growth is determined by population growth.  
</t>
  </si>
  <si>
    <t>Cooking Equipment</t>
  </si>
  <si>
    <t>Rate Per 1000 population</t>
  </si>
  <si>
    <t>Population:</t>
  </si>
  <si>
    <t>CUMULATIVE</t>
  </si>
  <si>
    <t>Convection Oven</t>
  </si>
  <si>
    <t>Measure weighting factors.  Used to combine individual equipment sizes in to a single measure by equipment type</t>
  </si>
  <si>
    <t>Steamer</t>
  </si>
  <si>
    <t>Combination Oven</t>
  </si>
  <si>
    <t>Fryer</t>
  </si>
  <si>
    <t>Hot Food Holding Cabinet</t>
  </si>
  <si>
    <t>Weight</t>
  </si>
  <si>
    <t>Source</t>
  </si>
  <si>
    <t>Need to update number of units from CBSA</t>
  </si>
  <si>
    <t xml:space="preserve">Need to update turnover and applicability  </t>
  </si>
  <si>
    <t>Incorporate measure data from the RTF</t>
  </si>
  <si>
    <t>Five measures.  Mosts measures have various equipment sizes that are rolled up onto the single equipment type</t>
  </si>
  <si>
    <t>From RTF - 12 years based on FSTC</t>
  </si>
  <si>
    <t>Update costs to 2012$</t>
  </si>
  <si>
    <t>Find data for weightings within each measure</t>
  </si>
  <si>
    <t>Levelized Cost Block</t>
  </si>
  <si>
    <t>Wastewater Savings</t>
  </si>
  <si>
    <t>Weighted averages</t>
  </si>
  <si>
    <t>Summary of Measure Assessment Methodology and Data Sources</t>
  </si>
  <si>
    <t>Measure Properties</t>
  </si>
  <si>
    <t>Market Sector</t>
  </si>
  <si>
    <t>Commercial</t>
  </si>
  <si>
    <t>Market Segment</t>
  </si>
  <si>
    <t>Foodservice</t>
  </si>
  <si>
    <t>Combination Ovens</t>
  </si>
  <si>
    <t>Measure Specifications</t>
  </si>
  <si>
    <t>Installation of a new electric combination oven meeting ENERGY STAR v2.0 requirements</t>
  </si>
  <si>
    <t>Current Practice</t>
  </si>
  <si>
    <t>Estimation Method</t>
  </si>
  <si>
    <t>Unit Energy Savings</t>
  </si>
  <si>
    <t>Small Saver</t>
  </si>
  <si>
    <t>Estimation Procedure</t>
  </si>
  <si>
    <t>Calibrated Engineering</t>
  </si>
  <si>
    <t>Sunset Date</t>
  </si>
  <si>
    <t>Sunset Factors</t>
  </si>
  <si>
    <t>Update may happen sooner if new ENERGY STAR requirements are released.</t>
  </si>
  <si>
    <t>Primary Workbook</t>
  </si>
  <si>
    <t>Linked Workbooks</t>
  </si>
  <si>
    <t>RTFStandardInformationWorkbook_v1_3.xlsx, Cooking-HOU_Calcs-v3.xlsx</t>
  </si>
  <si>
    <t>Number of Measure Applications</t>
  </si>
  <si>
    <t>Measure Identifiers</t>
  </si>
  <si>
    <t>Identifier</t>
  </si>
  <si>
    <t>Possible Values</t>
  </si>
  <si>
    <t>Further Explanation and Sources</t>
  </si>
  <si>
    <t>Combination Oven Size</t>
  </si>
  <si>
    <t>Small Size: 6 - 15 Pans
Large Size: 16 - 20 Pans</t>
  </si>
  <si>
    <t>Equipment sizes based on ENERGY STAR v2.0 eligibility criteria ≥ 6 pan and ≤ 20.</t>
  </si>
  <si>
    <t>Constant Parameters</t>
  </si>
  <si>
    <t>Parameter</t>
  </si>
  <si>
    <t>Annual Hours of Operation (hours/year)</t>
  </si>
  <si>
    <t>Weighted average of expected operating hours using average HOU/week of select building types from 2009 CBSA dataset weighted by 1993 Arthur D. Little (ADL) report on foodservice equipment distribution in various building types.
Source: Characterization of Commercial Building Appliances, ADL, 1993 http://www.osti.gov/bridge/servlets/purl/10172941/10172941.pdf
Northwest Energy Efficiency Alliance. 2009. 2007 CBSA Database [Dataset]. Portland, OR: Northwest Energy Efficiency Alliance: http://neea.org/docs/reports/2009NorthwestCommercialBuildingStockAssessment021CA220F212.pdf?sfvrsn=6</t>
  </si>
  <si>
    <t>Preheat Time (minutes)</t>
  </si>
  <si>
    <t>FSTC 2012 PG&amp;E Workpaper estimate</t>
  </si>
  <si>
    <t>Number of Preheats per Day</t>
  </si>
  <si>
    <t>Preheat Energy</t>
  </si>
  <si>
    <t>Varies based on oven size</t>
  </si>
  <si>
    <t xml:space="preserve">FSTC 2012 PG&amp;E Workpaper; ASTM performance parameters for baseline and efficient case equipment were drawn from a sample of economy grade and efficient equipment tested by the Food Service Technology Center </t>
  </si>
  <si>
    <t>Heavy Load Cooking Efficiency</t>
  </si>
  <si>
    <t>Idle Energy Rate (kW)</t>
  </si>
  <si>
    <t>Production Capacity (lbs/day)</t>
  </si>
  <si>
    <t>Pounds of Food cooked per day</t>
  </si>
  <si>
    <t>Cooking Energy to Food (Wh per Pound of Food)</t>
  </si>
  <si>
    <t>Convection mode: 73.2 Wh/lb
Steam mode: 30.8 Wh/lb</t>
  </si>
  <si>
    <t>Quantity of energy transferred to one pound of cooked food, ASTM Standard F2861</t>
  </si>
  <si>
    <t>Market Penetration Rate</t>
  </si>
  <si>
    <t>Professional Judgment. Low participation in utility programs using FSTC efficiency targets, and no Qualified Products List from ENERGY STAR has been developed.</t>
  </si>
  <si>
    <t>Energy Savings Estimation Method, Parameters and Data Sources</t>
  </si>
  <si>
    <t>Savings Component</t>
  </si>
  <si>
    <t>Analysis approach</t>
  </si>
  <si>
    <t>Primary Parameter / Adjustment Factor</t>
  </si>
  <si>
    <t>Baseline Possible Values</t>
  </si>
  <si>
    <t>Efficient Case Possible Values</t>
  </si>
  <si>
    <t>Baseline Further Explanation and Sources</t>
  </si>
  <si>
    <t>Efficient Case Further Explanation and Sources</t>
  </si>
  <si>
    <t>Efficient Combination Oven</t>
  </si>
  <si>
    <t>Energy Use</t>
  </si>
  <si>
    <r>
      <t xml:space="preserve">Daily Energy Consumption is calculated by adding together Cooking Energy, Idle Energy, and Preheat Energy consumption for both steam modes and convection modes, multiplied by the percent of time in spent each day in each mode.
Cooking Energy per day = </t>
    </r>
    <r>
      <rPr>
        <b/>
        <sz val="10"/>
        <rFont val="Arial"/>
        <family val="2"/>
      </rPr>
      <t>Pounds of Food Cooked per Day</t>
    </r>
    <r>
      <rPr>
        <sz val="10"/>
        <rFont val="Arial"/>
        <family val="2"/>
      </rPr>
      <t xml:space="preserve"> x </t>
    </r>
    <r>
      <rPr>
        <b/>
        <sz val="10"/>
        <rFont val="Arial"/>
        <family val="2"/>
      </rPr>
      <t xml:space="preserve">Cooking Energy to Food </t>
    </r>
    <r>
      <rPr>
        <sz val="10"/>
        <rFont val="Arial"/>
        <family val="2"/>
      </rPr>
      <t xml:space="preserve">/ </t>
    </r>
    <r>
      <rPr>
        <b/>
        <sz val="10"/>
        <rFont val="Arial"/>
        <family val="2"/>
      </rPr>
      <t xml:space="preserve">Heavy Load Cooking Efficiency
</t>
    </r>
    <r>
      <rPr>
        <sz val="10"/>
        <rFont val="Arial"/>
        <family val="2"/>
      </rPr>
      <t xml:space="preserve">
Idle Energy per day = </t>
    </r>
    <r>
      <rPr>
        <b/>
        <sz val="10"/>
        <rFont val="Arial"/>
        <family val="2"/>
      </rPr>
      <t>Idle Energy Rate</t>
    </r>
    <r>
      <rPr>
        <sz val="10"/>
        <rFont val="Arial"/>
        <family val="2"/>
      </rPr>
      <t xml:space="preserve"> x (Operating Hours per day - </t>
    </r>
    <r>
      <rPr>
        <b/>
        <sz val="10"/>
        <rFont val="Arial"/>
        <family val="2"/>
      </rPr>
      <t>Pound of Food cooked per Day</t>
    </r>
    <r>
      <rPr>
        <sz val="10"/>
        <rFont val="Arial"/>
        <family val="2"/>
      </rPr>
      <t xml:space="preserve"> / </t>
    </r>
    <r>
      <rPr>
        <b/>
        <sz val="10"/>
        <rFont val="Arial"/>
        <family val="2"/>
      </rPr>
      <t>Production Capacity</t>
    </r>
    <r>
      <rPr>
        <sz val="10"/>
        <rFont val="Arial"/>
        <family val="2"/>
      </rPr>
      <t xml:space="preserve"> - </t>
    </r>
    <r>
      <rPr>
        <b/>
        <sz val="10"/>
        <rFont val="Arial"/>
        <family val="2"/>
      </rPr>
      <t>Number of Preheats per Day</t>
    </r>
    <r>
      <rPr>
        <sz val="10"/>
        <rFont val="Arial"/>
        <family val="2"/>
      </rPr>
      <t xml:space="preserve"> x </t>
    </r>
    <r>
      <rPr>
        <b/>
        <sz val="10"/>
        <rFont val="Arial"/>
        <family val="2"/>
      </rPr>
      <t xml:space="preserve">Preheat Time </t>
    </r>
    <r>
      <rPr>
        <sz val="10"/>
        <rFont val="Arial"/>
        <family val="2"/>
      </rPr>
      <t xml:space="preserve">/ 60)
Preheat Energy per day = </t>
    </r>
    <r>
      <rPr>
        <b/>
        <sz val="10"/>
        <rFont val="Arial"/>
        <family val="2"/>
      </rPr>
      <t xml:space="preserve">Number of Preheats per Day </t>
    </r>
    <r>
      <rPr>
        <sz val="10"/>
        <rFont val="Arial"/>
        <family val="2"/>
      </rPr>
      <t xml:space="preserve">x </t>
    </r>
    <r>
      <rPr>
        <b/>
        <sz val="10"/>
        <rFont val="Arial"/>
        <family val="2"/>
      </rPr>
      <t>Preheat Energy</t>
    </r>
    <r>
      <rPr>
        <sz val="10"/>
        <rFont val="Arial"/>
        <family val="2"/>
      </rPr>
      <t xml:space="preserve">
 Annual Energy Savings is given as the difference between the baseline and efficient case Daily Energy Consumption, multiplied by </t>
    </r>
    <r>
      <rPr>
        <b/>
        <sz val="10"/>
        <rFont val="Arial"/>
        <family val="2"/>
      </rPr>
      <t xml:space="preserve">Annual Hours of Operation </t>
    </r>
    <r>
      <rPr>
        <sz val="10"/>
        <rFont val="Arial"/>
        <family val="2"/>
      </rPr>
      <t xml:space="preserve">x </t>
    </r>
    <r>
      <rPr>
        <b/>
        <sz val="10"/>
        <rFont val="Arial"/>
        <family val="2"/>
      </rPr>
      <t>(1-Market Penetration Rate)</t>
    </r>
    <r>
      <rPr>
        <sz val="10"/>
        <rFont val="Arial"/>
        <family val="2"/>
      </rPr>
      <t>.
An average pan size was calculated using the sample from FSTC cost dataset. Linear regression of energy consumption per day based on pan size for both baseline and efficient case used to arrive at an overall average pan size and energy consumption estimate for both baseline and efficient case.</t>
    </r>
  </si>
  <si>
    <t>Cooking Energy Consumption (kWh/day)</t>
  </si>
  <si>
    <t>6-15 Pan Size: 87.8 kWh/day
16-20 Pan Size: 128.5 kwh/day</t>
  </si>
  <si>
    <t>6-15 Pan Size: 47.8 kWh/day
16-20 Pan Size: 73.9 kwh/day</t>
  </si>
  <si>
    <t>Sample of Economy Grade Combination Ovens meeting ASTM F2861 and tested by the FSTC.</t>
  </si>
  <si>
    <t>Sample of Combination Ovens meeting ASTM F2861 and tested by the FSTC and SoCal Gas Foodservice Equipment Center.</t>
  </si>
  <si>
    <t>Idle Energy Consumption (kWh/day)</t>
  </si>
  <si>
    <t>Preheat Energy Consumption (kWh/day)</t>
  </si>
  <si>
    <t>Wastewater Treatment Energy Savings</t>
  </si>
  <si>
    <r>
      <t xml:space="preserve">Daily water consumption is determined by multiplying the % of time in Steam mode by the Operating Hours per day by the Average Water Consumption Rate.
Annual energy savings are given as the difference between the baseline and efficient case Daily Water Consumption multiplied by the </t>
    </r>
    <r>
      <rPr>
        <b/>
        <sz val="10"/>
        <rFont val="Arial"/>
        <family val="2"/>
      </rPr>
      <t xml:space="preserve">Annual Hours of Operation </t>
    </r>
    <r>
      <rPr>
        <sz val="10"/>
        <rFont val="Arial"/>
        <family val="2"/>
      </rPr>
      <t xml:space="preserve">x </t>
    </r>
    <r>
      <rPr>
        <b/>
        <sz val="10"/>
        <rFont val="Arial"/>
        <family val="2"/>
      </rPr>
      <t xml:space="preserve">(1-Market Penetration Rate).
</t>
    </r>
    <r>
      <rPr>
        <sz val="10"/>
        <rFont val="Arial"/>
        <family val="2"/>
      </rPr>
      <t xml:space="preserve">
An average pan size was calculated using the sample from FSTC cost dataset. Linear regression of water consumption per day based on pan size for both baseline and efficient case used to arrive at an overall average pan size and water consumption estimate for both baseline and efficient case.</t>
    </r>
  </si>
  <si>
    <t>Water Consumption (gal/day)</t>
  </si>
  <si>
    <t>6-15 Pan Size: 170.3 gal/day
16-20 Pan Size: 297.2 gal/day</t>
  </si>
  <si>
    <t>6-15 Pan Size: 143.7 gal/day
16-20 Pan Size: 173.3 gal/day</t>
  </si>
  <si>
    <t>Measure Incremental Costs and Benefits</t>
  </si>
  <si>
    <t>Cost or Benefit</t>
  </si>
  <si>
    <t>Analysis Approach</t>
  </si>
  <si>
    <t>Data Sources</t>
  </si>
  <si>
    <t>Source Type</t>
  </si>
  <si>
    <t>Year of the Dollars</t>
  </si>
  <si>
    <t>Uncertainty Estimate</t>
  </si>
  <si>
    <t>Capital</t>
  </si>
  <si>
    <t>Baseline costs taken as average of "economy grade" products analyzed in FSTC dataset. Efficient Case costs taken as average of products identified by FSTC as Energy Efficient. Incremental cost taken as difference between the two.</t>
  </si>
  <si>
    <t>PG&amp;E August 23, 2012Work Paper PGECOFST101, Revision 4, PGECOFST101 R4 Commercial Convection Oven.doc</t>
  </si>
  <si>
    <t>Contractor Price Sheets</t>
  </si>
  <si>
    <t>Low</t>
  </si>
  <si>
    <t>Maintenance</t>
  </si>
  <si>
    <t>?%</t>
  </si>
  <si>
    <t>Operations - Fuel</t>
  </si>
  <si>
    <t>Operations - Non-Energy Consumables</t>
  </si>
  <si>
    <t>Wastewater treatment cost utilized data from the AWA bi-annual survey of water and wastewater rates. Data are weighted by the population of the corresponding cities in the region. (16 NW cities with water rates, and 9 with wastewater rates)</t>
  </si>
  <si>
    <t>Water rate ($13.16/1000 gal) from RTF Standard Information Workbook. Based on 2010 Water and Wastewater Rate Survey. Cost is net of embedded electricity.</t>
  </si>
  <si>
    <t>Market Actor Interviews</t>
  </si>
  <si>
    <t>Other Non-Energy Impacts</t>
  </si>
  <si>
    <t>Measure Lifetime</t>
  </si>
  <si>
    <t>EUL of equipment weighted by expected operating hours of use within each building type using a 5.6 year EUL for equipment located in restaurants and ratioing EUL for other business types based on HOU/year. Final weighted average EUL based on distribution of equipment in various building types.</t>
  </si>
  <si>
    <t>2004 REVIEW OF RETENTION AND PERSISTENCE
STUDIES FOR THE CALIFORNIA PUBLIC UTILITIES
COMMISSION (CPUC), SERA, INC. IN ASSOCIATION WITH QUANTEC, NWRG, EE&amp;T</t>
  </si>
  <si>
    <t>Medium - SERA report indicates a 5.6 year EUL but does not specify mix of locations where determined. RTF Professional Judgment used to ratio HOU/year of various building types to restaurant use.</t>
  </si>
  <si>
    <t>RTF Professional Judgment</t>
  </si>
  <si>
    <t>Savings per physical unit * units.</t>
  </si>
  <si>
    <t>From RTF - FSTC</t>
  </si>
  <si>
    <t xml:space="preserve">Generally Energy Star as the Baseline except where noted.  </t>
  </si>
  <si>
    <t>Could possibly update the hours of use workbook with data from CBSA.</t>
  </si>
  <si>
    <t>Update hours of use workbook</t>
  </si>
  <si>
    <t>Convection Ovens</t>
  </si>
  <si>
    <t>Installation of a new electric convection oven meeting ENERGYSTAR v2.0 requirements</t>
  </si>
  <si>
    <t>Cooking-HOU_Calcs-v3.xlsx</t>
  </si>
  <si>
    <t>Convection Oven Size</t>
  </si>
  <si>
    <r>
      <rPr>
        <b/>
        <sz val="10"/>
        <rFont val="Arial"/>
        <family val="2"/>
      </rPr>
      <t xml:space="preserve">Half Size: </t>
    </r>
    <r>
      <rPr>
        <sz val="10"/>
        <rFont val="Arial"/>
        <family val="2"/>
      </rPr>
      <t>18" x 13" x 1" pan size</t>
    </r>
    <r>
      <rPr>
        <b/>
        <sz val="10"/>
        <rFont val="Arial"/>
        <family val="2"/>
      </rPr>
      <t xml:space="preserve">
Full Size:</t>
    </r>
    <r>
      <rPr>
        <sz val="10"/>
        <rFont val="Arial"/>
        <family val="2"/>
      </rPr>
      <t xml:space="preserve"> 18" x 26" x 1" pan size</t>
    </r>
    <r>
      <rPr>
        <b/>
        <sz val="10"/>
        <rFont val="Arial"/>
        <family val="2"/>
      </rPr>
      <t/>
    </r>
  </si>
  <si>
    <t>Equipment sizes based on ENERGY STAR v2.0 eligibility criteria.</t>
  </si>
  <si>
    <t>Quantity of energy transferred to one pound of cooked food, ASTM Standard F1496</t>
  </si>
  <si>
    <t>ENERGY STAR shipment data available for 2011. Source: http://www.energystar.gov/index.cfm?c=partners.unit_shipment_data</t>
  </si>
  <si>
    <t>Efficient Convection Oven</t>
  </si>
  <si>
    <t xml:space="preserve">Cooking Energy </t>
  </si>
  <si>
    <r>
      <t xml:space="preserve">Daily Energy Consumption is calculated by adding together Cooking Energy, Idle Energy, and Preheat Energy.
Cooking Energy per day = </t>
    </r>
    <r>
      <rPr>
        <b/>
        <sz val="10"/>
        <rFont val="Arial"/>
        <family val="2"/>
      </rPr>
      <t>Pounds of Food Cooked per Day</t>
    </r>
    <r>
      <rPr>
        <sz val="10"/>
        <rFont val="Arial"/>
        <family val="2"/>
      </rPr>
      <t xml:space="preserve"> x </t>
    </r>
    <r>
      <rPr>
        <b/>
        <sz val="10"/>
        <rFont val="Arial"/>
        <family val="2"/>
      </rPr>
      <t xml:space="preserve">Cooking Energy to Food </t>
    </r>
    <r>
      <rPr>
        <sz val="10"/>
        <rFont val="Arial"/>
        <family val="2"/>
      </rPr>
      <t xml:space="preserve">/ </t>
    </r>
    <r>
      <rPr>
        <b/>
        <sz val="10"/>
        <rFont val="Arial"/>
        <family val="2"/>
      </rPr>
      <t xml:space="preserve">Heavy Load Cooking Efficiency
</t>
    </r>
    <r>
      <rPr>
        <sz val="10"/>
        <rFont val="Arial"/>
        <family val="2"/>
      </rPr>
      <t xml:space="preserve">
Idle Energy per day = </t>
    </r>
    <r>
      <rPr>
        <b/>
        <sz val="10"/>
        <rFont val="Arial"/>
        <family val="2"/>
      </rPr>
      <t>Idle Energy Rate</t>
    </r>
    <r>
      <rPr>
        <sz val="10"/>
        <rFont val="Arial"/>
        <family val="2"/>
      </rPr>
      <t xml:space="preserve"> x (Operating Hours per day - </t>
    </r>
    <r>
      <rPr>
        <b/>
        <sz val="10"/>
        <rFont val="Arial"/>
        <family val="2"/>
      </rPr>
      <t>Pound of Food cooked per Day</t>
    </r>
    <r>
      <rPr>
        <sz val="10"/>
        <rFont val="Arial"/>
        <family val="2"/>
      </rPr>
      <t xml:space="preserve"> / </t>
    </r>
    <r>
      <rPr>
        <b/>
        <sz val="10"/>
        <rFont val="Arial"/>
        <family val="2"/>
      </rPr>
      <t>Production Capacity</t>
    </r>
    <r>
      <rPr>
        <sz val="10"/>
        <rFont val="Arial"/>
        <family val="2"/>
      </rPr>
      <t xml:space="preserve"> - </t>
    </r>
    <r>
      <rPr>
        <b/>
        <sz val="10"/>
        <rFont val="Arial"/>
        <family val="2"/>
      </rPr>
      <t>Number of Preheats per Day</t>
    </r>
    <r>
      <rPr>
        <sz val="10"/>
        <rFont val="Arial"/>
        <family val="2"/>
      </rPr>
      <t xml:space="preserve"> x </t>
    </r>
    <r>
      <rPr>
        <b/>
        <sz val="10"/>
        <rFont val="Arial"/>
        <family val="2"/>
      </rPr>
      <t xml:space="preserve">Preheat Time </t>
    </r>
    <r>
      <rPr>
        <sz val="10"/>
        <rFont val="Arial"/>
        <family val="2"/>
      </rPr>
      <t xml:space="preserve">/ 60)
Preheat Energy per day = </t>
    </r>
    <r>
      <rPr>
        <b/>
        <sz val="10"/>
        <rFont val="Arial"/>
        <family val="2"/>
      </rPr>
      <t xml:space="preserve">Number of Preheats per Day </t>
    </r>
    <r>
      <rPr>
        <sz val="10"/>
        <rFont val="Arial"/>
        <family val="2"/>
      </rPr>
      <t xml:space="preserve">x </t>
    </r>
    <r>
      <rPr>
        <b/>
        <sz val="10"/>
        <rFont val="Arial"/>
        <family val="2"/>
      </rPr>
      <t>Preheat Energy</t>
    </r>
    <r>
      <rPr>
        <sz val="10"/>
        <rFont val="Arial"/>
        <family val="2"/>
      </rPr>
      <t xml:space="preserve">
 Annual Energy Savings is given as the difference between the baseline and efficient case Daily Energy Consumption, multiplied by </t>
    </r>
    <r>
      <rPr>
        <b/>
        <sz val="10"/>
        <rFont val="Arial"/>
        <family val="2"/>
      </rPr>
      <t xml:space="preserve">Annual Hours of Operation </t>
    </r>
    <r>
      <rPr>
        <sz val="10"/>
        <rFont val="Arial"/>
        <family val="2"/>
      </rPr>
      <t xml:space="preserve">x </t>
    </r>
    <r>
      <rPr>
        <b/>
        <sz val="10"/>
        <rFont val="Arial"/>
        <family val="2"/>
      </rPr>
      <t>(1-Market Penetration Rate)</t>
    </r>
    <r>
      <rPr>
        <sz val="10"/>
        <rFont val="Arial"/>
        <family val="2"/>
      </rPr>
      <t xml:space="preserve">.
</t>
    </r>
  </si>
  <si>
    <t>Half Size: 30.7 kWh/day
Full Size: 38.9 kWh/day</t>
  </si>
  <si>
    <t>Half Size: 21.2 kWh/day
Full Size: 29.6 kWh/day</t>
  </si>
  <si>
    <t>Sample of Economy Grade Convection Ovens meeting ASTM F1496 and tested by the FSTC.</t>
  </si>
  <si>
    <t>Sample of Convection Ovens meeting ENERGYSTAR 2.0 requirements and tested by the FSTC and SoCal Gas Foodservice Equipment Center.</t>
  </si>
  <si>
    <t>Idle Energy</t>
  </si>
  <si>
    <t>PG&amp;E August 23, 2012 Work Paper PGECOFST101, Revision 4, PGECOFST101 R4 Commercial Convection Oven.doc</t>
  </si>
  <si>
    <t>KS</t>
  </si>
  <si>
    <t>Wtd_Electric</t>
  </si>
  <si>
    <t>wtd_Gas</t>
  </si>
  <si>
    <t>steamers</t>
  </si>
  <si>
    <t>hot_food_cabinet</t>
  </si>
  <si>
    <t>boiler_fryer</t>
  </si>
  <si>
    <t>griddle_grill</t>
  </si>
  <si>
    <t>combo_oven</t>
  </si>
  <si>
    <t>oven</t>
  </si>
  <si>
    <t>CBSA 2013 Data</t>
  </si>
  <si>
    <t>Total Potential</t>
  </si>
  <si>
    <t>Verify Load Shape</t>
  </si>
  <si>
    <t>Source: August 23, 2012 Work Paper - PGECOFST101 R4 Commercial Convection Oven.doc</t>
  </si>
  <si>
    <t>Size</t>
  </si>
  <si>
    <t>Baseline Unit Price</t>
  </si>
  <si>
    <t>Efficient Case Unit Price</t>
  </si>
  <si>
    <t>Incremental Cost</t>
  </si>
  <si>
    <t>Incremental Cost (2006$)</t>
  </si>
  <si>
    <t>Half Size</t>
  </si>
  <si>
    <t>Full Size</t>
  </si>
  <si>
    <t>GDP Deflator (2012-2006):</t>
  </si>
  <si>
    <t>*Cost column used in analysis based on knowledge of wholesale costs typically used in foodservice equipment purchases.</t>
  </si>
  <si>
    <t>Group</t>
  </si>
  <si>
    <t>Make</t>
  </si>
  <si>
    <t>Model</t>
  </si>
  <si>
    <t>List Price ($)</t>
  </si>
  <si>
    <t>Cost($)*</t>
  </si>
  <si>
    <t>Alto-Shaam</t>
  </si>
  <si>
    <t>ASC-4E</t>
  </si>
  <si>
    <t>Full-Size</t>
  </si>
  <si>
    <t>Doyon</t>
  </si>
  <si>
    <t>JA6SL</t>
  </si>
  <si>
    <t>Large Full-Size</t>
  </si>
  <si>
    <t>Duke</t>
  </si>
  <si>
    <t>5/9-E3V</t>
  </si>
  <si>
    <t>Half-Size</t>
  </si>
  <si>
    <t>613QE1*</t>
  </si>
  <si>
    <t>E101E*</t>
  </si>
  <si>
    <t>Garland</t>
  </si>
  <si>
    <t>MCOE5</t>
  </si>
  <si>
    <t>Hobart</t>
  </si>
  <si>
    <t>HEC5</t>
  </si>
  <si>
    <t>Lang</t>
  </si>
  <si>
    <t>ECOH</t>
  </si>
  <si>
    <t>Market Forge</t>
  </si>
  <si>
    <t>2600HE</t>
  </si>
  <si>
    <t>Moffat</t>
  </si>
  <si>
    <t>E311MS</t>
  </si>
  <si>
    <t xml:space="preserve">Montague </t>
  </si>
  <si>
    <t>EK12A</t>
  </si>
  <si>
    <t>Vulcan</t>
  </si>
  <si>
    <t>ECO2D</t>
  </si>
  <si>
    <t>VC4EC</t>
  </si>
  <si>
    <t>Energy Efficient</t>
  </si>
  <si>
    <t>Bakers Pride</t>
  </si>
  <si>
    <t>BCO-E1</t>
  </si>
  <si>
    <t xml:space="preserve">Blodgett </t>
  </si>
  <si>
    <t>CTB</t>
  </si>
  <si>
    <t>Mark V</t>
  </si>
  <si>
    <t>Xcel-50</t>
  </si>
  <si>
    <t>Zephaire E</t>
  </si>
  <si>
    <t>E35</t>
  </si>
  <si>
    <t>Revent</t>
  </si>
  <si>
    <t>Southbend</t>
  </si>
  <si>
    <t>SLES/10</t>
  </si>
  <si>
    <t>Half</t>
  </si>
  <si>
    <t>Full</t>
  </si>
  <si>
    <t>EE</t>
  </si>
  <si>
    <t>Source: August 22, 2012 Work Paper - PGEFST104, Revision 4, PGECOFST104 R4 Steamer.doc</t>
  </si>
  <si>
    <t>Steamer Size (Number of Pans)</t>
  </si>
  <si>
    <t>All Sizes</t>
  </si>
  <si>
    <t>Equipment Cost Data for Electric Steam Cookers</t>
  </si>
  <si>
    <t>Cost ($)*</t>
  </si>
  <si>
    <t>Pan Count</t>
  </si>
  <si>
    <t>$/pan</t>
  </si>
  <si>
    <t>Blodgett</t>
  </si>
  <si>
    <t>SN-3E</t>
  </si>
  <si>
    <t>PS-3E</t>
  </si>
  <si>
    <t>ST-3E</t>
  </si>
  <si>
    <t>Solaris</t>
  </si>
  <si>
    <t>SX-3</t>
  </si>
  <si>
    <t>Groen</t>
  </si>
  <si>
    <t>HY-3E</t>
  </si>
  <si>
    <t>SSB-3E</t>
  </si>
  <si>
    <t>SN-5E</t>
  </si>
  <si>
    <t>SX-5</t>
  </si>
  <si>
    <t>HY-5E</t>
  </si>
  <si>
    <t>SSB-5E</t>
  </si>
  <si>
    <t>C24EA5-BSC</t>
  </si>
  <si>
    <t>C24EA5-DLX</t>
  </si>
  <si>
    <t>PS-6E</t>
  </si>
  <si>
    <t>ST-6E</t>
  </si>
  <si>
    <t>AccuTemp</t>
  </si>
  <si>
    <t>S32083D120</t>
  </si>
  <si>
    <t>SBF-3E</t>
  </si>
  <si>
    <t>Cleveland Range</t>
  </si>
  <si>
    <t>22CET3.1</t>
  </si>
  <si>
    <t>ET-3E</t>
  </si>
  <si>
    <t>EPX-3</t>
  </si>
  <si>
    <t>VPX3</t>
  </si>
  <si>
    <t>SBF-5E</t>
  </si>
  <si>
    <t>1SCEMCS</t>
  </si>
  <si>
    <t>1SCE</t>
  </si>
  <si>
    <t>ETP-5E</t>
  </si>
  <si>
    <t>EPX-5</t>
  </si>
  <si>
    <t>VPX5</t>
  </si>
  <si>
    <t>S62083D100</t>
  </si>
  <si>
    <t>S62083D120</t>
  </si>
  <si>
    <t>S62083D170</t>
  </si>
  <si>
    <t>E62081D060</t>
  </si>
  <si>
    <t>E62083D150</t>
  </si>
  <si>
    <t>22CET6.1</t>
  </si>
  <si>
    <t>Intek</t>
  </si>
  <si>
    <t>XS-208-6-1</t>
  </si>
  <si>
    <t>XS-208-14-3</t>
  </si>
  <si>
    <t>XS-208-12-3</t>
  </si>
  <si>
    <t>XS-208-8-3</t>
  </si>
  <si>
    <t>XS-208-8-1</t>
  </si>
  <si>
    <t>ET-6E</t>
  </si>
  <si>
    <t>Stellar</t>
  </si>
  <si>
    <t>Altair-6</t>
  </si>
  <si>
    <t>Capella-6</t>
  </si>
  <si>
    <t>VRC-6E</t>
  </si>
  <si>
    <t>ETP-10E</t>
  </si>
  <si>
    <t>ST-10M42E24A</t>
  </si>
  <si>
    <t>ST-10M42E32A</t>
  </si>
  <si>
    <t>ST-10M42E36A</t>
  </si>
  <si>
    <t>ST-10M42E42A</t>
  </si>
  <si>
    <t>ST-10M42E48A</t>
  </si>
  <si>
    <t>EJ-10E</t>
  </si>
  <si>
    <t xml:space="preserve">RestaurantEquipmentSolutions.com </t>
  </si>
  <si>
    <t xml:space="preserve">
2SSB-10EF-LH-240-3</t>
  </si>
  <si>
    <t xml:space="preserve">Restaurant Equipment World </t>
  </si>
  <si>
    <t>C24EA10-DLX</t>
  </si>
  <si>
    <t>24-CEA-10</t>
  </si>
  <si>
    <t>http://www.foodservicewarehouse.com/cleveland-range/24-cea-10/p2033.aspx</t>
  </si>
  <si>
    <t>Yellow Highlight cells are 2013 internet research</t>
  </si>
  <si>
    <t>Count by Size</t>
  </si>
  <si>
    <t>Share of Count (%)</t>
  </si>
  <si>
    <t>Source: August 23, 2012 Work Paper PGEFST100, Revision 4, PGECOFST100 R4 Commercial Combination Oven-updated 06 11 2012.doc</t>
  </si>
  <si>
    <t>Pan Size</t>
  </si>
  <si>
    <t>Combination Oven (≥ 6 pan and ≤ 15)</t>
  </si>
  <si>
    <t>Combination Oven (≥ 16 pan and ≤ 20)</t>
  </si>
  <si>
    <t>Combination Oven (cost per pan)</t>
  </si>
  <si>
    <t>&lt;- Not used in analysis, but left in for context.</t>
  </si>
  <si>
    <t>Equipment Cost Data for Electric Combination Ovens</t>
  </si>
  <si>
    <t>Hotel Pan Capacity</t>
  </si>
  <si>
    <t>Cost ($) per pan</t>
  </si>
  <si>
    <t>Henny Penny</t>
  </si>
  <si>
    <t>ESC-610</t>
  </si>
  <si>
    <t>BKI</t>
  </si>
  <si>
    <t>C 1.06</t>
  </si>
  <si>
    <t>K 1.06</t>
  </si>
  <si>
    <t>BCP-61</t>
  </si>
  <si>
    <t>Eloma</t>
  </si>
  <si>
    <t>G 6-11E</t>
  </si>
  <si>
    <t>ECC-615</t>
  </si>
  <si>
    <t>Rational</t>
  </si>
  <si>
    <t>CM 61</t>
  </si>
  <si>
    <t>CEM6</t>
  </si>
  <si>
    <t>Piper</t>
  </si>
  <si>
    <t>HME 061X</t>
  </si>
  <si>
    <t>BCM-101</t>
  </si>
  <si>
    <t>G 10-11E</t>
  </si>
  <si>
    <t>CM 101</t>
  </si>
  <si>
    <t>CEM10U</t>
  </si>
  <si>
    <t>Cleveland</t>
  </si>
  <si>
    <t>OES 10.10</t>
  </si>
  <si>
    <t>CM 62</t>
  </si>
  <si>
    <t>Alto Shaam</t>
  </si>
  <si>
    <t>7.14 ES</t>
  </si>
  <si>
    <t>OES 6.20</t>
  </si>
  <si>
    <t>C 2.10</t>
  </si>
  <si>
    <t>BCM-102</t>
  </si>
  <si>
    <t>BCP-102</t>
  </si>
  <si>
    <t>Electrolux</t>
  </si>
  <si>
    <t>HME 102P</t>
  </si>
  <si>
    <t>HME102X</t>
  </si>
  <si>
    <t>CM 102</t>
  </si>
  <si>
    <t>CM 201</t>
  </si>
  <si>
    <t>12.20 ES</t>
  </si>
  <si>
    <t>OEB 10.20</t>
  </si>
  <si>
    <t>OES 10.20</t>
  </si>
  <si>
    <t>CE10FD</t>
  </si>
  <si>
    <t>CE20HD</t>
  </si>
  <si>
    <t>SCC 102</t>
  </si>
  <si>
    <t>SCC 201</t>
  </si>
  <si>
    <t>OEB 12.20</t>
  </si>
  <si>
    <t>OES 12.20</t>
  </si>
  <si>
    <t>CM 202</t>
  </si>
  <si>
    <t>20.20 ES</t>
  </si>
  <si>
    <t>OEB 20.20</t>
  </si>
  <si>
    <t>OES 20.20</t>
  </si>
  <si>
    <t>CE20FD</t>
  </si>
  <si>
    <t>SCC 202</t>
  </si>
  <si>
    <t>Source: August 23, 2012 Work Paper - PGEFST105, Revision 3, PGECOFST102 R3 Insulated Holding Cabinet.doc</t>
  </si>
  <si>
    <t>*Cost column used in analysis based on knowledge that wholesale costs are commonly used for new equipment purchases.</t>
  </si>
  <si>
    <t>Equipment Cost Data for Full-Size Hot Food Holding Cabinets</t>
  </si>
  <si>
    <t>Bevles</t>
  </si>
  <si>
    <t>HCSS74W12</t>
  </si>
  <si>
    <t>Carter-Hoffmann</t>
  </si>
  <si>
    <t>BB700</t>
  </si>
  <si>
    <t>HBU14 (Glass and Steel Doors)</t>
  </si>
  <si>
    <t>HBU18 (Dutch Doors)</t>
  </si>
  <si>
    <t>HWP36</t>
  </si>
  <si>
    <t>HWU18 (Dutch Doors)</t>
  </si>
  <si>
    <t>Cres Cor</t>
  </si>
  <si>
    <t>H137PWSUA12C</t>
  </si>
  <si>
    <t>Delfield</t>
  </si>
  <si>
    <t>SSH2-S</t>
  </si>
  <si>
    <t>SSHRT1-S</t>
  </si>
  <si>
    <t>Eagle Group</t>
  </si>
  <si>
    <t>HCFNSSI-RA2.25-120</t>
  </si>
  <si>
    <t>HPFNSSI-RA2.25-120</t>
  </si>
  <si>
    <t>PCFNSSI-RA2.25-120</t>
  </si>
  <si>
    <t>FWE</t>
  </si>
  <si>
    <t>E-600</t>
  </si>
  <si>
    <t>E-720</t>
  </si>
  <si>
    <t>E-960</t>
  </si>
  <si>
    <t>UHST-13</t>
  </si>
  <si>
    <t>Hatco</t>
  </si>
  <si>
    <t>FSHC-12W2</t>
  </si>
  <si>
    <t>FSHC-17W-1</t>
  </si>
  <si>
    <t>HHC-900</t>
  </si>
  <si>
    <t>HHC-980</t>
  </si>
  <si>
    <t>Metro</t>
  </si>
  <si>
    <t>C519-CFC-4</t>
  </si>
  <si>
    <t>C537-CFC-4</t>
  </si>
  <si>
    <t>C539-CFC-4</t>
  </si>
  <si>
    <t>C569L-NDC-U</t>
  </si>
  <si>
    <t>C569-NFC-UPFC</t>
  </si>
  <si>
    <t>C599-NDC-U</t>
  </si>
  <si>
    <t>C5Z65-***-*****</t>
  </si>
  <si>
    <t>MBQ-72</t>
  </si>
  <si>
    <t>MBQ-90</t>
  </si>
  <si>
    <t>MBQT-150D-QH</t>
  </si>
  <si>
    <t>Nor-Lake</t>
  </si>
  <si>
    <t>NW211***/0</t>
  </si>
  <si>
    <t>PW252***/0</t>
  </si>
  <si>
    <t>PW253***/0</t>
  </si>
  <si>
    <t>PW554***/8</t>
  </si>
  <si>
    <t>Royalton</t>
  </si>
  <si>
    <t>RHHC-2000-C4</t>
  </si>
  <si>
    <t>VHFA-18</t>
  </si>
  <si>
    <t>1000-BQ2/128</t>
  </si>
  <si>
    <t>1000-BQ2/96</t>
  </si>
  <si>
    <t>1000-UP</t>
  </si>
  <si>
    <t>12.20MW</t>
  </si>
  <si>
    <t>1200-UP</t>
  </si>
  <si>
    <t>20.20MW</t>
  </si>
  <si>
    <t>Cambro</t>
  </si>
  <si>
    <t>CMBH1826TSF</t>
  </si>
  <si>
    <t>BR96</t>
  </si>
  <si>
    <t>Cleveland Range LLC</t>
  </si>
  <si>
    <t>HCWH-20.20</t>
  </si>
  <si>
    <t>CCB-120A</t>
  </si>
  <si>
    <t>CCB-150</t>
  </si>
  <si>
    <t>EB-150</t>
  </si>
  <si>
    <t>H137S96BC</t>
  </si>
  <si>
    <t>H137UA12C**2K</t>
  </si>
  <si>
    <t>H137UA9C</t>
  </si>
  <si>
    <t>H137WSUA12C</t>
  </si>
  <si>
    <t>H161FUA11CM</t>
  </si>
  <si>
    <t>EB150****</t>
  </si>
  <si>
    <t>Winston Industries</t>
  </si>
  <si>
    <t>HL4022-AL</t>
  </si>
  <si>
    <t>HL4522-AL</t>
  </si>
  <si>
    <t>E-720-XL</t>
  </si>
  <si>
    <t>MTU-12</t>
  </si>
  <si>
    <t>C569-SDC-U</t>
  </si>
  <si>
    <t>C599-SDS-U</t>
  </si>
  <si>
    <t>MBQ-120</t>
  </si>
  <si>
    <t>MBQ-120D</t>
  </si>
  <si>
    <t>MBQ-144</t>
  </si>
  <si>
    <t>MBQ-150D</t>
  </si>
  <si>
    <t>MBQ-180</t>
  </si>
  <si>
    <t>MBQ-180D</t>
  </si>
  <si>
    <t>MBQ-200D</t>
  </si>
  <si>
    <t>MBQT-180D-QH</t>
  </si>
  <si>
    <t>Traulsen</t>
  </si>
  <si>
    <t>AHF132W-FHS</t>
  </si>
  <si>
    <t>AHF132WP-FHS</t>
  </si>
  <si>
    <t>AHF232W-FHS</t>
  </si>
  <si>
    <t>AHF232W-HHS</t>
  </si>
  <si>
    <t>AHF232WP-FHS</t>
  </si>
  <si>
    <t>AHF332W-FHS</t>
  </si>
  <si>
    <t>AHF332WP-FHS</t>
  </si>
  <si>
    <t>AIH132L-FHS</t>
  </si>
  <si>
    <t>AIH232L-FHS</t>
  </si>
  <si>
    <t>AIH332L-FHS</t>
  </si>
  <si>
    <t>G14300</t>
  </si>
  <si>
    <t>G14302P</t>
  </si>
  <si>
    <t>G14310</t>
  </si>
  <si>
    <t>G14312P</t>
  </si>
  <si>
    <t>G24300</t>
  </si>
  <si>
    <t>G24304P</t>
  </si>
  <si>
    <t>G24310</t>
  </si>
  <si>
    <t>G24314P</t>
  </si>
  <si>
    <t>RHF132W-FHS</t>
  </si>
  <si>
    <t>RHF132W-HHS</t>
  </si>
  <si>
    <t>RHF132WP-FHS</t>
  </si>
  <si>
    <t>RHF132WP-HHS</t>
  </si>
  <si>
    <t>RHF232W-FHS</t>
  </si>
  <si>
    <t>RHF232W-HHS</t>
  </si>
  <si>
    <t>RHF232WP-FHS</t>
  </si>
  <si>
    <t>RHF232WP-HHS</t>
  </si>
  <si>
    <t>RHF332W-FHS</t>
  </si>
  <si>
    <t>RHF332W-HHS</t>
  </si>
  <si>
    <t>RHF332WP-FHS</t>
  </si>
  <si>
    <t>RHF332WP-HHS</t>
  </si>
  <si>
    <t>RIH132L-FHS</t>
  </si>
  <si>
    <t>RIH232L-FHS</t>
  </si>
  <si>
    <t>RIH332L-FHS</t>
  </si>
  <si>
    <t>500-PH/GD</t>
  </si>
  <si>
    <t>Equipment Cost Data for Half-Size Hot Food Holding Cabinets</t>
  </si>
  <si>
    <t>500-S/120V/STD 202902</t>
  </si>
  <si>
    <t>HB125</t>
  </si>
  <si>
    <t>HBU8</t>
  </si>
  <si>
    <t>HWU8 (Glass and Steel Doors)</t>
  </si>
  <si>
    <t>PH185</t>
  </si>
  <si>
    <t>H137WSUA5C</t>
  </si>
  <si>
    <t>H33912188C</t>
  </si>
  <si>
    <t>H339128C</t>
  </si>
  <si>
    <t>H339SBS1210</t>
  </si>
  <si>
    <t>H339SS128C</t>
  </si>
  <si>
    <t>H339UA8C</t>
  </si>
  <si>
    <t>HC4009</t>
  </si>
  <si>
    <t>MTU-4 (each cavity)</t>
  </si>
  <si>
    <t>P-60</t>
  </si>
  <si>
    <t>PHU-4 (each cavity)</t>
  </si>
  <si>
    <t>PST-10</t>
  </si>
  <si>
    <t>UHS-4 (each cavity)</t>
  </si>
  <si>
    <t>Giles Enterprises, Inc.</t>
  </si>
  <si>
    <t>GHU-24x30</t>
  </si>
  <si>
    <t>FSHC-6W1</t>
  </si>
  <si>
    <t>FSHC-7</t>
  </si>
  <si>
    <t>FSHC-7-1</t>
  </si>
  <si>
    <t>FSHC-7-2</t>
  </si>
  <si>
    <t>C190</t>
  </si>
  <si>
    <t>C535-CFS-4</t>
  </si>
  <si>
    <t xml:space="preserve">C565-NFC-U </t>
  </si>
  <si>
    <t>C565-NFC-UPFC</t>
  </si>
  <si>
    <t xml:space="preserve">C585-SFC-L </t>
  </si>
  <si>
    <t>TC90BB</t>
  </si>
  <si>
    <t>TC90S</t>
  </si>
  <si>
    <t>RHHC-1000-C1</t>
  </si>
  <si>
    <t>VBP33</t>
  </si>
  <si>
    <t>VBP5I</t>
  </si>
  <si>
    <t>Vulcan-Hart</t>
  </si>
  <si>
    <t>VHP3</t>
  </si>
  <si>
    <t>HA4005</t>
  </si>
  <si>
    <t>Wittco</t>
  </si>
  <si>
    <t>1220-3</t>
  </si>
  <si>
    <t>1826-5</t>
  </si>
  <si>
    <t>1826-7 (solid-door version only)</t>
  </si>
  <si>
    <t>1200-S</t>
  </si>
  <si>
    <t>CMBH1826L</t>
  </si>
  <si>
    <t>BB1824</t>
  </si>
  <si>
    <t>PH181 (120V)</t>
  </si>
  <si>
    <t>H339SS12188C</t>
  </si>
  <si>
    <t>H339SSUA8C</t>
  </si>
  <si>
    <t>HLC-SL-1826-5 (120v 1000W)</t>
  </si>
  <si>
    <t>Count</t>
  </si>
  <si>
    <t>RTF Workbook (PGE Data)</t>
  </si>
  <si>
    <t/>
  </si>
  <si>
    <t>Verify Stock model</t>
  </si>
  <si>
    <t>Run ProCost</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</si>
  <si>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</si>
  <si>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</si>
  <si>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</si>
  <si>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</si>
  <si>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</si>
  <si>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</si>
  <si>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</si>
  <si>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</si>
  <si>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</si>
  <si>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</si>
  <si>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</si>
  <si>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</si>
  <si>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</si>
  <si>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</si>
  <si>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</si>
  <si>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</si>
  <si>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</si>
  <si>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</si>
  <si>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</si>
  <si>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</si>
  <si>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</si>
  <si>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</si>
  <si>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</si>
  <si>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</si>
  <si>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</si>
  <si>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</si>
  <si>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</si>
  <si>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</si>
  <si>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</si>
  <si>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</si>
  <si>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</si>
  <si>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</si>
  <si>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C-All-Food-Cook-All-All-C</t>
  </si>
  <si>
    <t>6P MidC Final (with carbon)</t>
  </si>
  <si>
    <t>Conservation Load Shapes</t>
  </si>
  <si>
    <t>6P_Gas_Final</t>
  </si>
  <si>
    <t>Electric System CO2 Avoided (Annual Tons in 2018)</t>
  </si>
  <si>
    <t>Gas System CO2 Avoided (Annual Tons in 2018)</t>
  </si>
  <si>
    <t>Total System CO2 Avoided (Annual Tons in 2018)</t>
  </si>
  <si>
    <t>Units</t>
  </si>
  <si>
    <t>Separate measures to apply weightings</t>
  </si>
  <si>
    <t>Units - Elecric only</t>
  </si>
  <si>
    <t>Electric Fryer</t>
  </si>
  <si>
    <t>Installation of a new electric Fryer meeting ENERGYSTAR v2.0 requirements</t>
  </si>
  <si>
    <t>Equipment sizes based on ENERGY STAR v2.0 eligibility criteria:
Standard Fryer: A fryer with a vat that measures ≥ 12 inches and &lt; 18 inches wide, and a shortening capacity ≥ 25 pounds and ≤ 65 pounds.
Large Vat Fryer: A fryer with a vat that measures ≥ 18 inches and ≤ 24 inches wide, and a shortening capacity &gt; 50 pounds.</t>
  </si>
  <si>
    <t>Preheat Energy (kWh)</t>
  </si>
  <si>
    <t>Baseline: 2.4 kWh
Efficient Case: 1.9 kWh</t>
  </si>
  <si>
    <t>Baseline: 75%
Efficient Case: 85%</t>
  </si>
  <si>
    <t>Baseline: 1.2 kW
Efficient Case: 0.86 kW</t>
  </si>
  <si>
    <t>71 lbs/day</t>
  </si>
  <si>
    <t>167 Wh/lb</t>
  </si>
  <si>
    <t>Quantity of energy transferred to one pound of cooked food, ASTM Standard F2144</t>
  </si>
  <si>
    <r>
      <t xml:space="preserve">Daily Energy Consumption is calculated by adding together Cooking Energy, Idle Energy, and Preheat Energy.
Cooking Energy per day = </t>
    </r>
    <r>
      <rPr>
        <b/>
        <sz val="10"/>
        <rFont val="Arial"/>
        <family val="2"/>
      </rPr>
      <t>Pounds of Food Cooked per Day</t>
    </r>
    <r>
      <rPr>
        <sz val="10"/>
        <rFont val="Arial"/>
        <family val="2"/>
      </rPr>
      <t xml:space="preserve"> x </t>
    </r>
    <r>
      <rPr>
        <b/>
        <sz val="10"/>
        <rFont val="Arial"/>
        <family val="2"/>
      </rPr>
      <t xml:space="preserve">Cooking Energy to Food </t>
    </r>
    <r>
      <rPr>
        <sz val="10"/>
        <rFont val="Arial"/>
        <family val="2"/>
      </rPr>
      <t xml:space="preserve">/ </t>
    </r>
    <r>
      <rPr>
        <b/>
        <sz val="10"/>
        <rFont val="Arial"/>
        <family val="2"/>
      </rPr>
      <t xml:space="preserve">Heavy Load Cooking Efficiency
</t>
    </r>
    <r>
      <rPr>
        <sz val="10"/>
        <rFont val="Arial"/>
        <family val="2"/>
      </rPr>
      <t xml:space="preserve">
Idle Energy per day = </t>
    </r>
    <r>
      <rPr>
        <b/>
        <sz val="10"/>
        <rFont val="Arial"/>
        <family val="2"/>
      </rPr>
      <t>Idle Energy Rate</t>
    </r>
    <r>
      <rPr>
        <sz val="10"/>
        <rFont val="Arial"/>
        <family val="2"/>
      </rPr>
      <t xml:space="preserve"> x (Operating Hours per day - </t>
    </r>
    <r>
      <rPr>
        <b/>
        <sz val="10"/>
        <rFont val="Arial"/>
        <family val="2"/>
      </rPr>
      <t>Pound of Food cooked per Day</t>
    </r>
    <r>
      <rPr>
        <sz val="10"/>
        <rFont val="Arial"/>
        <family val="2"/>
      </rPr>
      <t xml:space="preserve"> / </t>
    </r>
    <r>
      <rPr>
        <b/>
        <sz val="10"/>
        <rFont val="Arial"/>
        <family val="2"/>
      </rPr>
      <t>Production Capacity</t>
    </r>
    <r>
      <rPr>
        <sz val="10"/>
        <rFont val="Arial"/>
        <family val="2"/>
      </rPr>
      <t xml:space="preserve"> - </t>
    </r>
    <r>
      <rPr>
        <b/>
        <sz val="10"/>
        <rFont val="Arial"/>
        <family val="2"/>
      </rPr>
      <t>Number of Preheats per Day</t>
    </r>
    <r>
      <rPr>
        <sz val="10"/>
        <rFont val="Arial"/>
        <family val="2"/>
      </rPr>
      <t xml:space="preserve"> x </t>
    </r>
    <r>
      <rPr>
        <b/>
        <sz val="10"/>
        <rFont val="Arial"/>
        <family val="2"/>
      </rPr>
      <t xml:space="preserve">Preheat Time </t>
    </r>
    <r>
      <rPr>
        <sz val="10"/>
        <rFont val="Arial"/>
        <family val="2"/>
      </rPr>
      <t xml:space="preserve">/ 60)
Preheat Energy per day = </t>
    </r>
    <r>
      <rPr>
        <b/>
        <sz val="10"/>
        <rFont val="Arial"/>
        <family val="2"/>
      </rPr>
      <t xml:space="preserve">Number of Preheats per Day </t>
    </r>
    <r>
      <rPr>
        <sz val="10"/>
        <rFont val="Arial"/>
        <family val="2"/>
      </rPr>
      <t xml:space="preserve">x </t>
    </r>
    <r>
      <rPr>
        <b/>
        <sz val="10"/>
        <rFont val="Arial"/>
        <family val="2"/>
      </rPr>
      <t>Preheat Energy</t>
    </r>
    <r>
      <rPr>
        <sz val="10"/>
        <rFont val="Arial"/>
        <family val="2"/>
      </rPr>
      <t xml:space="preserve">
 Annual Energy Savings is given as the difference between the baseline and efficient case Daily Energy Consumption, multiplied by </t>
    </r>
    <r>
      <rPr>
        <b/>
        <sz val="10"/>
        <rFont val="Arial"/>
        <family val="2"/>
      </rPr>
      <t xml:space="preserve">Annual Hours of Operation </t>
    </r>
    <r>
      <rPr>
        <sz val="10"/>
        <rFont val="Arial"/>
        <family val="2"/>
      </rPr>
      <t xml:space="preserve">x </t>
    </r>
    <r>
      <rPr>
        <b/>
        <sz val="10"/>
        <rFont val="Arial"/>
        <family val="2"/>
      </rPr>
      <t>(1- Market Penetration Rate)</t>
    </r>
    <r>
      <rPr>
        <sz val="10"/>
        <rFont val="Arial"/>
        <family val="2"/>
      </rPr>
      <t xml:space="preserve">.
</t>
    </r>
  </si>
  <si>
    <t>49.5 kWh/day</t>
  </si>
  <si>
    <t>41.2 kWh/day</t>
  </si>
  <si>
    <t>Average Cooking Energy for economy grade fryers meeting ASTM F1361 tested by the FSTC.</t>
  </si>
  <si>
    <t>Average Cooking Energy for efficient fryers found through FSTC testing meeting ASTM F1361 and ENERGY STAR v2.0 requirements.</t>
  </si>
  <si>
    <t>Average Idle Energy for economy grade fryers meeting ASTM F1361 tested by the FSTC.</t>
  </si>
  <si>
    <t>Average Idle Energy for efficient fryers found through FSTC testing meeting ASTM F1361 and ENERGY STAR v2.0 requirements.</t>
  </si>
  <si>
    <t>Average Preheat Energy for economy grade fryers meeting ASTM F1361 tested by the FSTC.</t>
  </si>
  <si>
    <t>Average Preheat Energy for efficient fryers found through FSTC testing meeting ASTM F1361 and ENERGY STAR v2.0 requirements.</t>
  </si>
  <si>
    <t>PG&amp;E August 23, 2012 Work Paper - PGEFST105, Revision 3, PGECOFST102 R3 Insulated Holding Cabinet.doc</t>
  </si>
  <si>
    <t>EUL of equipment weighted by expected operating hours of use within each building type using a 5.6 year EUL for equipment located in restaurants and rationing EUL for other business types based on HOU/year. Final weighted average EUL based on distribution of equipment in various building types.</t>
  </si>
  <si>
    <t>Hot Food Holding Cabinets</t>
  </si>
  <si>
    <t>Installation of a new electric Hot Food Holding Cabinet (HFHC) meeting ENERGYSTAR v2.0 requirements</t>
  </si>
  <si>
    <t>HFHC Size</t>
  </si>
  <si>
    <t>Half Size
Full Size</t>
  </si>
  <si>
    <t>FSTC defined product split based on product internal volume used to develop 2012 PG&amp;E workpapers.
Half Size: &lt; 15 cu. ft.
Full Size: ≥ 15 cu. ft.</t>
  </si>
  <si>
    <t>Puget Sound Energy (PSE) program data used to determine installation locations of HFHCs for various building types and then weighted using HOU/week estimates found in 2009 CBSA Dataset for select building types.
Northwest Energy Efficiency Alliance. 2009. 2007 CBSA Database [Dataset]. Portland, OR: Northwest Energy Efficiency Alliance: http://neea.org/docs/reports/2009NorthwestCommercialBuildingStockAssessment021CA220F212.pdf?sfvrsn=6
Calculated hours can be found in: Cooking-HOU_Calcs-v3.xlsx</t>
  </si>
  <si>
    <t>Half Size: 58%
Full Size: 34%</t>
  </si>
  <si>
    <t>Count of unique models found in current CEC Database for Full size and Half size cabinets. Although ENERGY STAR shipment data is available for 2011, v2.0 spec was not released until October, 2011 and therefore v2.0 market share not likely represented by 2011 ENERGY STAR shipment data.</t>
  </si>
  <si>
    <t>Efficient HFHC</t>
  </si>
  <si>
    <r>
      <t xml:space="preserve">Savings are calculated using the </t>
    </r>
    <r>
      <rPr>
        <b/>
        <sz val="10"/>
        <rFont val="Arial"/>
        <family val="2"/>
      </rPr>
      <t xml:space="preserve">Annual Hours of Operation </t>
    </r>
    <r>
      <rPr>
        <sz val="10"/>
        <rFont val="Arial"/>
        <family val="2"/>
      </rPr>
      <t xml:space="preserve">multiplied by the difference in baseline and efficient case </t>
    </r>
    <r>
      <rPr>
        <b/>
        <sz val="10"/>
        <rFont val="Arial"/>
        <family val="2"/>
      </rPr>
      <t>Idle Energy Consumption</t>
    </r>
    <r>
      <rPr>
        <sz val="10"/>
        <rFont val="Arial"/>
        <family val="2"/>
      </rPr>
      <t xml:space="preserve"> depending on cabinet volume. The savings are then multiplied by (</t>
    </r>
    <r>
      <rPr>
        <b/>
        <sz val="10"/>
        <rFont val="Arial"/>
        <family val="2"/>
      </rPr>
      <t xml:space="preserve">1-Market Penetration Rate) </t>
    </r>
    <r>
      <rPr>
        <sz val="10"/>
        <rFont val="Arial"/>
        <family val="2"/>
      </rPr>
      <t>of unique efficient units found in the CEC Database as a proxy for the market.</t>
    </r>
  </si>
  <si>
    <t>Idle Energy Consumption (kW/hr)</t>
  </si>
  <si>
    <t>Half Size: 761 kWh/yr
Full Size: 1,485 kWh/yr</t>
  </si>
  <si>
    <t>Half Size: 161 kWh/yr
Full Size: 238 kWh/yr</t>
  </si>
  <si>
    <r>
      <t>Average Idle Energy Consumption of unique models in the CEC appliance database of available HFHC's meeting ASTM F2140 maximum normalized idle energy rate of 40 W/ft</t>
    </r>
    <r>
      <rPr>
        <vertAlign val="superscript"/>
        <sz val="10"/>
        <rFont val="Arial"/>
        <family val="2"/>
      </rPr>
      <t xml:space="preserve">3 </t>
    </r>
    <r>
      <rPr>
        <sz val="10"/>
        <rFont val="Arial"/>
        <family val="2"/>
      </rPr>
      <t>and not meeting ENERGY STAR v2.0 eligibility criteria.</t>
    </r>
  </si>
  <si>
    <t>Baseline costs taken as average of all products analyzed in FSTC dataset. Efficient Case costs taken as average of products identified by FSTC as Energy Efficient. Incremental cost taken as difference between the two.</t>
  </si>
  <si>
    <t>EUL of equipment weighted by expected operating hours of use within each building type using a 5.6 year EUL for equipment located in restaurants and ratioing EUL for other business types based on HOU/year. Final weighted average EUL of 20 years is based on distribution of equipment in various building types.</t>
  </si>
  <si>
    <t>2012 PSE Program Data on rebated installs and their locations</t>
  </si>
  <si>
    <t>Electric Steamer</t>
  </si>
  <si>
    <t>Installation of a new electric steamer meeting ENERGYSTAR v1.2 requirements</t>
  </si>
  <si>
    <t>Cooking-HOU_Calcs-v3.xlsx, RTFStandardInformationWorkbook_v1_3.xlsx</t>
  </si>
  <si>
    <t>Steamer Size</t>
  </si>
  <si>
    <t>Electric Steamer (3-pan)
Electric Steamer (4-pan)
Electric Steamer (5-pan)
Electric Steamer (6-pan)
Electric Steamer (10 Pan and Larger)</t>
  </si>
  <si>
    <t>Varies based on steamer size</t>
  </si>
  <si>
    <t>Production Capacity (lb/hr)</t>
  </si>
  <si>
    <t>30.8 Wh/lb</t>
  </si>
  <si>
    <t>Quantity of energy transferred to one pound of cooked food, ASTM Standard F1484</t>
  </si>
  <si>
    <t>Efficient Electric Steamer</t>
  </si>
  <si>
    <r>
      <t xml:space="preserve">Daily Energy Consumption is calculated by adding together Cooking Energy, Idle Energy, and Preheat Energy.
Cooking Energy per day = </t>
    </r>
    <r>
      <rPr>
        <b/>
        <sz val="10"/>
        <rFont val="Arial"/>
        <family val="2"/>
      </rPr>
      <t>Pounds of Food Cooked per Day</t>
    </r>
    <r>
      <rPr>
        <sz val="10"/>
        <rFont val="Arial"/>
        <family val="2"/>
      </rPr>
      <t xml:space="preserve"> x </t>
    </r>
    <r>
      <rPr>
        <b/>
        <sz val="10"/>
        <rFont val="Arial"/>
        <family val="2"/>
      </rPr>
      <t xml:space="preserve">Cooking Energy to Food </t>
    </r>
    <r>
      <rPr>
        <sz val="10"/>
        <rFont val="Arial"/>
        <family val="2"/>
      </rPr>
      <t xml:space="preserve">/ </t>
    </r>
    <r>
      <rPr>
        <b/>
        <sz val="10"/>
        <rFont val="Arial"/>
        <family val="2"/>
      </rPr>
      <t xml:space="preserve">Heavy Load Cooking Efficiency
</t>
    </r>
    <r>
      <rPr>
        <sz val="10"/>
        <rFont val="Arial"/>
        <family val="2"/>
      </rPr>
      <t xml:space="preserve">
Idle Energy per day = [(1 - % Time In Constant Steam Mode) x </t>
    </r>
    <r>
      <rPr>
        <b/>
        <sz val="10"/>
        <rFont val="Arial"/>
        <family val="2"/>
      </rPr>
      <t>Idle Energy Rate</t>
    </r>
    <r>
      <rPr>
        <sz val="10"/>
        <rFont val="Arial"/>
        <family val="2"/>
      </rPr>
      <t xml:space="preserve"> + % Time in Constant Steam Mode x   </t>
    </r>
    <r>
      <rPr>
        <b/>
        <sz val="10"/>
        <rFont val="Arial"/>
        <family val="2"/>
      </rPr>
      <t>Production Capacity x Cooking Energy to Food / Heavy Load Cooking Efficiency</t>
    </r>
    <r>
      <rPr>
        <sz val="10"/>
        <rFont val="Arial"/>
        <family val="2"/>
      </rPr>
      <t xml:space="preserve">] x [Operating Hours per day  - </t>
    </r>
    <r>
      <rPr>
        <b/>
        <sz val="10"/>
        <rFont val="Arial"/>
        <family val="2"/>
      </rPr>
      <t>Number of Preheats per Day</t>
    </r>
    <r>
      <rPr>
        <sz val="10"/>
        <rFont val="Arial"/>
        <family val="2"/>
      </rPr>
      <t xml:space="preserve"> x </t>
    </r>
    <r>
      <rPr>
        <b/>
        <sz val="10"/>
        <rFont val="Arial"/>
        <family val="2"/>
      </rPr>
      <t xml:space="preserve">Preheat Time </t>
    </r>
    <r>
      <rPr>
        <sz val="10"/>
        <rFont val="Arial"/>
        <family val="2"/>
      </rPr>
      <t xml:space="preserve">/ 60 - </t>
    </r>
    <r>
      <rPr>
        <b/>
        <sz val="10"/>
        <rFont val="Arial"/>
        <family val="2"/>
      </rPr>
      <t>Pound of Food cooked per Day</t>
    </r>
    <r>
      <rPr>
        <sz val="10"/>
        <rFont val="Arial"/>
        <family val="2"/>
      </rPr>
      <t xml:space="preserve"> / </t>
    </r>
    <r>
      <rPr>
        <b/>
        <sz val="10"/>
        <rFont val="Arial"/>
        <family val="2"/>
      </rPr>
      <t>Production Capacity]</t>
    </r>
    <r>
      <rPr>
        <sz val="10"/>
        <rFont val="Arial"/>
        <family val="2"/>
      </rPr>
      <t xml:space="preserve">
Preheat Energy per day = </t>
    </r>
    <r>
      <rPr>
        <b/>
        <sz val="10"/>
        <rFont val="Arial"/>
        <family val="2"/>
      </rPr>
      <t xml:space="preserve">Number of Preheats per Day </t>
    </r>
    <r>
      <rPr>
        <sz val="10"/>
        <rFont val="Arial"/>
        <family val="2"/>
      </rPr>
      <t xml:space="preserve">x </t>
    </r>
    <r>
      <rPr>
        <b/>
        <sz val="10"/>
        <rFont val="Arial"/>
        <family val="2"/>
      </rPr>
      <t>Preheat Energy</t>
    </r>
    <r>
      <rPr>
        <sz val="10"/>
        <rFont val="Arial"/>
        <family val="2"/>
      </rPr>
      <t xml:space="preserve">
 Annual Energy Savings is given as the difference between the baseline and efficient case Daily Energy Consumption, multiplied by </t>
    </r>
    <r>
      <rPr>
        <b/>
        <sz val="10"/>
        <rFont val="Arial"/>
        <family val="2"/>
      </rPr>
      <t xml:space="preserve">Annual Hours of Operation </t>
    </r>
    <r>
      <rPr>
        <sz val="10"/>
        <rFont val="Arial"/>
        <family val="2"/>
      </rPr>
      <t>x</t>
    </r>
    <r>
      <rPr>
        <b/>
        <sz val="10"/>
        <rFont val="Arial"/>
        <family val="2"/>
      </rPr>
      <t xml:space="preserve"> (1-Market Penetration Rate)</t>
    </r>
    <r>
      <rPr>
        <sz val="10"/>
        <rFont val="Arial"/>
        <family val="2"/>
      </rPr>
      <t xml:space="preserve">.
</t>
    </r>
  </si>
  <si>
    <t>3 Pan: 108.5 kWh/day
4 Pan: 143.8 kWh/day
5 Pan: 179.1 kWh/day
6 Pan: 214.3 kWh/day
10 Pan and Larger: 355.4 kWh/day</t>
  </si>
  <si>
    <t>3 Pan: 8.0 kWh/day
4 Pan: 9.1 kWh/day
5 Pan: 10.2 kWh/day
6 Pan: 11.3 kWh/day
10 Pan and Larger: 15.6 kWh/day</t>
  </si>
  <si>
    <t>Sample of Economy Grade Steamers meeting ASTM F1484 and tested by the FSTC.</t>
  </si>
  <si>
    <t>Sample of efficient steamers meeting ENERGYSTAR 1.2 requirements and tested by the FSTC.</t>
  </si>
  <si>
    <r>
      <t xml:space="preserve">Daily water consumption is determined by multiplying the Operating Hours per day by the Average Water Consumption Rate.
Annual energy savings are given as the difference between the baseline and efficient case Daily Water Consumption multiplied by the </t>
    </r>
    <r>
      <rPr>
        <b/>
        <sz val="10"/>
        <rFont val="Arial"/>
        <family val="2"/>
      </rPr>
      <t xml:space="preserve">Annual Hours of Operation </t>
    </r>
    <r>
      <rPr>
        <sz val="10"/>
        <rFont val="Arial"/>
        <family val="2"/>
      </rPr>
      <t>x</t>
    </r>
    <r>
      <rPr>
        <b/>
        <sz val="10"/>
        <rFont val="Arial"/>
        <family val="2"/>
      </rPr>
      <t xml:space="preserve"> (1-Market Penetration Rate)</t>
    </r>
    <r>
      <rPr>
        <sz val="10"/>
        <rFont val="Arial"/>
        <family val="2"/>
      </rPr>
      <t>.</t>
    </r>
  </si>
  <si>
    <t>578.6 gal/day</t>
  </si>
  <si>
    <t>28.6 gal/day</t>
  </si>
  <si>
    <t>PG&amp;E August 23, 2012 Work Paper PGECOFST104, Revision 4, PGECOFST104 R4 Steamer.doc</t>
  </si>
  <si>
    <t>2013 Internet research for 10-pan models that were not ENERGY STAR Qualified</t>
  </si>
  <si>
    <t>Online Retail</t>
  </si>
  <si>
    <t>ENERGYSTAR v1.2 Requirements</t>
  </si>
  <si>
    <t>Pan Capacity</t>
  </si>
  <si>
    <t>Idle Rate (watts)</t>
  </si>
  <si>
    <t>3-pan</t>
  </si>
  <si>
    <t>4-pan</t>
  </si>
  <si>
    <t>5-pan</t>
  </si>
  <si>
    <t>6-pan and larger</t>
  </si>
  <si>
    <t>2011 ENERGY STAR Penetration Rate</t>
  </si>
  <si>
    <t>Response Rate</t>
  </si>
  <si>
    <t>Number of Manufacturers</t>
  </si>
  <si>
    <t>Market Penetration</t>
  </si>
  <si>
    <t>Steamers</t>
  </si>
  <si>
    <t>Source: http://www.energystar.gov/index.cfm?c=partners.unit_shipment_data</t>
  </si>
  <si>
    <t>3-Pan</t>
  </si>
  <si>
    <t>4-Pan</t>
  </si>
  <si>
    <t>5-Pan</t>
  </si>
  <si>
    <t>6-Pan</t>
  </si>
  <si>
    <t>10-Pan and larger</t>
  </si>
  <si>
    <t>Performance</t>
  </si>
  <si>
    <t>Baseline Model</t>
  </si>
  <si>
    <t>Energy Efficient Model</t>
  </si>
  <si>
    <t>Preheat Time (min)</t>
  </si>
  <si>
    <t>Cooking-Energy Efficiency (%)</t>
  </si>
  <si>
    <t>Production Capacity (lb/h)</t>
  </si>
  <si>
    <t>Average Water Consumption Rate (gal/h)</t>
  </si>
  <si>
    <t>Operating Hours/Day</t>
  </si>
  <si>
    <t>Operating Days/Year</t>
  </si>
  <si>
    <t>Number of Preheats/Day</t>
  </si>
  <si>
    <t>Pounds of Food Cooked per Day</t>
  </si>
  <si>
    <t>ASTM Energy to Food (kWh/lb)</t>
  </si>
  <si>
    <t>Percentage of Time in Constant Steam Mode</t>
  </si>
  <si>
    <t>Daily Energy Consumption (kWh)</t>
  </si>
  <si>
    <t>Daily Water Consumption (gal)</t>
  </si>
  <si>
    <t>Annual Energy Consumption (kWh)</t>
  </si>
  <si>
    <t>Annual Water Consumption (gal)</t>
  </si>
  <si>
    <t>Annual Energy Savings (kWh/yr)</t>
  </si>
  <si>
    <t>Annual Water Savings (gal/yr)</t>
  </si>
  <si>
    <t>Annual Water Savings (kWh/yr)</t>
  </si>
  <si>
    <t>Annual Water Savings ($/yr)</t>
  </si>
  <si>
    <t xml:space="preserve">Green highlight changed to match ENEGY STAR calculator at 23.3lbs/hr/pan for baseline and 16.7 lbs/hr/pan for efficient case </t>
  </si>
  <si>
    <t>Tan highlight changed to calculate increasing lbs/day for pan count based on 10% utilization overall (FSTC estimate of 100 lbs/day for 3-pan model)</t>
  </si>
  <si>
    <t>Daily Energy Consumption Calculation and Definitions</t>
  </si>
  <si>
    <t>EDAY = (LBFOOD x EFOOD) / EFFICIENCY + [(1-%Steam) x IDLERATE x (TON - TP/60 – LBFOOD/PC)] + [(%Steam) x ((PC x EFOOD)/EFFICIENCY) x (TON -TP/60 - LBFOOD/PC)] + EP</t>
  </si>
  <si>
    <t>Where:</t>
  </si>
  <si>
    <t>Eday =</t>
  </si>
  <si>
    <t>LBfood=</t>
  </si>
  <si>
    <t>Efood =</t>
  </si>
  <si>
    <t>ASTM Energy to Food (kWh/lb) = kWh/pound of energy absorbed by food product during cooking</t>
  </si>
  <si>
    <t xml:space="preserve">Efficiency = </t>
  </si>
  <si>
    <t>Heavy Load Cooking Energy Efficiency %</t>
  </si>
  <si>
    <t>Idle Rate =</t>
  </si>
  <si>
    <t>TON =</t>
  </si>
  <si>
    <t>PC =</t>
  </si>
  <si>
    <t>Production Capacity (lbs/hr)</t>
  </si>
  <si>
    <t>TP =</t>
  </si>
  <si>
    <t>% Steam</t>
  </si>
  <si>
    <t>EP =</t>
  </si>
  <si>
    <r>
      <rPr>
        <u/>
        <sz val="10"/>
        <rFont val="Arial"/>
        <family val="2"/>
      </rPr>
      <t>Source:</t>
    </r>
    <r>
      <rPr>
        <sz val="10"/>
        <rFont val="Arial"/>
        <family val="2"/>
      </rPr>
      <t xml:space="preserve"> </t>
    </r>
    <r>
      <rPr>
        <i/>
        <sz val="10"/>
        <rFont val="Arial"/>
        <family val="2"/>
      </rPr>
      <t>Commercial Steam Cooker - Electric and Gas</t>
    </r>
    <r>
      <rPr>
        <sz val="10"/>
        <rFont val="Arial"/>
        <family val="2"/>
      </rPr>
      <t>. Pacific Gas &amp; Electric Company, Customer Energy Solutions. Work Paper PGECOFST104, Revision #4. Aug 22, 2012.</t>
    </r>
  </si>
  <si>
    <t>Water and Sewer Cost Savings</t>
  </si>
  <si>
    <t>Residential</t>
  </si>
  <si>
    <t>Non-Manufact/ Commercial</t>
  </si>
  <si>
    <t>Commercial/Light Indust.</t>
  </si>
  <si>
    <t>Industrial 1,000,000 cf</t>
  </si>
  <si>
    <t>Industrial 1,500,000 cf</t>
  </si>
  <si>
    <t>Effective Electricity Rate*</t>
  </si>
  <si>
    <t>$/kWh</t>
  </si>
  <si>
    <t>Fresh Water Rate, net of Embedded Electricity</t>
  </si>
  <si>
    <t>$/1000 gal</t>
  </si>
  <si>
    <r>
      <rPr>
        <u/>
        <sz val="10"/>
        <rFont val="Arial"/>
        <family val="2"/>
      </rPr>
      <t>Source</t>
    </r>
    <r>
      <rPr>
        <sz val="10"/>
        <rFont val="Arial"/>
        <family val="2"/>
      </rPr>
      <t>: RTF Standard Information Workbook.</t>
    </r>
  </si>
  <si>
    <t>Aeration Energy Use (kWh/1000gal)</t>
  </si>
  <si>
    <t>Updated for 2012$</t>
  </si>
  <si>
    <t>Source file for these data:  See RTF Measre workbooks- separate workbook for each technology.  Some but not all of the background data carried into this workbook</t>
  </si>
  <si>
    <t>2.1 Electric Energy Savings Estimation Methodologies</t>
  </si>
  <si>
    <r>
      <t>The industry standard for energy use and cooking performance of steamers is ASTM Standard Test Method for the</t>
    </r>
    <r>
      <rPr>
        <i/>
        <sz val="11"/>
        <color theme="1"/>
        <rFont val="Arial"/>
        <family val="2"/>
      </rPr>
      <t xml:space="preserve"> </t>
    </r>
    <r>
      <rPr>
        <sz val="11"/>
        <color theme="1"/>
        <rFont val="Times New Roman"/>
        <family val="1"/>
      </rPr>
      <t>Performance of Steam Cookers (F1484). Table 7 shows an example of the calculation results for electric steamers under ASTM F1484.</t>
    </r>
  </si>
  <si>
    <t>Table 7 Commercial Electric Steam Cooker Cost Effectiveness Example.</t>
  </si>
  <si>
    <t>Electric Cost ($/kWh)</t>
  </si>
  <si>
    <t>Water/Sewer Cost ($/CCF)</t>
  </si>
  <si>
    <t>-</t>
  </si>
  <si>
    <t>Average Demand (kW)</t>
  </si>
  <si>
    <t>Estimated Demand Reduction (kW)</t>
  </si>
  <si>
    <t>Estimated Energy Savings (kWh/yr)</t>
  </si>
  <si>
    <t>Estimated Water Savings (gal)</t>
  </si>
  <si>
    <t>Annual Energy Cost ($)</t>
  </si>
  <si>
    <t>Estimated Cost Savings ($/yr)</t>
  </si>
  <si>
    <r>
      <t xml:space="preserve">Annual Water Cost ($/yr) </t>
    </r>
    <r>
      <rPr>
        <vertAlign val="superscript"/>
        <sz val="10"/>
        <color theme="1"/>
        <rFont val="Arial"/>
        <family val="2"/>
      </rPr>
      <t>a</t>
    </r>
  </si>
  <si>
    <r>
      <t xml:space="preserve">Estimated Water Cost Savings ($/yr) </t>
    </r>
    <r>
      <rPr>
        <vertAlign val="superscript"/>
        <sz val="10"/>
        <color theme="1"/>
        <rFont val="Arial"/>
        <family val="2"/>
      </rPr>
      <t>a</t>
    </r>
  </si>
  <si>
    <r>
      <t xml:space="preserve">Incremental Measure Cost </t>
    </r>
    <r>
      <rPr>
        <vertAlign val="superscript"/>
        <sz val="10"/>
        <color theme="1"/>
        <rFont val="Arial"/>
        <family val="2"/>
      </rPr>
      <t>b</t>
    </r>
  </si>
  <si>
    <t>SEE APPENDIX A</t>
  </si>
  <si>
    <r>
      <t xml:space="preserve">Estimated Useful Life (EUL) </t>
    </r>
    <r>
      <rPr>
        <vertAlign val="superscript"/>
        <sz val="10"/>
        <color theme="1"/>
        <rFont val="Arial"/>
        <family val="2"/>
      </rPr>
      <t>c</t>
    </r>
  </si>
  <si>
    <t>12 years</t>
  </si>
  <si>
    <r>
      <t>a</t>
    </r>
    <r>
      <rPr>
        <sz val="9"/>
        <color theme="1"/>
        <rFont val="Times New Roman"/>
        <family val="1"/>
      </rPr>
      <t xml:space="preserve"> Water and wastewater cost are based on a rate of $2.00/CCF water and $3.00/CCF wastewater.</t>
    </r>
  </si>
  <si>
    <t>Work Paper PGEFST104, Revision 4</t>
  </si>
  <si>
    <t>Pacific Gas &amp; Electric Company</t>
  </si>
  <si>
    <t>PGECOFST104 R4 Steamer.doc</t>
  </si>
  <si>
    <t>Source:</t>
  </si>
  <si>
    <t>Steamer Example Calculatoin from PG&amp;E</t>
  </si>
  <si>
    <t>Market Saturation</t>
  </si>
  <si>
    <t>Combi Oven</t>
  </si>
  <si>
    <t>http://www.energystar.gov/ia/partners/downloads/unit_shipment_data/2011_USD_Summary_Report.pdf</t>
  </si>
  <si>
    <t>Steam Cooker</t>
  </si>
  <si>
    <t xml:space="preserve">Baseline saturation is 39%  (based on 2011 ENERGYSTAR data).  </t>
  </si>
  <si>
    <t xml:space="preserve">See RTF workbooks:
ComCookingCombinationOven_v2_0.xlsm
ComCookingConvectionOven_v2_0.xlsm
ComCookingFryer_v2_0.xlsm
ComCookingHotFoodCabinet_v2_0.xlsm
ComCookingSteamer_v2_0.xlsm
</t>
  </si>
  <si>
    <t xml:space="preserve">See RTF workbooks:
ComCookingCombinationOven_v2_0.xlsm
ComCookingConvectionOven_v2_0.xlsm
ComCookingFryer_v2_0.xlsm
ComCookingHotFoodCabinet_v2_0.xlsm
ComCookingSteamer_v2_0.xlsm - steamer savings significantly higher than in the 6P.  Now include the steam and water savings.  New data from FSTC.  </t>
  </si>
  <si>
    <t>2016 Potential</t>
  </si>
  <si>
    <t>Max</t>
  </si>
  <si>
    <t>max</t>
  </si>
  <si>
    <t>Max achievable</t>
  </si>
  <si>
    <t>Savings Allocation by Category and Month for Segments 1</t>
  </si>
  <si>
    <t>Savings Allocation by Category and Month for Segments 2</t>
  </si>
  <si>
    <t>Wholesale KW</t>
  </si>
  <si>
    <t>Savings Allocation by Cost Bin and Month for Segments 1</t>
  </si>
  <si>
    <t>Savings Allocation by Cost Bin and Month for Segments 2</t>
  </si>
  <si>
    <t>Source:  FTC Report, June 2005</t>
  </si>
  <si>
    <t>Applicability =</t>
  </si>
  <si>
    <t>Saturation</t>
  </si>
  <si>
    <t>From ENERGY STAR - 38% are already energy star models - this is across the board.</t>
  </si>
  <si>
    <t>Assume 60% applicability - 40% of the larger ones won't apply the measure.  Only applies to steamers</t>
  </si>
  <si>
    <t>Ramp Rate</t>
  </si>
  <si>
    <t>Resource Type</t>
  </si>
  <si>
    <t>Measure Category</t>
  </si>
  <si>
    <t>Sector</t>
  </si>
  <si>
    <t>End Use</t>
  </si>
  <si>
    <t>kW per unit</t>
  </si>
  <si>
    <t>kWh per unit</t>
  </si>
  <si>
    <t>TRC Net Levelized Cost (Net of All Benefits)</t>
  </si>
  <si>
    <t>MAX</t>
  </si>
  <si>
    <t>NR</t>
  </si>
  <si>
    <t>End-use:</t>
  </si>
  <si>
    <t>Effective rate which preserves B/C ratio *</t>
  </si>
  <si>
    <t>calculated</t>
  </si>
  <si>
    <t>See "Water Energy" worksheet</t>
  </si>
  <si>
    <t>Converted these numbers to values rather than links since the SIW changes frequently</t>
  </si>
  <si>
    <r>
      <rPr>
        <u/>
        <sz val="10"/>
        <color rgb="FFFF0000"/>
        <rFont val="Arial"/>
        <family val="2"/>
      </rPr>
      <t>Source</t>
    </r>
    <r>
      <rPr>
        <sz val="10"/>
        <color rgb="FFFF0000"/>
        <rFont val="Arial"/>
        <family val="2"/>
      </rPr>
      <t>: RTF Standard Information Workbook (Version 2.0)</t>
    </r>
  </si>
  <si>
    <t xml:space="preserve">This workbook can be found on the RTF web site. </t>
  </si>
  <si>
    <t>File Versions</t>
  </si>
  <si>
    <t>v3</t>
  </si>
  <si>
    <t>Initial file posted for review</t>
  </si>
  <si>
    <t>v4</t>
  </si>
  <si>
    <t>Added the forRPM tab and some minor updates</t>
  </si>
  <si>
    <t>Source: August 23, 2012 Work Paper PGECOFST102, Revision 4, PGECOFST102R4Fryers.doc</t>
  </si>
  <si>
    <t>Standard Vat (&lt; 18")</t>
  </si>
  <si>
    <r>
      <t>Large Vat (</t>
    </r>
    <r>
      <rPr>
        <b/>
        <sz val="11"/>
        <color theme="1"/>
        <rFont val="Arial"/>
        <family val="2"/>
      </rPr>
      <t>≥</t>
    </r>
    <r>
      <rPr>
        <b/>
        <sz val="11"/>
        <color theme="1"/>
        <rFont val="Calibri"/>
        <family val="2"/>
        <scheme val="minor"/>
      </rPr>
      <t xml:space="preserve"> 18")</t>
    </r>
  </si>
  <si>
    <t>Any Vat Size</t>
  </si>
  <si>
    <t>Equipment Cost Data for Electric Fryers</t>
  </si>
  <si>
    <t xml:space="preserve">Model </t>
  </si>
  <si>
    <t>B1</t>
  </si>
  <si>
    <t>B2</t>
  </si>
  <si>
    <t>B3</t>
  </si>
  <si>
    <t>B4</t>
  </si>
  <si>
    <t>B5</t>
  </si>
  <si>
    <t>B6</t>
  </si>
  <si>
    <t>B7</t>
  </si>
  <si>
    <t>B8</t>
  </si>
  <si>
    <t>B9</t>
  </si>
  <si>
    <t>B10</t>
  </si>
  <si>
    <t>Large Vat</t>
  </si>
  <si>
    <t>B11</t>
  </si>
  <si>
    <t>B12</t>
  </si>
  <si>
    <t>B13</t>
  </si>
  <si>
    <t>B14</t>
  </si>
  <si>
    <t>B15</t>
  </si>
  <si>
    <t>B16</t>
  </si>
  <si>
    <t>B17</t>
  </si>
  <si>
    <t>B18</t>
  </si>
  <si>
    <t>B19</t>
  </si>
  <si>
    <t>B20</t>
  </si>
  <si>
    <t>B21</t>
  </si>
  <si>
    <t>EE1</t>
  </si>
  <si>
    <t>EE2</t>
  </si>
  <si>
    <t>EE3</t>
  </si>
  <si>
    <t>EE4</t>
  </si>
  <si>
    <t>EE5</t>
  </si>
  <si>
    <t>EE6</t>
  </si>
  <si>
    <t>EE7</t>
  </si>
  <si>
    <t>EE8</t>
  </si>
  <si>
    <t>EE9</t>
  </si>
  <si>
    <t>EE10</t>
  </si>
  <si>
    <t>EE11</t>
  </si>
  <si>
    <t>EE12</t>
  </si>
  <si>
    <t>EE13</t>
  </si>
  <si>
    <t>EE14</t>
  </si>
  <si>
    <t>EE15</t>
  </si>
  <si>
    <t>EE16</t>
  </si>
  <si>
    <t>EE17</t>
  </si>
  <si>
    <t>EE18</t>
  </si>
  <si>
    <t>Q:\SeventhPlan\Conservation Analysis\Global EE Inputs\MC Files\MC_AND_LOADSHAPE_v3.0_24segment-7P-D9 - NewSegValues.xlsx</t>
  </si>
  <si>
    <t>Stock</t>
  </si>
  <si>
    <t>Pop</t>
  </si>
  <si>
    <t>Apply the 85% Max Achievable here</t>
  </si>
  <si>
    <t>v5</t>
  </si>
  <si>
    <t>Added the High/Low forecast selection option</t>
  </si>
  <si>
    <t>Thursday, 19 March , 2015 at 9:11 AM</t>
  </si>
</sst>
</file>

<file path=xl/styles.xml><?xml version="1.0" encoding="utf-8"?>
<styleSheet xmlns="http://schemas.openxmlformats.org/spreadsheetml/2006/main">
  <numFmts count="24">
    <numFmt numFmtId="5" formatCode="&quot;$&quot;#,##0_);\(&quot;$&quot;#,##0\)"/>
    <numFmt numFmtId="6" formatCode="&quot;$&quot;#,##0_);[Red]\(&quot;$&quot;#,##0\)"/>
    <numFmt numFmtId="8" formatCode="&quot;$&quot;#,##0.00_);[Red]\(&quot;$&quot;#,##0.00\)"/>
    <numFmt numFmtId="41" formatCode="_(* #,##0_);_(* \(#,##0\);_(* &quot;-&quot;_);_(@_)"/>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0.0;[Red]\-0.0"/>
    <numFmt numFmtId="170" formatCode="\ "/>
    <numFmt numFmtId="171" formatCode="_(* #,##0.000_);_(* \(#,##0.000\);_(* &quot;-&quot;??_);_(@_)"/>
    <numFmt numFmtId="172" formatCode="&quot;$&quot;#,##0"/>
    <numFmt numFmtId="173" formatCode="m/d/\ h:mm"/>
    <numFmt numFmtId="174" formatCode="_(&quot;$&quot;* #,##0_);_(&quot;$&quot;* \(#,##0\);_(&quot;$&quot;* &quot;-&quot;??_);_(@_)"/>
    <numFmt numFmtId="175" formatCode="0.000"/>
    <numFmt numFmtId="176" formatCode="#,##0;[Red]#,##0"/>
    <numFmt numFmtId="177" formatCode="_(* #,##0.0_);_(* \(#,##0.0\);_(* &quot;-&quot;??_);_(@_)"/>
    <numFmt numFmtId="178" formatCode="_(* #,##0.0_);_(* \(#,##0.0\);_(* &quot;-&quot;?_);_(@_)"/>
    <numFmt numFmtId="179" formatCode="[$-F800]dddd\,\ mmmm\ dd\,\ yyyy"/>
    <numFmt numFmtId="180" formatCode="_(* #,##0.0000_);_(* \(#,##0.0000\);_(* &quot;-&quot;??_);_(@_)"/>
    <numFmt numFmtId="181" formatCode="&quot;$&quot;#,##0.00"/>
  </numFmts>
  <fonts count="87">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b/>
      <sz val="12"/>
      <name val="Arial"/>
      <family val="2"/>
    </font>
    <font>
      <sz val="10"/>
      <color theme="0"/>
      <name val="Arial"/>
      <family val="2"/>
    </font>
    <font>
      <sz val="9"/>
      <color indexed="81"/>
      <name val="Tahoma"/>
      <family val="2"/>
    </font>
    <font>
      <sz val="10"/>
      <color indexed="9"/>
      <name val="Arial"/>
      <family val="2"/>
    </font>
    <font>
      <sz val="10"/>
      <color indexed="10"/>
      <name val="Arial"/>
      <family val="2"/>
    </font>
    <font>
      <sz val="10"/>
      <color rgb="FFFF0000"/>
      <name val="Arial"/>
      <family val="2"/>
    </font>
    <font>
      <b/>
      <sz val="11"/>
      <color theme="1"/>
      <name val="Calibri"/>
      <family val="2"/>
      <scheme val="minor"/>
    </font>
    <font>
      <b/>
      <sz val="10"/>
      <color theme="1"/>
      <name val="Arial"/>
      <family val="2"/>
    </font>
    <font>
      <b/>
      <sz val="9"/>
      <color indexed="81"/>
      <name val="Tahoma"/>
      <family val="2"/>
    </font>
    <font>
      <sz val="10"/>
      <color rgb="FF000000"/>
      <name val="Arial"/>
      <family val="2"/>
    </font>
    <font>
      <sz val="10"/>
      <color indexed="14"/>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2"/>
      <name val="Times New Roman"/>
      <family val="1"/>
    </font>
    <font>
      <i/>
      <sz val="11"/>
      <color indexed="23"/>
      <name val="Calibri"/>
      <family val="2"/>
    </font>
    <font>
      <sz val="11"/>
      <color indexed="17"/>
      <name val="Calibri"/>
      <family val="2"/>
    </font>
    <font>
      <b/>
      <sz val="12"/>
      <name val="Times New Roman"/>
      <family val="1"/>
    </font>
    <font>
      <b/>
      <sz val="15"/>
      <color indexed="56"/>
      <name val="Calibri"/>
      <family val="2"/>
    </font>
    <font>
      <b/>
      <sz val="11"/>
      <color indexed="56"/>
      <name val="Calibri"/>
      <family val="2"/>
    </font>
    <font>
      <u/>
      <sz val="10"/>
      <color indexed="12"/>
      <name val="Arial"/>
      <family val="2"/>
    </font>
    <font>
      <u/>
      <sz val="10"/>
      <color theme="10"/>
      <name val="Arial"/>
      <family val="2"/>
    </font>
    <font>
      <sz val="11"/>
      <color indexed="62"/>
      <name val="Calibri"/>
      <family val="2"/>
    </font>
    <font>
      <sz val="11"/>
      <color indexed="52"/>
      <name val="Calibri"/>
      <family val="2"/>
    </font>
    <font>
      <sz val="11"/>
      <color indexed="60"/>
      <name val="Calibri"/>
      <family val="2"/>
    </font>
    <font>
      <sz val="10"/>
      <name val="MS Sans Serif"/>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Calibri"/>
      <family val="2"/>
      <scheme val="minor"/>
    </font>
    <font>
      <b/>
      <sz val="10"/>
      <name val="Calibri"/>
      <family val="2"/>
      <scheme val="minor"/>
    </font>
    <font>
      <b/>
      <sz val="10"/>
      <color rgb="FF000000"/>
      <name val="Arial"/>
      <family val="2"/>
    </font>
    <font>
      <sz val="11"/>
      <color rgb="FF000000"/>
      <name val="Calibri"/>
      <family val="2"/>
    </font>
    <font>
      <sz val="11"/>
      <name val="Calibri"/>
      <family val="2"/>
    </font>
    <font>
      <b/>
      <sz val="11"/>
      <color rgb="FF000000"/>
      <name val="Calibri"/>
      <family val="2"/>
    </font>
    <font>
      <vertAlign val="superscript"/>
      <sz val="10"/>
      <name val="Arial"/>
      <family val="2"/>
    </font>
    <font>
      <b/>
      <sz val="10"/>
      <color rgb="FF3C4349"/>
      <name val="Arial"/>
      <family val="2"/>
    </font>
    <font>
      <sz val="10"/>
      <color rgb="FF3C4349"/>
      <name val="Arial"/>
      <family val="2"/>
    </font>
    <font>
      <u/>
      <sz val="10"/>
      <name val="Arial"/>
      <family val="2"/>
    </font>
    <font>
      <i/>
      <sz val="10"/>
      <name val="Arial"/>
      <family val="2"/>
    </font>
    <font>
      <b/>
      <sz val="11"/>
      <name val="Arial"/>
      <family val="2"/>
    </font>
    <font>
      <sz val="11"/>
      <color rgb="FF000000"/>
      <name val="Calibri"/>
      <family val="2"/>
      <scheme val="minor"/>
    </font>
    <font>
      <b/>
      <i/>
      <sz val="12"/>
      <color theme="1"/>
      <name val="Arial"/>
      <family val="2"/>
    </font>
    <font>
      <sz val="11"/>
      <color theme="1"/>
      <name val="Times New Roman"/>
      <family val="1"/>
    </font>
    <font>
      <i/>
      <sz val="11"/>
      <color theme="1"/>
      <name val="Arial"/>
      <family val="2"/>
    </font>
    <font>
      <b/>
      <sz val="11"/>
      <color theme="1"/>
      <name val="Arial"/>
      <family val="2"/>
    </font>
    <font>
      <b/>
      <sz val="12"/>
      <color theme="1"/>
      <name val="Arial"/>
      <family val="2"/>
    </font>
    <font>
      <vertAlign val="superscript"/>
      <sz val="10"/>
      <color theme="1"/>
      <name val="Arial"/>
      <family val="2"/>
    </font>
    <font>
      <vertAlign val="superscript"/>
      <sz val="9"/>
      <color theme="1"/>
      <name val="Times New Roman"/>
      <family val="1"/>
    </font>
    <font>
      <sz val="9"/>
      <color theme="1"/>
      <name val="Times New Roman"/>
      <family val="1"/>
    </font>
    <font>
      <b/>
      <sz val="10"/>
      <color theme="1"/>
      <name val="Times New Roman"/>
      <family val="1"/>
    </font>
    <font>
      <b/>
      <sz val="10"/>
      <color theme="0"/>
      <name val="Arial"/>
      <family val="2"/>
    </font>
    <font>
      <sz val="11"/>
      <color indexed="14"/>
      <name val="Calibri"/>
      <family val="2"/>
    </font>
    <font>
      <sz val="10"/>
      <name val="Times New Roman"/>
      <family val="1"/>
    </font>
    <font>
      <b/>
      <sz val="10"/>
      <color indexed="8"/>
      <name val="Arial"/>
      <family val="2"/>
    </font>
    <font>
      <b/>
      <sz val="15"/>
      <color indexed="62"/>
      <name val="Calibri"/>
      <family val="2"/>
    </font>
    <font>
      <b/>
      <sz val="13"/>
      <color indexed="56"/>
      <name val="Calibri"/>
      <family val="2"/>
    </font>
    <font>
      <b/>
      <sz val="13"/>
      <color indexed="62"/>
      <name val="Calibri"/>
      <family val="2"/>
    </font>
    <font>
      <b/>
      <sz val="11"/>
      <color indexed="62"/>
      <name val="Calibri"/>
      <family val="2"/>
    </font>
    <font>
      <u/>
      <sz val="10"/>
      <color indexed="12"/>
      <name val="Times New Roman"/>
      <family val="1"/>
    </font>
    <font>
      <u/>
      <sz val="7"/>
      <color indexed="12"/>
      <name val="Arial"/>
      <family val="2"/>
    </font>
    <font>
      <u/>
      <sz val="11"/>
      <color theme="10"/>
      <name val="Calibri"/>
      <family val="2"/>
    </font>
    <font>
      <u/>
      <sz val="11"/>
      <color theme="10"/>
      <name val="Calibri"/>
      <family val="2"/>
      <scheme val="minor"/>
    </font>
    <font>
      <sz val="10"/>
      <name val="Verdana"/>
      <family val="2"/>
    </font>
    <font>
      <sz val="10"/>
      <name val="Helv"/>
      <charset val="204"/>
    </font>
    <font>
      <b/>
      <sz val="18"/>
      <color indexed="62"/>
      <name val="Cambria"/>
      <family val="2"/>
    </font>
    <font>
      <u/>
      <sz val="10"/>
      <color rgb="FFFF0000"/>
      <name val="Arial"/>
      <family val="2"/>
    </font>
  </fonts>
  <fills count="80">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4"/>
        <bgColor indexed="64"/>
      </patternFill>
    </fill>
    <fill>
      <patternFill patternType="solid">
        <fgColor theme="2" tint="-0.249977111117893"/>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3" tint="-0.249977111117893"/>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indexed="43"/>
        <bgColor indexed="64"/>
      </patternFill>
    </fill>
    <fill>
      <patternFill patternType="solid">
        <fgColor indexed="45"/>
        <bgColor indexed="64"/>
      </patternFill>
    </fill>
    <fill>
      <patternFill patternType="solid">
        <fgColor indexed="51"/>
        <bgColor indexed="64"/>
      </patternFill>
    </fill>
    <fill>
      <patternFill patternType="solid">
        <fgColor indexed="40"/>
        <bgColor indexed="64"/>
      </patternFill>
    </fill>
    <fill>
      <patternFill patternType="solid">
        <fgColor indexed="9"/>
        <bgColor indexed="64"/>
      </patternFill>
    </fill>
    <fill>
      <patternFill patternType="solid">
        <fgColor theme="9"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92D050"/>
        <bgColor indexed="64"/>
      </patternFill>
    </fill>
    <fill>
      <patternFill patternType="solid">
        <fgColor rgb="FFC0C0C0"/>
        <bgColor indexed="64"/>
      </patternFill>
    </fill>
    <fill>
      <patternFill patternType="solid">
        <fgColor rgb="FFFFFF00"/>
        <bgColor indexed="64"/>
      </patternFill>
    </fill>
    <fill>
      <patternFill patternType="solid">
        <fgColor theme="8" tint="0.79998168889431442"/>
        <bgColor indexed="64"/>
      </patternFill>
    </fill>
    <fill>
      <patternFill patternType="solid">
        <fgColor rgb="FFFFFFFF"/>
        <bgColor indexed="64"/>
      </patternFill>
    </fill>
    <fill>
      <patternFill patternType="solid">
        <fgColor rgb="FFFFC000"/>
        <bgColor indexed="64"/>
      </patternFill>
    </fill>
    <fill>
      <patternFill patternType="solid">
        <fgColor indexed="9"/>
      </patternFill>
    </fill>
    <fill>
      <patternFill patternType="solid">
        <fgColor indexed="41"/>
      </patternFill>
    </fill>
    <fill>
      <patternFill patternType="solid">
        <fgColor indexed="31"/>
        <bgColor indexed="31"/>
      </patternFill>
    </fill>
    <fill>
      <patternFill patternType="solid">
        <fgColor indexed="44"/>
        <bgColor indexed="44"/>
      </patternFill>
    </fill>
    <fill>
      <patternFill patternType="solid">
        <fgColor indexed="30"/>
        <bgColor indexed="30"/>
      </patternFill>
    </fill>
    <fill>
      <patternFill patternType="solid">
        <fgColor indexed="45"/>
        <bgColor indexed="45"/>
      </patternFill>
    </fill>
    <fill>
      <patternFill patternType="solid">
        <fgColor indexed="29"/>
        <bgColor indexed="29"/>
      </patternFill>
    </fill>
    <fill>
      <patternFill patternType="solid">
        <fgColor indexed="19"/>
      </patternFill>
    </fill>
    <fill>
      <patternFill patternType="solid">
        <fgColor indexed="42"/>
        <bgColor indexed="42"/>
      </patternFill>
    </fill>
    <fill>
      <patternFill patternType="solid">
        <fgColor indexed="11"/>
        <bgColor indexed="11"/>
      </patternFill>
    </fill>
    <fill>
      <patternFill patternType="solid">
        <fgColor indexed="46"/>
        <bgColor indexed="46"/>
      </patternFill>
    </fill>
    <fill>
      <patternFill patternType="solid">
        <fgColor indexed="36"/>
        <bgColor indexed="36"/>
      </patternFill>
    </fill>
    <fill>
      <patternFill patternType="solid">
        <fgColor indexed="54"/>
      </patternFill>
    </fill>
    <fill>
      <patternFill patternType="solid">
        <fgColor indexed="27"/>
        <bgColor indexed="27"/>
      </patternFill>
    </fill>
    <fill>
      <patternFill patternType="solid">
        <fgColor indexed="49"/>
        <bgColor indexed="49"/>
      </patternFill>
    </fill>
    <fill>
      <patternFill patternType="solid">
        <fgColor indexed="47"/>
        <bgColor indexed="47"/>
      </patternFill>
    </fill>
    <fill>
      <patternFill patternType="solid">
        <fgColor indexed="51"/>
        <bgColor indexed="51"/>
      </patternFill>
    </fill>
    <fill>
      <patternFill patternType="solid">
        <fgColor indexed="52"/>
        <bgColor indexed="52"/>
      </patternFill>
    </fill>
    <fill>
      <patternFill patternType="lightUp">
        <fgColor indexed="9"/>
        <bgColor indexed="49"/>
      </patternFill>
    </fill>
    <fill>
      <patternFill patternType="lightUp">
        <fgColor indexed="9"/>
        <bgColor indexed="10"/>
      </patternFill>
    </fill>
    <fill>
      <patternFill patternType="lightUp">
        <fgColor indexed="9"/>
        <bgColor indexed="57"/>
      </patternFill>
    </fill>
    <fill>
      <patternFill patternType="solid">
        <fgColor indexed="8"/>
        <bgColor indexed="64"/>
      </patternFill>
    </fill>
    <fill>
      <patternFill patternType="solid">
        <fgColor theme="0"/>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style="thin">
        <color indexed="49"/>
      </top>
      <bottom style="double">
        <color indexed="49"/>
      </bottom>
      <diagonal/>
    </border>
  </borders>
  <cellStyleXfs count="2127">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alignment readingOrder="1"/>
    </xf>
    <xf numFmtId="43" fontId="2" fillId="0" borderId="0" applyFont="0" applyFill="0" applyBorder="0" applyAlignment="0" applyProtection="0"/>
    <xf numFmtId="0" fontId="28" fillId="29" borderId="0" applyNumberFormat="0" applyBorder="0" applyAlignment="0" applyProtection="0"/>
    <xf numFmtId="0" fontId="28" fillId="30" borderId="0" applyNumberFormat="0" applyBorder="0" applyAlignment="0" applyProtection="0"/>
    <xf numFmtId="0" fontId="28" fillId="31" borderId="0" applyNumberFormat="0" applyBorder="0" applyAlignment="0" applyProtection="0"/>
    <xf numFmtId="0" fontId="28" fillId="32" borderId="0" applyNumberFormat="0" applyBorder="0" applyAlignment="0" applyProtection="0"/>
    <xf numFmtId="0" fontId="28" fillId="33" borderId="0" applyNumberFormat="0" applyBorder="0" applyAlignment="0" applyProtection="0"/>
    <xf numFmtId="0" fontId="28" fillId="34" borderId="0" applyNumberFormat="0" applyBorder="0" applyAlignment="0" applyProtection="0"/>
    <xf numFmtId="0" fontId="28" fillId="35" borderId="0" applyNumberFormat="0" applyBorder="0" applyAlignment="0" applyProtection="0"/>
    <xf numFmtId="0" fontId="28" fillId="36" borderId="0" applyNumberFormat="0" applyBorder="0" applyAlignment="0" applyProtection="0"/>
    <xf numFmtId="0" fontId="28" fillId="37" borderId="0" applyNumberFormat="0" applyBorder="0" applyAlignment="0" applyProtection="0"/>
    <xf numFmtId="0" fontId="28" fillId="32" borderId="0" applyNumberFormat="0" applyBorder="0" applyAlignment="0" applyProtection="0"/>
    <xf numFmtId="0" fontId="28" fillId="35" borderId="0" applyNumberFormat="0" applyBorder="0" applyAlignment="0" applyProtection="0"/>
    <xf numFmtId="0" fontId="28" fillId="38" borderId="0" applyNumberFormat="0" applyBorder="0" applyAlignment="0" applyProtection="0"/>
    <xf numFmtId="0" fontId="29" fillId="39" borderId="0" applyNumberFormat="0" applyBorder="0" applyAlignment="0" applyProtection="0"/>
    <xf numFmtId="0" fontId="29" fillId="36" borderId="0" applyNumberFormat="0" applyBorder="0" applyAlignment="0" applyProtection="0"/>
    <xf numFmtId="0" fontId="29" fillId="37" borderId="0" applyNumberFormat="0" applyBorder="0" applyAlignment="0" applyProtection="0"/>
    <xf numFmtId="0" fontId="29" fillId="40" borderId="0" applyNumberFormat="0" applyBorder="0" applyAlignment="0" applyProtection="0"/>
    <xf numFmtId="0" fontId="29" fillId="41" borderId="0" applyNumberFormat="0" applyBorder="0" applyAlignment="0" applyProtection="0"/>
    <xf numFmtId="0" fontId="29" fillId="42"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5" borderId="0" applyNumberFormat="0" applyBorder="0" applyAlignment="0" applyProtection="0"/>
    <xf numFmtId="0" fontId="29" fillId="40" borderId="0" applyNumberFormat="0" applyBorder="0" applyAlignment="0" applyProtection="0"/>
    <xf numFmtId="0" fontId="29" fillId="41" borderId="0" applyNumberFormat="0" applyBorder="0" applyAlignment="0" applyProtection="0"/>
    <xf numFmtId="0" fontId="29" fillId="46" borderId="0" applyNumberFormat="0" applyBorder="0" applyAlignment="0" applyProtection="0"/>
    <xf numFmtId="0" fontId="30" fillId="30" borderId="0" applyNumberFormat="0" applyBorder="0" applyAlignment="0" applyProtection="0"/>
    <xf numFmtId="0" fontId="31" fillId="47" borderId="29" applyNumberFormat="0" applyAlignment="0" applyProtection="0"/>
    <xf numFmtId="0" fontId="32" fillId="48" borderId="30"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5" fillId="0" borderId="0" applyFont="0" applyFill="0" applyBorder="0" applyAlignment="0" applyProtection="0"/>
    <xf numFmtId="0" fontId="2" fillId="15" borderId="0" applyNumberFormat="0" applyAlignment="0">
      <alignment horizontal="right"/>
    </xf>
    <xf numFmtId="0" fontId="2" fillId="15" borderId="0" applyNumberFormat="0" applyAlignment="0">
      <alignment horizontal="right"/>
    </xf>
    <xf numFmtId="0" fontId="2" fillId="15" borderId="0" applyNumberFormat="0" applyAlignment="0">
      <alignment horizontal="right"/>
    </xf>
    <xf numFmtId="0" fontId="2" fillId="15" borderId="0" applyNumberFormat="0" applyAlignment="0">
      <alignment horizontal="right"/>
    </xf>
    <xf numFmtId="0" fontId="2" fillId="11" borderId="0" applyNumberFormat="0" applyAlignment="0"/>
    <xf numFmtId="173" fontId="33" fillId="0" borderId="0"/>
    <xf numFmtId="0" fontId="34" fillId="0" borderId="0" applyNumberFormat="0" applyFill="0" applyBorder="0" applyAlignment="0" applyProtection="0"/>
    <xf numFmtId="0" fontId="35" fillId="31" borderId="0" applyNumberFormat="0" applyBorder="0" applyAlignment="0" applyProtection="0"/>
    <xf numFmtId="0" fontId="36" fillId="0" borderId="0">
      <alignment horizontal="center" wrapText="1"/>
    </xf>
    <xf numFmtId="0" fontId="37" fillId="0" borderId="31" applyNumberFormat="0" applyFill="0" applyAlignment="0" applyProtection="0"/>
    <xf numFmtId="0" fontId="38" fillId="0" borderId="32" applyNumberFormat="0" applyFill="0" applyAlignment="0" applyProtection="0"/>
    <xf numFmtId="0" fontId="38" fillId="0" borderId="0" applyNumberFormat="0" applyFill="0" applyBorder="0" applyAlignment="0" applyProtection="0"/>
    <xf numFmtId="0" fontId="39"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1" fillId="34" borderId="29" applyNumberFormat="0" applyAlignment="0" applyProtection="0"/>
    <xf numFmtId="0" fontId="42" fillId="0" borderId="33" applyNumberFormat="0" applyFill="0" applyAlignment="0" applyProtection="0"/>
    <xf numFmtId="0" fontId="43" fillId="49" borderId="0" applyNumberFormat="0" applyBorder="0" applyAlignment="0" applyProtection="0"/>
    <xf numFmtId="0" fontId="28" fillId="0" borderId="0"/>
    <xf numFmtId="0" fontId="28" fillId="0" borderId="0"/>
    <xf numFmtId="0" fontId="28" fillId="0" borderId="0"/>
    <xf numFmtId="0" fontId="5" fillId="0" borderId="0"/>
    <xf numFmtId="0" fontId="5" fillId="0" borderId="0"/>
    <xf numFmtId="0" fontId="2" fillId="0" borderId="0">
      <alignment readingOrder="1"/>
    </xf>
    <xf numFmtId="0" fontId="2" fillId="0" borderId="0"/>
    <xf numFmtId="0" fontId="2" fillId="0" borderId="0"/>
    <xf numFmtId="0" fontId="2" fillId="0" borderId="0"/>
    <xf numFmtId="0" fontId="2" fillId="0" borderId="0"/>
    <xf numFmtId="0" fontId="28" fillId="0" borderId="0"/>
    <xf numFmtId="0" fontId="28" fillId="0" borderId="0"/>
    <xf numFmtId="0" fontId="2" fillId="0" borderId="0">
      <alignment readingOrder="1"/>
    </xf>
    <xf numFmtId="0" fontId="2" fillId="0" borderId="0">
      <alignment readingOrder="1"/>
    </xf>
    <xf numFmtId="0" fontId="28" fillId="0" borderId="0"/>
    <xf numFmtId="0" fontId="2" fillId="0" borderId="0">
      <alignment readingOrder="1"/>
    </xf>
    <xf numFmtId="0" fontId="2" fillId="0" borderId="0"/>
    <xf numFmtId="0" fontId="2" fillId="0" borderId="0"/>
    <xf numFmtId="0" fontId="2" fillId="0" borderId="0"/>
    <xf numFmtId="0" fontId="2" fillId="0" borderId="0">
      <alignment readingOrder="1"/>
    </xf>
    <xf numFmtId="0" fontId="5" fillId="0" borderId="0"/>
    <xf numFmtId="0" fontId="28" fillId="0" borderId="0"/>
    <xf numFmtId="0" fontId="2" fillId="0" borderId="0"/>
    <xf numFmtId="0" fontId="5" fillId="0" borderId="0"/>
    <xf numFmtId="0" fontId="5" fillId="0" borderId="0"/>
    <xf numFmtId="0" fontId="28" fillId="0" borderId="0"/>
    <xf numFmtId="0" fontId="28" fillId="0" borderId="0"/>
    <xf numFmtId="0" fontId="2" fillId="0" borderId="0" applyNumberFormat="0" applyFill="0" applyBorder="0" applyAlignment="0" applyProtection="0"/>
    <xf numFmtId="0" fontId="44" fillId="0" borderId="0"/>
    <xf numFmtId="0" fontId="28" fillId="0" borderId="0"/>
    <xf numFmtId="0" fontId="28" fillId="0" borderId="0"/>
    <xf numFmtId="0" fontId="28" fillId="0" borderId="0"/>
    <xf numFmtId="0" fontId="28" fillId="0" borderId="0"/>
    <xf numFmtId="0" fontId="2" fillId="0" borderId="0">
      <alignment readingOrder="1"/>
    </xf>
    <xf numFmtId="0" fontId="2" fillId="0" borderId="0">
      <alignment readingOrder="1"/>
    </xf>
    <xf numFmtId="0" fontId="28" fillId="50" borderId="34" applyNumberFormat="0" applyFont="0" applyAlignment="0" applyProtection="0"/>
    <xf numFmtId="0" fontId="45" fillId="47" borderId="35"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0" fontId="46" fillId="0" borderId="0" applyNumberFormat="0" applyFill="0" applyBorder="0" applyAlignment="0" applyProtection="0"/>
    <xf numFmtId="0" fontId="47" fillId="0" borderId="36" applyNumberFormat="0" applyFill="0" applyAlignment="0" applyProtection="0"/>
    <xf numFmtId="0" fontId="48" fillId="0" borderId="0" applyNumberFormat="0" applyFill="0" applyBorder="0" applyAlignment="0" applyProtection="0"/>
    <xf numFmtId="0" fontId="2" fillId="0" borderId="0"/>
    <xf numFmtId="0" fontId="2" fillId="0" borderId="0"/>
    <xf numFmtId="0" fontId="5" fillId="0" borderId="0"/>
    <xf numFmtId="0" fontId="5" fillId="0" borderId="0"/>
    <xf numFmtId="44" fontId="1" fillId="0" borderId="0" applyFont="0" applyFill="0" applyBorder="0" applyAlignment="0" applyProtection="0"/>
    <xf numFmtId="0" fontId="1" fillId="0" borderId="0"/>
    <xf numFmtId="0" fontId="2" fillId="0" borderId="0"/>
    <xf numFmtId="0" fontId="28" fillId="57" borderId="0" applyNumberFormat="0" applyBorder="0" applyAlignment="0" applyProtection="0"/>
    <xf numFmtId="0" fontId="28" fillId="34" borderId="0" applyNumberFormat="0" applyBorder="0" applyAlignment="0" applyProtection="0"/>
    <xf numFmtId="0" fontId="28" fillId="29" borderId="0" applyNumberFormat="0" applyBorder="0" applyAlignment="0" applyProtection="0"/>
    <xf numFmtId="0" fontId="28" fillId="57" borderId="0" applyNumberFormat="0" applyBorder="0" applyAlignment="0" applyProtection="0"/>
    <xf numFmtId="0" fontId="28" fillId="58" borderId="0" applyNumberFormat="0" applyBorder="0" applyAlignment="0" applyProtection="0"/>
    <xf numFmtId="0" fontId="28" fillId="47" borderId="0" applyNumberFormat="0" applyBorder="0" applyAlignment="0" applyProtection="0"/>
    <xf numFmtId="0" fontId="28" fillId="34" borderId="0" applyNumberFormat="0" applyBorder="0" applyAlignment="0" applyProtection="0"/>
    <xf numFmtId="0" fontId="28" fillId="29" borderId="0" applyNumberFormat="0" applyBorder="0" applyAlignment="0" applyProtection="0"/>
    <xf numFmtId="0" fontId="28" fillId="47" borderId="0" applyNumberFormat="0" applyBorder="0" applyAlignment="0" applyProtection="0"/>
    <xf numFmtId="0" fontId="28" fillId="34" borderId="0" applyNumberFormat="0" applyBorder="0" applyAlignment="0" applyProtection="0"/>
    <xf numFmtId="0" fontId="29" fillId="41" borderId="0" applyNumberFormat="0" applyBorder="0" applyAlignment="0" applyProtection="0"/>
    <xf numFmtId="0" fontId="29" fillId="29" borderId="0" applyNumberFormat="0" applyBorder="0" applyAlignment="0" applyProtection="0"/>
    <xf numFmtId="0" fontId="29" fillId="47" borderId="0" applyNumberFormat="0" applyBorder="0" applyAlignment="0" applyProtection="0"/>
    <xf numFmtId="0" fontId="29" fillId="34" borderId="0" applyNumberFormat="0" applyBorder="0" applyAlignment="0" applyProtection="0"/>
    <xf numFmtId="0" fontId="14" fillId="59" borderId="0" applyNumberFormat="0" applyBorder="0" applyAlignment="0" applyProtection="0"/>
    <xf numFmtId="0" fontId="14" fillId="60" borderId="0" applyNumberFormat="0" applyBorder="0" applyAlignment="0" applyProtection="0"/>
    <xf numFmtId="0" fontId="20" fillId="61" borderId="0" applyNumberFormat="0" applyBorder="0" applyAlignment="0" applyProtection="0"/>
    <xf numFmtId="0" fontId="29" fillId="41" borderId="0" applyNumberFormat="0" applyBorder="0" applyAlignment="0" applyProtection="0"/>
    <xf numFmtId="0" fontId="14" fillId="62" borderId="0" applyNumberFormat="0" applyBorder="0" applyAlignment="0" applyProtection="0"/>
    <xf numFmtId="0" fontId="14" fillId="63" borderId="0" applyNumberFormat="0" applyBorder="0" applyAlignment="0" applyProtection="0"/>
    <xf numFmtId="0" fontId="20" fillId="63" borderId="0" applyNumberFormat="0" applyBorder="0" applyAlignment="0" applyProtection="0"/>
    <xf numFmtId="0" fontId="29" fillId="64" borderId="0" applyNumberFormat="0" applyBorder="0" applyAlignment="0" applyProtection="0"/>
    <xf numFmtId="0" fontId="14" fillId="65" borderId="0" applyNumberFormat="0" applyBorder="0" applyAlignment="0" applyProtection="0"/>
    <xf numFmtId="0" fontId="14" fillId="66" borderId="0" applyNumberFormat="0" applyBorder="0" applyAlignment="0" applyProtection="0"/>
    <xf numFmtId="0" fontId="20" fillId="66" borderId="0" applyNumberFormat="0" applyBorder="0" applyAlignment="0" applyProtection="0"/>
    <xf numFmtId="0" fontId="29" fillId="29" borderId="0" applyNumberFormat="0" applyBorder="0" applyAlignment="0" applyProtection="0"/>
    <xf numFmtId="0" fontId="14" fillId="67" borderId="0" applyNumberFormat="0" applyBorder="0" applyAlignment="0" applyProtection="0"/>
    <xf numFmtId="0" fontId="14" fillId="67" borderId="0" applyNumberFormat="0" applyBorder="0" applyAlignment="0" applyProtection="0"/>
    <xf numFmtId="0" fontId="20" fillId="68" borderId="0" applyNumberFormat="0" applyBorder="0" applyAlignment="0" applyProtection="0"/>
    <xf numFmtId="0" fontId="29" fillId="69" borderId="0" applyNumberFormat="0" applyBorder="0" applyAlignment="0" applyProtection="0"/>
    <xf numFmtId="0" fontId="14" fillId="70" borderId="0" applyNumberFormat="0" applyBorder="0" applyAlignment="0" applyProtection="0"/>
    <xf numFmtId="0" fontId="14" fillId="60" borderId="0" applyNumberFormat="0" applyBorder="0" applyAlignment="0" applyProtection="0"/>
    <xf numFmtId="0" fontId="20" fillId="71" borderId="0" applyNumberFormat="0" applyBorder="0" applyAlignment="0" applyProtection="0"/>
    <xf numFmtId="0" fontId="14" fillId="72" borderId="0" applyNumberFormat="0" applyBorder="0" applyAlignment="0" applyProtection="0"/>
    <xf numFmtId="0" fontId="14" fillId="73" borderId="0" applyNumberFormat="0" applyBorder="0" applyAlignment="0" applyProtection="0"/>
    <xf numFmtId="0" fontId="20" fillId="74" borderId="0" applyNumberFormat="0" applyBorder="0" applyAlignment="0" applyProtection="0"/>
    <xf numFmtId="0" fontId="29" fillId="36" borderId="0" applyNumberFormat="0" applyBorder="0" applyAlignment="0" applyProtection="0"/>
    <xf numFmtId="0" fontId="72" fillId="30" borderId="0" applyNumberFormat="0" applyBorder="0" applyAlignment="0" applyProtection="0"/>
    <xf numFmtId="0" fontId="31" fillId="57" borderId="29" applyNumberFormat="0" applyAlignment="0" applyProtection="0"/>
    <xf numFmtId="41" fontId="73"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4" fontId="2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5" fillId="0" borderId="0" applyFont="0" applyFill="0" applyBorder="0" applyAlignment="0" applyProtection="0"/>
    <xf numFmtId="0" fontId="2" fillId="11" borderId="0" applyNumberFormat="0" applyAlignment="0"/>
    <xf numFmtId="0" fontId="74" fillId="75" borderId="0" applyNumberFormat="0" applyBorder="0" applyAlignment="0" applyProtection="0"/>
    <xf numFmtId="0" fontId="74" fillId="76" borderId="0" applyNumberFormat="0" applyBorder="0" applyAlignment="0" applyProtection="0"/>
    <xf numFmtId="0" fontId="74" fillId="77" borderId="0" applyNumberFormat="0" applyBorder="0" applyAlignment="0" applyProtection="0"/>
    <xf numFmtId="0" fontId="75" fillId="0" borderId="53" applyNumberFormat="0" applyFill="0" applyAlignment="0" applyProtection="0"/>
    <xf numFmtId="0" fontId="76" fillId="0" borderId="54" applyNumberFormat="0" applyFill="0" applyAlignment="0" applyProtection="0"/>
    <xf numFmtId="0" fontId="11" fillId="78" borderId="10">
      <alignment horizontal="left"/>
    </xf>
    <xf numFmtId="0" fontId="77" fillId="0" borderId="54" applyNumberFormat="0" applyFill="0" applyAlignment="0" applyProtection="0"/>
    <xf numFmtId="0" fontId="78" fillId="0" borderId="55" applyNumberFormat="0" applyFill="0" applyAlignment="0" applyProtection="0"/>
    <xf numFmtId="0" fontId="78" fillId="0" borderId="0" applyNumberFormat="0" applyFill="0" applyBorder="0" applyAlignment="0" applyProtection="0"/>
    <xf numFmtId="0" fontId="39" fillId="0" borderId="0" applyNumberFormat="0" applyFill="0" applyBorder="0" applyAlignment="0" applyProtection="0">
      <alignment vertical="top"/>
      <protection locked="0"/>
    </xf>
    <xf numFmtId="0" fontId="79" fillId="0" borderId="0" applyNumberFormat="0" applyFill="0" applyBorder="0" applyAlignment="0" applyProtection="0">
      <alignment vertical="top"/>
      <protection locked="0"/>
    </xf>
    <xf numFmtId="0" fontId="8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81" fillId="0" borderId="0" applyNumberFormat="0" applyFill="0" applyBorder="0" applyAlignment="0" applyProtection="0">
      <alignment vertical="top"/>
      <protection locked="0"/>
    </xf>
    <xf numFmtId="0" fontId="82" fillId="0" borderId="0" applyNumberFormat="0" applyFill="0" applyBorder="0" applyAlignment="0" applyProtection="0"/>
    <xf numFmtId="0" fontId="81" fillId="0" borderId="0" applyNumberFormat="0" applyFill="0" applyBorder="0" applyAlignment="0" applyProtection="0">
      <alignment vertical="top"/>
      <protection locked="0"/>
    </xf>
    <xf numFmtId="0" fontId="82" fillId="0" borderId="0" applyNumberFormat="0" applyFill="0" applyBorder="0" applyAlignment="0" applyProtection="0"/>
    <xf numFmtId="0" fontId="43" fillId="50" borderId="0" applyNumberFormat="0" applyBorder="0" applyAlignment="0" applyProtection="0"/>
    <xf numFmtId="0" fontId="2" fillId="0" borderId="0">
      <alignment readingOrder="1"/>
    </xf>
    <xf numFmtId="0" fontId="1"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readingOrder="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5" fillId="0" borderId="0"/>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readingOrder="1"/>
    </xf>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alignment readingOrder="1"/>
    </xf>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readingOrder="1"/>
    </xf>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readingOrder="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3"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4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8" fillId="0" borderId="0"/>
    <xf numFmtId="0" fontId="44" fillId="0" borderId="0"/>
    <xf numFmtId="0" fontId="83" fillId="49" borderId="34" applyNumberFormat="0" applyFont="0" applyAlignment="0" applyProtection="0"/>
    <xf numFmtId="0" fontId="28" fillId="50" borderId="34" applyNumberFormat="0" applyFont="0" applyAlignment="0" applyProtection="0"/>
    <xf numFmtId="0" fontId="45" fillId="57" borderId="35" applyNumberFormat="0" applyAlignment="0" applyProtection="0"/>
    <xf numFmtId="9" fontId="5" fillId="0" borderId="0" applyFont="0" applyFill="0" applyBorder="0" applyAlignment="0" applyProtection="0"/>
    <xf numFmtId="9" fontId="2"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6" fillId="0" borderId="0" applyNumberFormat="0" applyFill="0" applyBorder="0" applyAlignment="0" applyProtection="0"/>
    <xf numFmtId="0" fontId="84" fillId="0" borderId="0"/>
    <xf numFmtId="0" fontId="85" fillId="0" borderId="0" applyNumberFormat="0" applyFill="0" applyBorder="0" applyAlignment="0" applyProtection="0"/>
    <xf numFmtId="0" fontId="47" fillId="0" borderId="56" applyNumberFormat="0" applyFill="0" applyAlignment="0" applyProtection="0"/>
  </cellStyleXfs>
  <cellXfs count="618">
    <xf numFmtId="0" fontId="0" fillId="0" borderId="0" xfId="0"/>
    <xf numFmtId="0" fontId="0" fillId="0" borderId="0" xfId="0" applyFont="1"/>
    <xf numFmtId="0" fontId="4" fillId="2" borderId="1" xfId="2" applyFont="1" applyFill="1" applyBorder="1" applyAlignment="1">
      <alignment horizontal="left" vertical="center" wrapText="1"/>
    </xf>
    <xf numFmtId="0" fontId="5" fillId="0" borderId="0" xfId="0" applyFont="1"/>
    <xf numFmtId="0" fontId="6" fillId="0" borderId="1" xfId="2" applyNumberFormat="1" applyFont="1" applyFill="1" applyBorder="1" applyAlignment="1">
      <alignment horizontal="left" vertical="center" wrapText="1"/>
    </xf>
    <xf numFmtId="0" fontId="6" fillId="0" borderId="1" xfId="2" applyFont="1" applyFill="1" applyBorder="1" applyAlignment="1">
      <alignment horizontal="left" vertical="center" wrapText="1"/>
    </xf>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NumberFormat="1" applyFont="1" applyBorder="1" applyAlignment="1">
      <alignment horizontal="left" vertical="center" wrapText="1" readingOrder="1"/>
    </xf>
    <xf numFmtId="0" fontId="6" fillId="0" borderId="1" xfId="2" applyFont="1" applyBorder="1" applyAlignment="1">
      <alignment vertical="center" wrapText="1" readingOrder="1"/>
    </xf>
    <xf numFmtId="0" fontId="6" fillId="0" borderId="1" xfId="2" applyFont="1" applyBorder="1" applyAlignment="1">
      <alignment wrapText="1" readingOrder="1"/>
    </xf>
    <xf numFmtId="0" fontId="6" fillId="0" borderId="1" xfId="2" applyNumberFormat="1" applyFont="1" applyBorder="1" applyAlignment="1">
      <alignment vertical="center"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2" fillId="0" borderId="0" xfId="7" applyFont="1"/>
    <xf numFmtId="0" fontId="2" fillId="2" borderId="1" xfId="7" applyFill="1" applyBorder="1"/>
    <xf numFmtId="0" fontId="2" fillId="2" borderId="1" xfId="7" applyFont="1" applyFill="1" applyBorder="1"/>
    <xf numFmtId="0" fontId="2" fillId="2" borderId="1" xfId="7" applyFont="1" applyFill="1" applyBorder="1" applyAlignment="1">
      <alignment wrapText="1"/>
    </xf>
    <xf numFmtId="0" fontId="14" fillId="2" borderId="1" xfId="7" applyFont="1" applyFill="1" applyBorder="1" applyAlignment="1">
      <alignment horizontal="center" wrapText="1"/>
    </xf>
    <xf numFmtId="0" fontId="17" fillId="4" borderId="0" xfId="7" applyFont="1" applyFill="1"/>
    <xf numFmtId="0" fontId="2" fillId="0" borderId="0" xfId="7" applyFill="1"/>
    <xf numFmtId="0" fontId="2" fillId="0" borderId="0" xfId="7" applyFont="1" applyFill="1"/>
    <xf numFmtId="0" fontId="2" fillId="0" borderId="0" xfId="7" applyFill="1" applyBorder="1"/>
    <xf numFmtId="0" fontId="0" fillId="0" borderId="0" xfId="0" applyFill="1" applyBorder="1" applyAlignment="1">
      <alignment horizontal="center"/>
    </xf>
    <xf numFmtId="0" fontId="2" fillId="0" borderId="0" xfId="7" applyFont="1" applyAlignment="1">
      <alignment wrapText="1"/>
    </xf>
    <xf numFmtId="0" fontId="3" fillId="2" borderId="0" xfId="7" applyFont="1" applyFill="1"/>
    <xf numFmtId="0" fontId="2" fillId="0" borderId="0" xfId="7" applyFont="1" applyAlignment="1">
      <alignment horizontal="center"/>
    </xf>
    <xf numFmtId="0" fontId="1" fillId="0" borderId="0" xfId="0" applyFont="1">
      <alignment readingOrder="1"/>
    </xf>
    <xf numFmtId="166" fontId="1" fillId="0" borderId="0" xfId="0" applyNumberFormat="1" applyFont="1" applyAlignment="1">
      <alignment horizontal="center" readingOrder="1"/>
    </xf>
    <xf numFmtId="167" fontId="1" fillId="0" borderId="0" xfId="0" applyNumberFormat="1" applyFont="1" applyAlignment="1">
      <alignment horizontal="center" readingOrder="1"/>
    </xf>
    <xf numFmtId="0" fontId="3" fillId="0" borderId="0" xfId="0" applyFont="1">
      <alignment readingOrder="1"/>
    </xf>
    <xf numFmtId="0" fontId="0" fillId="0" borderId="0" xfId="0" applyFill="1">
      <alignment readingOrder="1"/>
    </xf>
    <xf numFmtId="0" fontId="0" fillId="0" borderId="0" xfId="0" applyFill="1" applyAlignment="1">
      <alignment vertical="center" wrapText="1" readingOrder="1"/>
    </xf>
    <xf numFmtId="9" fontId="0" fillId="0" borderId="0" xfId="0" applyNumberFormat="1">
      <alignment readingOrder="1"/>
    </xf>
    <xf numFmtId="1" fontId="0" fillId="0" borderId="0" xfId="0" applyNumberFormat="1">
      <alignment readingOrder="1"/>
    </xf>
    <xf numFmtId="167" fontId="0" fillId="0" borderId="0" xfId="0" applyNumberFormat="1">
      <alignment readingOrder="1"/>
    </xf>
    <xf numFmtId="2" fontId="0" fillId="0" borderId="0" xfId="0" applyNumberFormat="1">
      <alignment readingOrder="1"/>
    </xf>
    <xf numFmtId="0" fontId="0" fillId="2" borderId="0" xfId="0" applyFill="1">
      <alignment readingOrder="1"/>
    </xf>
    <xf numFmtId="1" fontId="0" fillId="2" borderId="0" xfId="0" applyNumberFormat="1" applyFill="1">
      <alignment readingOrder="1"/>
    </xf>
    <xf numFmtId="9" fontId="2" fillId="2" borderId="0" xfId="8" applyFont="1" applyFill="1">
      <alignment readingOrder="1"/>
    </xf>
    <xf numFmtId="9" fontId="2" fillId="0" borderId="0" xfId="8" applyFont="1" applyFill="1" applyAlignment="1">
      <alignment horizontal="center" readingOrder="1"/>
    </xf>
    <xf numFmtId="9" fontId="2" fillId="0" borderId="0" xfId="8" applyNumberFormat="1" applyFont="1" applyFill="1" applyAlignment="1">
      <alignment horizontal="center" readingOrder="1"/>
    </xf>
    <xf numFmtId="0" fontId="20" fillId="12" borderId="9" xfId="0" applyFont="1" applyFill="1" applyBorder="1" applyAlignment="1">
      <alignment horizontal="left" wrapText="1" readingOrder="1"/>
    </xf>
    <xf numFmtId="0" fontId="20" fillId="12" borderId="8" xfId="0" applyFont="1" applyFill="1" applyBorder="1" applyAlignment="1">
      <alignment horizontal="center" wrapText="1" readingOrder="1"/>
    </xf>
    <xf numFmtId="0" fontId="20" fillId="13" borderId="9" xfId="0" applyFont="1" applyFill="1" applyBorder="1" applyAlignment="1">
      <alignment horizontal="left" readingOrder="1"/>
    </xf>
    <xf numFmtId="0" fontId="20" fillId="13" borderId="10" xfId="0" applyFont="1" applyFill="1" applyBorder="1" applyAlignment="1">
      <alignment horizontal="center" wrapText="1" readingOrder="1"/>
    </xf>
    <xf numFmtId="0" fontId="20" fillId="13" borderId="8" xfId="0" applyFont="1" applyFill="1" applyBorder="1" applyAlignment="1">
      <alignment horizontal="center" wrapText="1" readingOrder="1"/>
    </xf>
    <xf numFmtId="0" fontId="0" fillId="0" borderId="12" xfId="0" applyBorder="1">
      <alignment readingOrder="1"/>
    </xf>
    <xf numFmtId="0" fontId="0" fillId="0" borderId="13" xfId="0" applyBorder="1">
      <alignment readingOrder="1"/>
    </xf>
    <xf numFmtId="0" fontId="0" fillId="0" borderId="14" xfId="0" applyBorder="1">
      <alignment readingOrder="1"/>
    </xf>
    <xf numFmtId="0" fontId="0" fillId="0" borderId="15" xfId="0" applyBorder="1">
      <alignment readingOrder="1"/>
    </xf>
    <xf numFmtId="0" fontId="0" fillId="0" borderId="0" xfId="0" applyBorder="1">
      <alignment readingOrder="1"/>
    </xf>
    <xf numFmtId="0" fontId="0" fillId="0" borderId="16" xfId="0" applyBorder="1">
      <alignment readingOrder="1"/>
    </xf>
    <xf numFmtId="0" fontId="0" fillId="0" borderId="17" xfId="0" applyBorder="1">
      <alignment readingOrder="1"/>
    </xf>
    <xf numFmtId="0" fontId="0" fillId="0" borderId="18" xfId="0" applyBorder="1">
      <alignment readingOrder="1"/>
    </xf>
    <xf numFmtId="0" fontId="0" fillId="0" borderId="19" xfId="0" applyBorder="1">
      <alignment readingOrder="1"/>
    </xf>
    <xf numFmtId="0" fontId="14" fillId="14" borderId="3" xfId="0" applyFont="1" applyFill="1" applyBorder="1" applyAlignment="1">
      <alignment horizontal="centerContinuous" wrapText="1" readingOrder="1"/>
    </xf>
    <xf numFmtId="0" fontId="14" fillId="14" borderId="5" xfId="0" applyFont="1" applyFill="1" applyBorder="1" applyAlignment="1">
      <alignment horizontal="centerContinuous" wrapText="1" readingOrder="1"/>
    </xf>
    <xf numFmtId="164" fontId="14" fillId="14" borderId="3" xfId="0" applyNumberFormat="1" applyFont="1" applyFill="1" applyBorder="1" applyAlignment="1">
      <alignment horizontal="centerContinuous" wrapText="1" readingOrder="1"/>
    </xf>
    <xf numFmtId="164" fontId="14" fillId="14" borderId="4" xfId="0" applyNumberFormat="1" applyFont="1" applyFill="1" applyBorder="1" applyAlignment="1">
      <alignment horizontal="centerContinuous" wrapText="1" readingOrder="1"/>
    </xf>
    <xf numFmtId="164" fontId="14" fillId="14" borderId="5" xfId="0" applyNumberFormat="1" applyFont="1" applyFill="1" applyBorder="1" applyAlignment="1">
      <alignment horizontal="centerContinuous" wrapText="1" readingOrder="1"/>
    </xf>
    <xf numFmtId="164" fontId="14" fillId="14" borderId="10" xfId="0" applyNumberFormat="1" applyFont="1" applyFill="1" applyBorder="1" applyAlignment="1">
      <alignment horizontal="center" wrapText="1" readingOrder="1"/>
    </xf>
    <xf numFmtId="0" fontId="14" fillId="11" borderId="1" xfId="0" applyFont="1" applyFill="1" applyBorder="1" applyAlignment="1">
      <alignment horizontal="center" wrapText="1" readingOrder="1"/>
    </xf>
    <xf numFmtId="0" fontId="14" fillId="11" borderId="8" xfId="0" applyFont="1" applyFill="1" applyBorder="1" applyAlignment="1">
      <alignment horizontal="center" wrapText="1" readingOrder="1"/>
    </xf>
    <xf numFmtId="164" fontId="14" fillId="11" borderId="8" xfId="0" applyNumberFormat="1" applyFont="1" applyFill="1" applyBorder="1" applyAlignment="1">
      <alignment horizontal="center" wrapText="1" readingOrder="1"/>
    </xf>
    <xf numFmtId="169" fontId="14" fillId="11" borderId="8" xfId="0" applyNumberFormat="1" applyFont="1" applyFill="1" applyBorder="1" applyAlignment="1">
      <alignment horizontal="center" wrapText="1" readingOrder="1"/>
    </xf>
    <xf numFmtId="164" fontId="13" fillId="0" borderId="0" xfId="0" applyNumberFormat="1" applyFont="1">
      <alignment readingOrder="1"/>
    </xf>
    <xf numFmtId="0" fontId="14" fillId="15" borderId="3" xfId="0" applyFont="1" applyFill="1" applyBorder="1" applyAlignment="1">
      <alignment horizontal="centerContinuous" wrapText="1" readingOrder="1"/>
    </xf>
    <xf numFmtId="0" fontId="14" fillId="15" borderId="4" xfId="0" applyFont="1" applyFill="1" applyBorder="1" applyAlignment="1">
      <alignment horizontal="centerContinuous" wrapText="1" readingOrder="1"/>
    </xf>
    <xf numFmtId="164" fontId="14" fillId="15" borderId="4" xfId="0" applyNumberFormat="1" applyFont="1" applyFill="1" applyBorder="1" applyAlignment="1">
      <alignment horizontal="centerContinuous" wrapText="1" readingOrder="1"/>
    </xf>
    <xf numFmtId="164" fontId="14" fillId="15" borderId="5" xfId="0" applyNumberFormat="1" applyFont="1" applyFill="1" applyBorder="1" applyAlignment="1">
      <alignment horizontal="centerContinuous" wrapText="1" readingOrder="1"/>
    </xf>
    <xf numFmtId="164" fontId="14" fillId="15" borderId="10" xfId="0" applyNumberFormat="1" applyFont="1" applyFill="1" applyBorder="1" applyAlignment="1">
      <alignment horizontal="center" wrapText="1" readingOrder="1"/>
    </xf>
    <xf numFmtId="164" fontId="14" fillId="15" borderId="3" xfId="0" applyNumberFormat="1" applyFont="1" applyFill="1" applyBorder="1" applyAlignment="1">
      <alignment horizontal="centerContinuous" wrapText="1" readingOrder="1"/>
    </xf>
    <xf numFmtId="164" fontId="3" fillId="0" borderId="0" xfId="0" applyNumberFormat="1" applyFont="1">
      <alignment readingOrder="1"/>
    </xf>
    <xf numFmtId="170" fontId="3" fillId="0" borderId="0" xfId="0" applyNumberFormat="1" applyFont="1">
      <alignment readingOrder="1"/>
    </xf>
    <xf numFmtId="164" fontId="21" fillId="0" borderId="0" xfId="0" applyNumberFormat="1" applyFont="1">
      <alignment readingOrder="1"/>
    </xf>
    <xf numFmtId="170" fontId="0" fillId="0" borderId="0" xfId="0" applyNumberFormat="1">
      <alignment readingOrder="1"/>
    </xf>
    <xf numFmtId="170" fontId="21" fillId="0" borderId="0" xfId="0" applyNumberFormat="1" applyFont="1">
      <alignment readingOrder="1"/>
    </xf>
    <xf numFmtId="0" fontId="14" fillId="15" borderId="1" xfId="0" applyFont="1" applyFill="1" applyBorder="1" applyAlignment="1">
      <alignment horizontal="center" wrapText="1" readingOrder="1"/>
    </xf>
    <xf numFmtId="0" fontId="14" fillId="15" borderId="8" xfId="0" applyFont="1" applyFill="1" applyBorder="1" applyAlignment="1">
      <alignment horizontal="center" wrapText="1" readingOrder="1"/>
    </xf>
    <xf numFmtId="164" fontId="14" fillId="15" borderId="8" xfId="0" applyNumberFormat="1" applyFont="1" applyFill="1" applyBorder="1" applyAlignment="1">
      <alignment horizontal="center" wrapText="1" readingOrder="1"/>
    </xf>
    <xf numFmtId="164" fontId="14" fillId="15" borderId="20" xfId="0" applyNumberFormat="1" applyFont="1" applyFill="1" applyBorder="1" applyAlignment="1">
      <alignment horizontal="centerContinuous" wrapText="1" readingOrder="1"/>
    </xf>
    <xf numFmtId="164" fontId="14" fillId="15" borderId="21" xfId="0" applyNumberFormat="1" applyFont="1" applyFill="1" applyBorder="1" applyAlignment="1">
      <alignment horizontal="centerContinuous" wrapText="1" readingOrder="1"/>
    </xf>
    <xf numFmtId="2" fontId="0" fillId="0" borderId="0" xfId="0" applyNumberFormat="1"/>
    <xf numFmtId="0" fontId="5" fillId="0" borderId="0" xfId="0" applyFont="1" applyAlignment="1">
      <alignment wrapText="1"/>
    </xf>
    <xf numFmtId="167" fontId="0" fillId="0" borderId="0" xfId="0" applyNumberFormat="1" applyFill="1">
      <alignment readingOrder="1"/>
    </xf>
    <xf numFmtId="0" fontId="23" fillId="18" borderId="1" xfId="0" applyFont="1" applyFill="1" applyBorder="1"/>
    <xf numFmtId="0" fontId="23" fillId="2" borderId="1" xfId="0" applyFont="1" applyFill="1" applyBorder="1"/>
    <xf numFmtId="0" fontId="23" fillId="2" borderId="6" xfId="0" applyFont="1" applyFill="1" applyBorder="1"/>
    <xf numFmtId="0" fontId="23" fillId="2" borderId="11" xfId="0" applyFont="1" applyFill="1" applyBorder="1"/>
    <xf numFmtId="1" fontId="0" fillId="19" borderId="0" xfId="0" applyNumberFormat="1" applyFill="1" applyAlignment="1">
      <alignment horizontal="center" readingOrder="1"/>
    </xf>
    <xf numFmtId="164" fontId="0" fillId="16" borderId="0" xfId="0" applyNumberFormat="1" applyFill="1" applyAlignment="1">
      <alignment horizontal="center" readingOrder="1"/>
    </xf>
    <xf numFmtId="0" fontId="23" fillId="19" borderId="1" xfId="0" applyFont="1" applyFill="1" applyBorder="1"/>
    <xf numFmtId="0" fontId="22" fillId="0" borderId="0" xfId="0" applyFont="1">
      <alignment readingOrder="1"/>
    </xf>
    <xf numFmtId="0" fontId="10" fillId="0" borderId="0" xfId="0" applyFont="1">
      <alignment readingOrder="1"/>
    </xf>
    <xf numFmtId="0" fontId="23" fillId="4" borderId="1" xfId="0" applyFont="1" applyFill="1" applyBorder="1"/>
    <xf numFmtId="0" fontId="0" fillId="18" borderId="1" xfId="0" applyFill="1" applyBorder="1">
      <alignment readingOrder="1"/>
    </xf>
    <xf numFmtId="0" fontId="2" fillId="0" borderId="0" xfId="0" applyFont="1" applyAlignment="1">
      <alignment horizontal="right" readingOrder="1"/>
    </xf>
    <xf numFmtId="171" fontId="0" fillId="0" borderId="0" xfId="1" applyNumberFormat="1" applyFont="1" applyAlignment="1">
      <alignment readingOrder="1"/>
    </xf>
    <xf numFmtId="0" fontId="2" fillId="0" borderId="0" xfId="9" applyFont="1" applyBorder="1" applyAlignment="1">
      <alignment wrapText="1"/>
    </xf>
    <xf numFmtId="168" fontId="2" fillId="0" borderId="0" xfId="1" applyNumberFormat="1" applyFont="1" applyBorder="1" applyAlignment="1">
      <alignment wrapText="1"/>
    </xf>
    <xf numFmtId="172" fontId="0" fillId="0" borderId="0" xfId="0" applyNumberFormat="1">
      <alignment readingOrder="1"/>
    </xf>
    <xf numFmtId="0" fontId="2" fillId="0" borderId="0" xfId="0" applyFont="1" applyBorder="1">
      <alignment readingOrder="1"/>
    </xf>
    <xf numFmtId="0" fontId="2" fillId="0" borderId="0" xfId="0" applyFont="1" applyAlignment="1">
      <alignment horizontal="center" readingOrder="1"/>
    </xf>
    <xf numFmtId="0" fontId="2" fillId="0" borderId="0" xfId="0" applyFont="1">
      <alignment readingOrder="1"/>
    </xf>
    <xf numFmtId="168" fontId="0" fillId="0" borderId="0" xfId="0" applyNumberFormat="1">
      <alignment readingOrder="1"/>
    </xf>
    <xf numFmtId="3" fontId="0" fillId="0" borderId="0" xfId="0" applyNumberFormat="1">
      <alignment readingOrder="1"/>
    </xf>
    <xf numFmtId="0" fontId="2" fillId="0" borderId="0" xfId="0" applyFont="1" applyFill="1" applyBorder="1">
      <alignment readingOrder="1"/>
    </xf>
    <xf numFmtId="1" fontId="0" fillId="0" borderId="0" xfId="0" applyNumberFormat="1"/>
    <xf numFmtId="43" fontId="0" fillId="0" borderId="0" xfId="0" applyNumberFormat="1">
      <alignment readingOrder="1"/>
    </xf>
    <xf numFmtId="0" fontId="3" fillId="4" borderId="7" xfId="0" applyFont="1" applyFill="1" applyBorder="1">
      <alignment readingOrder="1"/>
    </xf>
    <xf numFmtId="0" fontId="0" fillId="4" borderId="26" xfId="0" applyFill="1" applyBorder="1">
      <alignment readingOrder="1"/>
    </xf>
    <xf numFmtId="0" fontId="3" fillId="4" borderId="26" xfId="0" applyFont="1" applyFill="1" applyBorder="1">
      <alignment readingOrder="1"/>
    </xf>
    <xf numFmtId="49" fontId="0" fillId="4" borderId="26" xfId="0" quotePrefix="1" applyNumberFormat="1" applyFill="1" applyBorder="1">
      <alignment readingOrder="1"/>
    </xf>
    <xf numFmtId="0" fontId="0" fillId="4" borderId="2" xfId="0" applyFill="1" applyBorder="1">
      <alignment readingOrder="1"/>
    </xf>
    <xf numFmtId="0" fontId="24" fillId="2" borderId="0" xfId="0" applyFont="1" applyFill="1" applyAlignment="1">
      <alignment horizontal="right" readingOrder="1"/>
    </xf>
    <xf numFmtId="0" fontId="0" fillId="2" borderId="24" xfId="0" applyFill="1" applyBorder="1">
      <alignment readingOrder="1"/>
    </xf>
    <xf numFmtId="0" fontId="0" fillId="2" borderId="0" xfId="0" applyFill="1" applyAlignment="1">
      <alignment horizontal="right" readingOrder="1"/>
    </xf>
    <xf numFmtId="1" fontId="0" fillId="0" borderId="0" xfId="0" applyNumberFormat="1" applyFill="1">
      <alignment readingOrder="1"/>
    </xf>
    <xf numFmtId="9" fontId="2" fillId="0" borderId="0" xfId="8" applyFont="1" applyFill="1">
      <alignment readingOrder="1"/>
    </xf>
    <xf numFmtId="168" fontId="0" fillId="0" borderId="0" xfId="1" applyNumberFormat="1" applyFont="1" applyFill="1">
      <alignment readingOrder="1"/>
    </xf>
    <xf numFmtId="9" fontId="2" fillId="2" borderId="0" xfId="8" applyFont="1" applyFill="1" applyAlignment="1">
      <alignment horizontal="center" readingOrder="1"/>
    </xf>
    <xf numFmtId="0" fontId="24" fillId="0" borderId="0" xfId="0" applyFont="1" applyFill="1">
      <alignment readingOrder="1"/>
    </xf>
    <xf numFmtId="0" fontId="2" fillId="0" borderId="0" xfId="9" applyFont="1" applyBorder="1" applyAlignment="1"/>
    <xf numFmtId="0" fontId="0" fillId="0" borderId="0" xfId="0" applyAlignment="1">
      <alignment readingOrder="1"/>
    </xf>
    <xf numFmtId="0" fontId="0" fillId="0" borderId="0" xfId="0" applyAlignment="1"/>
    <xf numFmtId="9" fontId="0" fillId="0" borderId="0" xfId="0" applyNumberFormat="1"/>
    <xf numFmtId="0" fontId="18" fillId="20" borderId="0" xfId="0" applyFont="1" applyFill="1">
      <alignment readingOrder="1"/>
    </xf>
    <xf numFmtId="1" fontId="18" fillId="20" borderId="0" xfId="0" applyNumberFormat="1" applyFont="1" applyFill="1">
      <alignment readingOrder="1"/>
    </xf>
    <xf numFmtId="0" fontId="0" fillId="4" borderId="23" xfId="0" applyFill="1" applyBorder="1">
      <alignment readingOrder="1"/>
    </xf>
    <xf numFmtId="0" fontId="0" fillId="2" borderId="6" xfId="0" applyFill="1" applyBorder="1">
      <alignment readingOrder="1"/>
    </xf>
    <xf numFmtId="0" fontId="0" fillId="2" borderId="23" xfId="0" applyFill="1" applyBorder="1">
      <alignment readingOrder="1"/>
    </xf>
    <xf numFmtId="0" fontId="0" fillId="2" borderId="25" xfId="0" applyFill="1" applyBorder="1" applyAlignment="1">
      <alignment horizontal="center" readingOrder="1"/>
    </xf>
    <xf numFmtId="0" fontId="0" fillId="2" borderId="7" xfId="0" applyFill="1" applyBorder="1">
      <alignment readingOrder="1"/>
    </xf>
    <xf numFmtId="0" fontId="0" fillId="2" borderId="2" xfId="0" applyFill="1" applyBorder="1" applyAlignment="1">
      <alignment horizontal="center" readingOrder="1"/>
    </xf>
    <xf numFmtId="0" fontId="0" fillId="2" borderId="11" xfId="0" applyFill="1" applyBorder="1" applyAlignment="1">
      <alignment horizontal="center" readingOrder="1"/>
    </xf>
    <xf numFmtId="168" fontId="0" fillId="0" borderId="0" xfId="1" applyNumberFormat="1" applyFont="1"/>
    <xf numFmtId="168" fontId="0" fillId="0" borderId="0" xfId="1" quotePrefix="1" applyNumberFormat="1" applyFont="1"/>
    <xf numFmtId="168" fontId="0" fillId="0" borderId="0" xfId="0" applyNumberFormat="1"/>
    <xf numFmtId="1" fontId="0" fillId="0" borderId="0" xfId="0" quotePrefix="1" applyNumberFormat="1" applyFill="1">
      <alignment readingOrder="1"/>
    </xf>
    <xf numFmtId="0" fontId="0" fillId="21" borderId="0" xfId="0" applyFill="1"/>
    <xf numFmtId="0" fontId="0" fillId="4" borderId="0" xfId="0" applyFill="1"/>
    <xf numFmtId="0" fontId="2" fillId="22" borderId="0" xfId="5" applyFill="1" applyAlignment="1">
      <alignment readingOrder="1"/>
    </xf>
    <xf numFmtId="0" fontId="3" fillId="0" borderId="0" xfId="5" applyFont="1" applyFill="1" applyAlignment="1">
      <alignment readingOrder="1"/>
    </xf>
    <xf numFmtId="0" fontId="2" fillId="0" borderId="0" xfId="5" applyFill="1" applyAlignment="1">
      <alignment readingOrder="1"/>
    </xf>
    <xf numFmtId="0" fontId="2" fillId="0" borderId="0" xfId="5" applyFill="1" applyBorder="1" applyAlignment="1">
      <alignment readingOrder="1"/>
    </xf>
    <xf numFmtId="0" fontId="2" fillId="0" borderId="0" xfId="5" applyAlignment="1">
      <alignment readingOrder="1"/>
    </xf>
    <xf numFmtId="0" fontId="2" fillId="23" borderId="1" xfId="5" applyFill="1" applyBorder="1" applyAlignment="1">
      <alignment wrapText="1" readingOrder="1"/>
    </xf>
    <xf numFmtId="0" fontId="2" fillId="23" borderId="9" xfId="10" applyFill="1" applyBorder="1" applyAlignment="1">
      <alignment wrapText="1"/>
    </xf>
    <xf numFmtId="0" fontId="2" fillId="23" borderId="10" xfId="10" applyFill="1" applyBorder="1" applyAlignment="1">
      <alignment wrapText="1"/>
    </xf>
    <xf numFmtId="0" fontId="2" fillId="23" borderId="8" xfId="10" applyFill="1" applyBorder="1" applyAlignment="1">
      <alignment wrapText="1"/>
    </xf>
    <xf numFmtId="0" fontId="2" fillId="23" borderId="9" xfId="10" applyFont="1" applyFill="1" applyBorder="1" applyAlignment="1">
      <alignment wrapText="1"/>
    </xf>
    <xf numFmtId="0" fontId="2" fillId="23" borderId="10" xfId="10" applyFont="1" applyFill="1" applyBorder="1" applyAlignment="1">
      <alignment wrapText="1"/>
    </xf>
    <xf numFmtId="0" fontId="2" fillId="23" borderId="8" xfId="10" applyFont="1" applyFill="1" applyBorder="1" applyAlignment="1">
      <alignment wrapText="1"/>
    </xf>
    <xf numFmtId="0" fontId="2" fillId="23" borderId="1" xfId="5" applyFont="1" applyFill="1" applyBorder="1" applyAlignment="1">
      <alignment wrapText="1" readingOrder="1"/>
    </xf>
    <xf numFmtId="0" fontId="2" fillId="23" borderId="9" xfId="10" applyFill="1" applyBorder="1" applyAlignment="1"/>
    <xf numFmtId="0" fontId="2" fillId="0" borderId="0" xfId="5" applyFill="1" applyBorder="1" applyAlignment="1">
      <alignment wrapText="1" readingOrder="1"/>
    </xf>
    <xf numFmtId="0" fontId="2" fillId="0" borderId="0" xfId="5" applyFont="1" applyFill="1" applyBorder="1" applyAlignment="1">
      <alignment horizontal="left" wrapText="1" readingOrder="1"/>
    </xf>
    <xf numFmtId="0" fontId="3" fillId="24" borderId="1" xfId="5" applyFont="1" applyFill="1" applyBorder="1" applyAlignment="1">
      <alignment wrapText="1" readingOrder="1"/>
    </xf>
    <xf numFmtId="0" fontId="2" fillId="0" borderId="0" xfId="5" applyBorder="1" applyAlignment="1">
      <alignment readingOrder="1"/>
    </xf>
    <xf numFmtId="0" fontId="2" fillId="0" borderId="1" xfId="10" applyFont="1" applyBorder="1" applyAlignment="1">
      <alignment horizontal="center" vertical="center" wrapText="1"/>
    </xf>
    <xf numFmtId="0" fontId="3" fillId="25" borderId="7" xfId="5" applyFont="1" applyFill="1" applyBorder="1" applyAlignment="1">
      <alignment wrapText="1" readingOrder="1"/>
    </xf>
    <xf numFmtId="0" fontId="2" fillId="0" borderId="0" xfId="5" applyFont="1" applyBorder="1" applyAlignment="1">
      <alignment horizontal="center" vertical="top" wrapText="1" readingOrder="1"/>
    </xf>
    <xf numFmtId="0" fontId="3" fillId="25" borderId="1" xfId="5" applyFont="1" applyFill="1" applyBorder="1" applyAlignment="1">
      <alignment horizontal="center" wrapText="1" readingOrder="1"/>
    </xf>
    <xf numFmtId="0" fontId="2" fillId="0" borderId="1" xfId="11" applyFont="1" applyFill="1" applyBorder="1" applyAlignment="1">
      <alignment horizontal="center" vertical="center" wrapText="1"/>
    </xf>
    <xf numFmtId="0" fontId="2" fillId="0" borderId="1" xfId="5" applyFont="1" applyBorder="1" applyAlignment="1">
      <alignment horizontal="center" vertical="center" wrapText="1" readingOrder="1"/>
    </xf>
    <xf numFmtId="0" fontId="2" fillId="0" borderId="1" xfId="5" applyFont="1" applyFill="1" applyBorder="1" applyAlignment="1">
      <alignment horizontal="center" vertical="center" wrapText="1" readingOrder="1"/>
    </xf>
    <xf numFmtId="0" fontId="3" fillId="26" borderId="6" xfId="5" applyFont="1" applyFill="1" applyBorder="1" applyAlignment="1">
      <alignment vertical="top" readingOrder="1"/>
    </xf>
    <xf numFmtId="0" fontId="3" fillId="26" borderId="22" xfId="5" applyFont="1" applyFill="1" applyBorder="1" applyAlignment="1">
      <alignment vertical="top" readingOrder="1"/>
    </xf>
    <xf numFmtId="0" fontId="2" fillId="26" borderId="23" xfId="5" applyFill="1" applyBorder="1" applyAlignment="1">
      <alignment vertical="top" wrapText="1" readingOrder="1"/>
    </xf>
    <xf numFmtId="0" fontId="27" fillId="0" borderId="0" xfId="5" applyFont="1" applyAlignment="1">
      <alignment vertical="top" wrapText="1" readingOrder="1"/>
    </xf>
    <xf numFmtId="0" fontId="2" fillId="0" borderId="0" xfId="5" applyAlignment="1">
      <alignment vertical="top" wrapText="1" readingOrder="1"/>
    </xf>
    <xf numFmtId="0" fontId="3" fillId="26" borderId="1" xfId="5" applyFont="1" applyFill="1" applyBorder="1" applyAlignment="1">
      <alignment horizontal="center" vertical="top" wrapText="1" readingOrder="1"/>
    </xf>
    <xf numFmtId="0" fontId="2" fillId="0" borderId="1" xfId="13" applyFont="1" applyBorder="1" applyAlignment="1">
      <alignment horizontal="center" vertical="center" wrapText="1"/>
    </xf>
    <xf numFmtId="0" fontId="2" fillId="0" borderId="1" xfId="13" applyFont="1" applyFill="1" applyBorder="1" applyAlignment="1">
      <alignment horizontal="center" vertical="center" wrapText="1" readingOrder="1"/>
    </xf>
    <xf numFmtId="0" fontId="2" fillId="0" borderId="1" xfId="13" applyFont="1" applyBorder="1" applyAlignment="1">
      <alignment horizontal="center" vertical="center" wrapText="1" readingOrder="1"/>
    </xf>
    <xf numFmtId="0" fontId="2" fillId="27" borderId="1" xfId="10" applyFont="1" applyFill="1" applyBorder="1" applyAlignment="1">
      <alignment horizontal="center" vertical="center" wrapText="1"/>
    </xf>
    <xf numFmtId="0" fontId="2" fillId="0" borderId="1" xfId="14" applyNumberFormat="1" applyFont="1" applyBorder="1" applyAlignment="1">
      <alignment horizontal="center" vertical="center" wrapText="1" readingOrder="1"/>
    </xf>
    <xf numFmtId="0" fontId="3" fillId="21" borderId="9" xfId="5" applyFont="1" applyFill="1" applyBorder="1" applyAlignment="1">
      <alignment vertical="top" readingOrder="1"/>
    </xf>
    <xf numFmtId="0" fontId="3" fillId="21" borderId="8" xfId="5" applyFont="1" applyFill="1" applyBorder="1" applyAlignment="1">
      <alignment vertical="top" readingOrder="1"/>
    </xf>
    <xf numFmtId="0" fontId="3" fillId="21" borderId="6" xfId="5" applyFont="1" applyFill="1" applyBorder="1" applyAlignment="1">
      <alignment horizontal="center" vertical="center" readingOrder="1"/>
    </xf>
    <xf numFmtId="0" fontId="3" fillId="21" borderId="7" xfId="5" applyFont="1" applyFill="1" applyBorder="1" applyAlignment="1">
      <alignment horizontal="center" vertical="center" readingOrder="1"/>
    </xf>
    <xf numFmtId="0" fontId="3" fillId="21" borderId="1" xfId="5" applyFont="1" applyFill="1" applyBorder="1" applyAlignment="1">
      <alignment horizontal="center" vertical="center" readingOrder="1"/>
    </xf>
    <xf numFmtId="0" fontId="3" fillId="21" borderId="7" xfId="5" applyFont="1" applyFill="1" applyBorder="1" applyAlignment="1">
      <alignment horizontal="center" vertical="center" wrapText="1" readingOrder="1"/>
    </xf>
    <xf numFmtId="0" fontId="2" fillId="0" borderId="1" xfId="5" applyFill="1" applyBorder="1" applyAlignment="1">
      <alignment vertical="center" wrapText="1" readingOrder="1"/>
    </xf>
    <xf numFmtId="0" fontId="2" fillId="0" borderId="1" xfId="5" applyBorder="1" applyAlignment="1">
      <alignment horizontal="center" vertical="center" readingOrder="1"/>
    </xf>
    <xf numFmtId="0" fontId="2" fillId="0" borderId="1" xfId="5" applyFill="1" applyBorder="1" applyAlignment="1">
      <alignment vertical="center" readingOrder="1"/>
    </xf>
    <xf numFmtId="0" fontId="2" fillId="0" borderId="1" xfId="5" applyBorder="1" applyAlignment="1">
      <alignment readingOrder="1"/>
    </xf>
    <xf numFmtId="0" fontId="2" fillId="0" borderId="1" xfId="5" applyBorder="1" applyAlignment="1">
      <alignment vertical="center" wrapText="1" readingOrder="1"/>
    </xf>
    <xf numFmtId="0" fontId="2" fillId="0" borderId="1" xfId="5" applyBorder="1" applyAlignment="1">
      <alignment vertical="top" wrapText="1" readingOrder="1"/>
    </xf>
    <xf numFmtId="0" fontId="2" fillId="0" borderId="0" xfId="5" applyFill="1" applyBorder="1" applyAlignment="1">
      <alignment vertical="top" wrapText="1" readingOrder="1"/>
    </xf>
    <xf numFmtId="0" fontId="2" fillId="0" borderId="11" xfId="5" applyBorder="1" applyAlignment="1">
      <alignment horizontal="center" vertical="center" wrapText="1" readingOrder="1"/>
    </xf>
    <xf numFmtId="0" fontId="2" fillId="0" borderId="1" xfId="5" applyBorder="1" applyAlignment="1">
      <alignment horizontal="center" vertical="center" wrapText="1" readingOrder="1"/>
    </xf>
    <xf numFmtId="0" fontId="2" fillId="19" borderId="1" xfId="5" applyFill="1" applyBorder="1" applyAlignment="1">
      <alignment horizontal="left" vertical="center" wrapText="1" readingOrder="1"/>
    </xf>
    <xf numFmtId="0" fontId="2" fillId="19" borderId="2" xfId="5" applyFill="1" applyBorder="1" applyAlignment="1">
      <alignment vertical="center" wrapText="1" readingOrder="1"/>
    </xf>
    <xf numFmtId="0" fontId="2" fillId="19" borderId="2" xfId="5" applyFill="1" applyBorder="1" applyAlignment="1">
      <alignment vertical="top" wrapText="1" readingOrder="1"/>
    </xf>
    <xf numFmtId="0" fontId="2" fillId="19" borderId="2" xfId="5" applyFont="1" applyFill="1" applyBorder="1" applyAlignment="1">
      <alignment horizontal="center" vertical="top" wrapText="1" readingOrder="1"/>
    </xf>
    <xf numFmtId="9" fontId="2" fillId="19" borderId="2" xfId="5" applyNumberFormat="1" applyFill="1" applyBorder="1" applyAlignment="1">
      <alignment horizontal="center" vertical="center" wrapText="1" readingOrder="1"/>
    </xf>
    <xf numFmtId="0" fontId="2" fillId="0" borderId="27" xfId="5" applyBorder="1" applyAlignment="1">
      <alignment horizontal="center" vertical="center" wrapText="1" readingOrder="1"/>
    </xf>
    <xf numFmtId="0" fontId="2" fillId="0" borderId="0" xfId="5" applyBorder="1" applyAlignment="1">
      <alignment horizontal="center" vertical="center" wrapText="1" readingOrder="1"/>
    </xf>
    <xf numFmtId="0" fontId="2" fillId="0" borderId="0" xfId="5" applyBorder="1" applyAlignment="1">
      <alignment horizontal="left" vertical="center" wrapText="1" readingOrder="1"/>
    </xf>
    <xf numFmtId="0" fontId="2" fillId="0" borderId="0" xfId="5" applyBorder="1" applyAlignment="1">
      <alignment vertical="top" wrapText="1" readingOrder="1"/>
    </xf>
    <xf numFmtId="9" fontId="2" fillId="0" borderId="0" xfId="5" applyNumberFormat="1" applyBorder="1" applyAlignment="1">
      <alignment horizontal="center" vertical="center" wrapText="1" readingOrder="1"/>
    </xf>
    <xf numFmtId="0" fontId="3" fillId="28" borderId="1" xfId="5" applyFont="1" applyFill="1" applyBorder="1" applyAlignment="1">
      <alignment vertical="top" readingOrder="1"/>
    </xf>
    <xf numFmtId="0" fontId="2" fillId="0" borderId="0" xfId="5" applyFont="1" applyBorder="1" applyAlignment="1">
      <alignment vertical="top" wrapText="1" readingOrder="1"/>
    </xf>
    <xf numFmtId="0" fontId="3" fillId="28" borderId="1" xfId="5" applyFont="1" applyFill="1" applyBorder="1" applyAlignment="1">
      <alignment horizontal="center" vertical="center" readingOrder="1"/>
    </xf>
    <xf numFmtId="0" fontId="3" fillId="28" borderId="1" xfId="5" applyFont="1" applyFill="1" applyBorder="1" applyAlignment="1">
      <alignment horizontal="center" vertical="top" wrapText="1" readingOrder="1"/>
    </xf>
    <xf numFmtId="0" fontId="2" fillId="28" borderId="1" xfId="5" applyFill="1" applyBorder="1" applyAlignment="1">
      <alignment vertical="top" wrapText="1" readingOrder="1"/>
    </xf>
    <xf numFmtId="0" fontId="3" fillId="28" borderId="1" xfId="5" applyFont="1" applyFill="1" applyBorder="1" applyAlignment="1">
      <alignment horizontal="center" vertical="center" wrapText="1" readingOrder="1"/>
    </xf>
    <xf numFmtId="0" fontId="2" fillId="28" borderId="7" xfId="5" applyFill="1" applyBorder="1" applyAlignment="1">
      <alignment vertical="top" wrapText="1" readingOrder="1"/>
    </xf>
    <xf numFmtId="0" fontId="2" fillId="28" borderId="27" xfId="5" applyFill="1" applyBorder="1" applyAlignment="1">
      <alignment vertical="top" wrapText="1" readingOrder="1"/>
    </xf>
    <xf numFmtId="0" fontId="2" fillId="28" borderId="23" xfId="5" applyFill="1" applyBorder="1" applyAlignment="1">
      <alignment vertical="top" wrapText="1" readingOrder="1"/>
    </xf>
    <xf numFmtId="0" fontId="2" fillId="28" borderId="26" xfId="5" applyFill="1" applyBorder="1" applyAlignment="1">
      <alignment vertical="top" wrapText="1" readingOrder="1"/>
    </xf>
    <xf numFmtId="0" fontId="2" fillId="28" borderId="28" xfId="5" applyFill="1" applyBorder="1" applyAlignment="1">
      <alignment vertical="top" wrapText="1" readingOrder="1"/>
    </xf>
    <xf numFmtId="0" fontId="2" fillId="0" borderId="1" xfId="5" applyBorder="1" applyAlignment="1">
      <alignment horizontal="left" vertical="center" wrapText="1" readingOrder="1"/>
    </xf>
    <xf numFmtId="0" fontId="2" fillId="28" borderId="2" xfId="5" applyFill="1" applyBorder="1" applyAlignment="1">
      <alignment vertical="top" wrapText="1" readingOrder="1"/>
    </xf>
    <xf numFmtId="0" fontId="2" fillId="28" borderId="11" xfId="5" applyFill="1" applyBorder="1" applyAlignment="1">
      <alignment vertical="top" wrapText="1" readingOrder="1"/>
    </xf>
    <xf numFmtId="0" fontId="2" fillId="28" borderId="25" xfId="5" applyFill="1" applyBorder="1" applyAlignment="1">
      <alignment vertical="top" wrapText="1" readingOrder="1"/>
    </xf>
    <xf numFmtId="0" fontId="2" fillId="0" borderId="0" xfId="5" applyFont="1" applyAlignment="1">
      <alignment vertical="top" wrapText="1" readingOrder="1"/>
    </xf>
    <xf numFmtId="0" fontId="50" fillId="0" borderId="1" xfId="2" applyFont="1" applyFill="1" applyBorder="1" applyAlignment="1">
      <alignment horizontal="left" vertical="center" wrapText="1"/>
    </xf>
    <xf numFmtId="0" fontId="49" fillId="0" borderId="1" xfId="2" applyFont="1" applyFill="1" applyBorder="1" applyAlignment="1">
      <alignment horizontal="left" vertical="center" wrapText="1" readingOrder="1"/>
    </xf>
    <xf numFmtId="0" fontId="49" fillId="0" borderId="1" xfId="2" applyNumberFormat="1" applyFont="1" applyFill="1" applyBorder="1" applyAlignment="1">
      <alignment horizontal="left" vertical="center" wrapText="1" readingOrder="1"/>
    </xf>
    <xf numFmtId="9" fontId="49" fillId="0" borderId="1" xfId="2" applyNumberFormat="1" applyFont="1" applyFill="1" applyBorder="1" applyAlignment="1">
      <alignment horizontal="left" vertical="center" wrapText="1" readingOrder="1"/>
    </xf>
    <xf numFmtId="0" fontId="49" fillId="0" borderId="0" xfId="2" applyFont="1" applyFill="1">
      <alignment readingOrder="1"/>
    </xf>
    <xf numFmtId="0" fontId="49" fillId="0" borderId="1" xfId="2" applyFont="1" applyFill="1" applyBorder="1" applyAlignment="1">
      <alignment vertical="center" wrapText="1" readingOrder="1"/>
    </xf>
    <xf numFmtId="0" fontId="49" fillId="0" borderId="1" xfId="2" applyNumberFormat="1" applyFont="1" applyFill="1" applyBorder="1" applyAlignment="1">
      <alignment vertical="center" wrapText="1" readingOrder="1"/>
    </xf>
    <xf numFmtId="0" fontId="2" fillId="0" borderId="1" xfId="5" applyFill="1" applyBorder="1" applyAlignment="1">
      <alignment wrapText="1" readingOrder="1"/>
    </xf>
    <xf numFmtId="15" fontId="2" fillId="0" borderId="0" xfId="7" applyNumberFormat="1" applyFont="1" applyFill="1" applyAlignment="1">
      <alignment horizontal="center"/>
    </xf>
    <xf numFmtId="0" fontId="0" fillId="0" borderId="0" xfId="0" applyAlignment="1">
      <alignment horizontal="center"/>
    </xf>
    <xf numFmtId="0" fontId="0" fillId="0" borderId="0" xfId="0" applyAlignment="1">
      <alignment horizontal="right"/>
    </xf>
    <xf numFmtId="168" fontId="0" fillId="21" borderId="0" xfId="49" applyNumberFormat="1" applyFont="1" applyFill="1"/>
    <xf numFmtId="171" fontId="0" fillId="0" borderId="0" xfId="1" applyNumberFormat="1" applyFont="1" applyAlignment="1">
      <alignment horizontal="right" readingOrder="1"/>
    </xf>
    <xf numFmtId="43" fontId="0" fillId="0" borderId="0" xfId="1" applyFont="1">
      <alignment readingOrder="1"/>
    </xf>
    <xf numFmtId="14" fontId="0" fillId="0" borderId="0" xfId="0" applyNumberFormat="1"/>
    <xf numFmtId="0" fontId="2" fillId="0" borderId="0" xfId="5">
      <alignment readingOrder="1"/>
    </xf>
    <xf numFmtId="0" fontId="36" fillId="0" borderId="0" xfId="5" applyFont="1">
      <alignment readingOrder="1"/>
    </xf>
    <xf numFmtId="0" fontId="23" fillId="51" borderId="1" xfId="101" applyFont="1" applyFill="1" applyBorder="1" applyAlignment="1">
      <alignment horizontal="center" wrapText="1"/>
    </xf>
    <xf numFmtId="0" fontId="23" fillId="0" borderId="1" xfId="101" applyFont="1" applyBorder="1"/>
    <xf numFmtId="172" fontId="23" fillId="0" borderId="1" xfId="101" applyNumberFormat="1" applyFont="1" applyBorder="1"/>
    <xf numFmtId="172" fontId="23" fillId="0" borderId="1" xfId="51" applyNumberFormat="1" applyFont="1" applyBorder="1"/>
    <xf numFmtId="174" fontId="23" fillId="0" borderId="1" xfId="51" applyNumberFormat="1" applyFont="1" applyBorder="1"/>
    <xf numFmtId="0" fontId="5" fillId="0" borderId="0" xfId="101" applyAlignment="1">
      <alignment horizontal="right"/>
    </xf>
    <xf numFmtId="175" fontId="5" fillId="0" borderId="0" xfId="101" applyNumberFormat="1"/>
    <xf numFmtId="0" fontId="51" fillId="52" borderId="37" xfId="5" applyFont="1" applyFill="1" applyBorder="1" applyAlignment="1">
      <alignment horizontal="center"/>
    </xf>
    <xf numFmtId="0" fontId="51" fillId="52" borderId="5" xfId="5" applyFont="1" applyFill="1" applyBorder="1" applyAlignment="1">
      <alignment horizontal="center"/>
    </xf>
    <xf numFmtId="0" fontId="52" fillId="0" borderId="38" xfId="5" applyFont="1" applyBorder="1" applyAlignment="1"/>
    <xf numFmtId="0" fontId="52" fillId="0" borderId="16" xfId="5" applyFont="1" applyBorder="1" applyAlignment="1"/>
    <xf numFmtId="0" fontId="52" fillId="0" borderId="16" xfId="5" applyFont="1" applyBorder="1" applyAlignment="1">
      <alignment horizontal="left"/>
    </xf>
    <xf numFmtId="6" fontId="52" fillId="0" borderId="16" xfId="5" applyNumberFormat="1" applyFont="1" applyBorder="1" applyAlignment="1">
      <alignment horizontal="right"/>
    </xf>
    <xf numFmtId="0" fontId="52" fillId="0" borderId="39" xfId="5" applyFont="1" applyBorder="1" applyAlignment="1"/>
    <xf numFmtId="0" fontId="52" fillId="0" borderId="19" xfId="5" applyFont="1" applyBorder="1" applyAlignment="1"/>
    <xf numFmtId="0" fontId="52" fillId="0" borderId="19" xfId="5" applyFont="1" applyBorder="1" applyAlignment="1">
      <alignment horizontal="left"/>
    </xf>
    <xf numFmtId="6" fontId="52" fillId="0" borderId="19" xfId="5" applyNumberFormat="1" applyFont="1" applyBorder="1" applyAlignment="1">
      <alignment horizontal="right"/>
    </xf>
    <xf numFmtId="0" fontId="2" fillId="0" borderId="40" xfId="5" applyBorder="1">
      <alignment readingOrder="1"/>
    </xf>
    <xf numFmtId="0" fontId="2" fillId="0" borderId="41" xfId="5" applyBorder="1">
      <alignment readingOrder="1"/>
    </xf>
    <xf numFmtId="9" fontId="2" fillId="0" borderId="42" xfId="12" applyBorder="1">
      <alignment readingOrder="1"/>
    </xf>
    <xf numFmtId="0" fontId="2" fillId="0" borderId="43" xfId="5" applyBorder="1">
      <alignment readingOrder="1"/>
    </xf>
    <xf numFmtId="0" fontId="2" fillId="0" borderId="1" xfId="5" applyBorder="1">
      <alignment readingOrder="1"/>
    </xf>
    <xf numFmtId="9" fontId="2" fillId="0" borderId="44" xfId="12" applyBorder="1">
      <alignment readingOrder="1"/>
    </xf>
    <xf numFmtId="0" fontId="2" fillId="0" borderId="45" xfId="5" applyBorder="1">
      <alignment readingOrder="1"/>
    </xf>
    <xf numFmtId="0" fontId="2" fillId="0" borderId="46" xfId="5" applyBorder="1">
      <alignment readingOrder="1"/>
    </xf>
    <xf numFmtId="0" fontId="2" fillId="0" borderId="47" xfId="5" applyBorder="1">
      <alignment readingOrder="1"/>
    </xf>
    <xf numFmtId="6" fontId="2" fillId="0" borderId="0" xfId="5" applyNumberFormat="1">
      <alignment readingOrder="1"/>
    </xf>
    <xf numFmtId="0" fontId="17" fillId="0" borderId="0" xfId="5" applyFont="1">
      <alignment readingOrder="1"/>
    </xf>
    <xf numFmtId="0" fontId="5" fillId="0" borderId="0" xfId="101"/>
    <xf numFmtId="0" fontId="53" fillId="0" borderId="39" xfId="5" applyFont="1" applyBorder="1" applyAlignment="1"/>
    <xf numFmtId="0" fontId="53" fillId="0" borderId="19" xfId="5" applyFont="1" applyBorder="1" applyAlignment="1"/>
    <xf numFmtId="6" fontId="53" fillId="0" borderId="19" xfId="5" applyNumberFormat="1" applyFont="1" applyBorder="1" applyAlignment="1">
      <alignment horizontal="right"/>
    </xf>
    <xf numFmtId="2" fontId="53" fillId="0" borderId="19" xfId="5" applyNumberFormat="1" applyFont="1" applyBorder="1" applyAlignment="1">
      <alignment horizontal="right"/>
    </xf>
    <xf numFmtId="172" fontId="53" fillId="0" borderId="19" xfId="5" applyNumberFormat="1" applyFont="1" applyBorder="1" applyAlignment="1">
      <alignment horizontal="right"/>
    </xf>
    <xf numFmtId="0" fontId="5" fillId="0" borderId="0" xfId="101" applyAlignment="1">
      <alignment horizontal="right" vertical="center"/>
    </xf>
    <xf numFmtId="0" fontId="53" fillId="53" borderId="39" xfId="5" applyFont="1" applyFill="1" applyBorder="1" applyAlignment="1"/>
    <xf numFmtId="0" fontId="53" fillId="53" borderId="19" xfId="5" applyFont="1" applyFill="1" applyBorder="1" applyAlignment="1"/>
    <xf numFmtId="6" fontId="53" fillId="53" borderId="19" xfId="5" applyNumberFormat="1" applyFont="1" applyFill="1" applyBorder="1" applyAlignment="1">
      <alignment horizontal="right"/>
    </xf>
    <xf numFmtId="2" fontId="53" fillId="53" borderId="19" xfId="5" applyNumberFormat="1" applyFont="1" applyFill="1" applyBorder="1" applyAlignment="1">
      <alignment horizontal="right"/>
    </xf>
    <xf numFmtId="172" fontId="53" fillId="53" borderId="19" xfId="5" applyNumberFormat="1" applyFont="1" applyFill="1" applyBorder="1" applyAlignment="1">
      <alignment horizontal="right"/>
    </xf>
    <xf numFmtId="0" fontId="40" fillId="0" borderId="0" xfId="73" applyFill="1" applyAlignment="1" applyProtection="1">
      <alignment readingOrder="1"/>
    </xf>
    <xf numFmtId="0" fontId="2" fillId="0" borderId="0" xfId="5" applyFill="1">
      <alignment readingOrder="1"/>
    </xf>
    <xf numFmtId="9" fontId="2" fillId="0" borderId="1" xfId="12" applyBorder="1">
      <alignment readingOrder="1"/>
    </xf>
    <xf numFmtId="0" fontId="2" fillId="0" borderId="0" xfId="5" applyBorder="1">
      <alignment readingOrder="1"/>
    </xf>
    <xf numFmtId="0" fontId="23" fillId="0" borderId="0" xfId="101" applyFont="1" applyBorder="1"/>
    <xf numFmtId="9" fontId="2" fillId="0" borderId="0" xfId="12" applyBorder="1">
      <alignment readingOrder="1"/>
    </xf>
    <xf numFmtId="9" fontId="2" fillId="0" borderId="1" xfId="5" applyNumberFormat="1" applyBorder="1">
      <alignment readingOrder="1"/>
    </xf>
    <xf numFmtId="0" fontId="23" fillId="0" borderId="43" xfId="101" applyFont="1" applyBorder="1"/>
    <xf numFmtId="1" fontId="23" fillId="0" borderId="43" xfId="14" applyNumberFormat="1" applyFont="1" applyBorder="1" applyAlignment="1">
      <alignment horizontal="center"/>
    </xf>
    <xf numFmtId="0" fontId="51" fillId="0" borderId="37" xfId="5" applyFont="1" applyBorder="1" applyAlignment="1">
      <alignment vertical="top" wrapText="1"/>
    </xf>
    <xf numFmtId="0" fontId="51" fillId="0" borderId="5" xfId="5" applyFont="1" applyBorder="1" applyAlignment="1">
      <alignment vertical="top"/>
    </xf>
    <xf numFmtId="0" fontId="51" fillId="0" borderId="5" xfId="5" applyFont="1" applyBorder="1" applyAlignment="1">
      <alignment horizontal="center" vertical="top" wrapText="1"/>
    </xf>
    <xf numFmtId="0" fontId="51" fillId="0" borderId="5" xfId="5" applyFont="1" applyBorder="1" applyAlignment="1">
      <alignment horizontal="center" vertical="top"/>
    </xf>
    <xf numFmtId="0" fontId="54" fillId="52" borderId="39" xfId="5" applyFont="1" applyFill="1" applyBorder="1" applyAlignment="1">
      <alignment vertical="center" wrapText="1"/>
    </xf>
    <xf numFmtId="0" fontId="52" fillId="52" borderId="19" xfId="5" applyFont="1" applyFill="1" applyBorder="1" applyAlignment="1">
      <alignment vertical="center"/>
    </xf>
    <xf numFmtId="0" fontId="52" fillId="52" borderId="19" xfId="5" applyFont="1" applyFill="1" applyBorder="1" applyAlignment="1">
      <alignment horizontal="center" vertical="center"/>
    </xf>
    <xf numFmtId="6" fontId="52" fillId="52" borderId="19" xfId="5" applyNumberFormat="1" applyFont="1" applyFill="1" applyBorder="1" applyAlignment="1">
      <alignment horizontal="center" vertical="center"/>
    </xf>
    <xf numFmtId="0" fontId="54" fillId="0" borderId="39" xfId="5" applyFont="1" applyBorder="1" applyAlignment="1">
      <alignment vertical="center" wrapText="1"/>
    </xf>
    <xf numFmtId="0" fontId="52" fillId="0" borderId="19" xfId="5" applyFont="1" applyBorder="1" applyAlignment="1">
      <alignment vertical="center"/>
    </xf>
    <xf numFmtId="0" fontId="52" fillId="0" borderId="19" xfId="5" applyFont="1" applyBorder="1" applyAlignment="1">
      <alignment horizontal="center" vertical="center"/>
    </xf>
    <xf numFmtId="6" fontId="52" fillId="0" borderId="19" xfId="5" applyNumberFormat="1" applyFont="1" applyBorder="1" applyAlignment="1">
      <alignment horizontal="center" vertical="center"/>
    </xf>
    <xf numFmtId="0" fontId="52" fillId="0" borderId="19" xfId="5" applyFont="1" applyBorder="1" applyAlignment="1">
      <alignment horizontal="left" vertical="center"/>
    </xf>
    <xf numFmtId="0" fontId="3" fillId="0" borderId="0" xfId="5" applyFont="1" applyAlignment="1">
      <alignment horizontal="right" readingOrder="1"/>
    </xf>
    <xf numFmtId="1" fontId="2" fillId="0" borderId="0" xfId="5" applyNumberFormat="1">
      <alignment readingOrder="1"/>
    </xf>
    <xf numFmtId="9" fontId="2" fillId="0" borderId="1" xfId="8" applyFont="1" applyBorder="1">
      <alignment readingOrder="1"/>
    </xf>
    <xf numFmtId="6" fontId="53" fillId="0" borderId="19" xfId="5" applyNumberFormat="1" applyFont="1" applyBorder="1" applyAlignment="1">
      <alignment horizontal="center"/>
    </xf>
    <xf numFmtId="0" fontId="24" fillId="2" borderId="0" xfId="0" applyFont="1" applyFill="1"/>
    <xf numFmtId="0" fontId="0" fillId="2" borderId="0" xfId="0" applyFill="1"/>
    <xf numFmtId="0" fontId="3" fillId="2" borderId="0" xfId="9" applyFont="1" applyFill="1" applyBorder="1" applyAlignment="1"/>
    <xf numFmtId="174" fontId="0" fillId="0" borderId="0" xfId="133" applyNumberFormat="1" applyFont="1">
      <alignment readingOrder="1"/>
    </xf>
    <xf numFmtId="174" fontId="0" fillId="0" borderId="0" xfId="133" applyNumberFormat="1" applyFont="1"/>
    <xf numFmtId="168" fontId="2" fillId="0" borderId="0" xfId="0" applyNumberFormat="1" applyFont="1" applyFill="1">
      <alignment readingOrder="1"/>
    </xf>
    <xf numFmtId="0" fontId="0" fillId="2" borderId="0" xfId="0" applyFill="1" applyAlignment="1">
      <alignment horizontal="center" readingOrder="1"/>
    </xf>
    <xf numFmtId="43" fontId="0" fillId="0" borderId="0" xfId="1" applyFont="1" applyFill="1">
      <alignment readingOrder="1"/>
    </xf>
    <xf numFmtId="0" fontId="2" fillId="0" borderId="1" xfId="10" applyFont="1" applyBorder="1" applyAlignment="1">
      <alignment horizontal="center" vertical="center" wrapText="1"/>
    </xf>
    <xf numFmtId="0" fontId="2" fillId="27" borderId="1" xfId="10" applyFont="1" applyFill="1" applyBorder="1" applyAlignment="1">
      <alignment horizontal="center" vertical="center" wrapText="1"/>
    </xf>
    <xf numFmtId="0" fontId="2" fillId="0" borderId="27" xfId="5" applyBorder="1" applyAlignment="1">
      <alignment horizontal="center" vertical="center" wrapText="1" readingOrder="1"/>
    </xf>
    <xf numFmtId="0" fontId="2" fillId="0" borderId="11" xfId="5" applyBorder="1" applyAlignment="1">
      <alignment horizontal="center" vertical="center" wrapText="1" readingOrder="1"/>
    </xf>
    <xf numFmtId="0" fontId="2" fillId="0" borderId="1" xfId="5" applyFont="1" applyBorder="1" applyAlignment="1">
      <alignment horizontal="center" vertical="center" wrapText="1" readingOrder="1"/>
    </xf>
    <xf numFmtId="0" fontId="2" fillId="0" borderId="1" xfId="13" applyFont="1" applyBorder="1" applyAlignment="1">
      <alignment horizontal="center" vertical="center" wrapText="1"/>
    </xf>
    <xf numFmtId="0" fontId="24" fillId="2" borderId="0" xfId="0" applyFont="1" applyFill="1" applyAlignment="1">
      <alignment horizontal="center" readingOrder="1"/>
    </xf>
    <xf numFmtId="168" fontId="18" fillId="17" borderId="0" xfId="1" applyNumberFormat="1" applyFont="1" applyFill="1">
      <alignment readingOrder="1"/>
    </xf>
    <xf numFmtId="43" fontId="0" fillId="0" borderId="0" xfId="1" applyFont="1"/>
    <xf numFmtId="0" fontId="24" fillId="4" borderId="0" xfId="0" applyFont="1" applyFill="1"/>
    <xf numFmtId="0" fontId="2" fillId="0" borderId="1" xfId="0" applyFont="1" applyBorder="1" applyAlignment="1">
      <alignment horizontal="center" vertical="center" wrapText="1" readingOrder="1"/>
    </xf>
    <xf numFmtId="0" fontId="2" fillId="0" borderId="1" xfId="0" applyFont="1" applyFill="1" applyBorder="1" applyAlignment="1">
      <alignment horizontal="center" vertical="center" wrapText="1" readingOrder="1"/>
    </xf>
    <xf numFmtId="0" fontId="2" fillId="0" borderId="9" xfId="13" applyFont="1" applyFill="1" applyBorder="1" applyAlignment="1">
      <alignment horizontal="center" vertical="center" wrapText="1" readingOrder="1"/>
    </xf>
    <xf numFmtId="0" fontId="2" fillId="0" borderId="1" xfId="5" applyFill="1" applyBorder="1" applyAlignment="1">
      <alignment horizontal="left" vertical="center" wrapText="1" readingOrder="1"/>
    </xf>
    <xf numFmtId="0" fontId="2" fillId="0" borderId="6" xfId="11" applyFont="1" applyFill="1" applyBorder="1" applyAlignment="1">
      <alignment horizontal="center" vertical="center" wrapText="1"/>
    </xf>
    <xf numFmtId="9" fontId="2" fillId="0" borderId="22" xfId="11" applyNumberFormat="1" applyFont="1" applyFill="1" applyBorder="1" applyAlignment="1">
      <alignment horizontal="center" vertical="center" wrapText="1"/>
    </xf>
    <xf numFmtId="0" fontId="2" fillId="0" borderId="22" xfId="11" applyFont="1" applyFill="1" applyBorder="1" applyAlignment="1">
      <alignment horizontal="center" vertical="center" wrapText="1"/>
    </xf>
    <xf numFmtId="0" fontId="2" fillId="0" borderId="0" xfId="11" applyFont="1" applyFill="1" applyBorder="1" applyAlignment="1">
      <alignment horizontal="center" vertical="center" wrapText="1"/>
    </xf>
    <xf numFmtId="0" fontId="2" fillId="0" borderId="1" xfId="5" applyFill="1" applyBorder="1" applyAlignment="1">
      <alignment horizontal="center" vertical="center" wrapText="1" readingOrder="1"/>
    </xf>
    <xf numFmtId="0" fontId="3" fillId="0" borderId="0" xfId="5" applyFont="1">
      <alignment readingOrder="1"/>
    </xf>
    <xf numFmtId="0" fontId="2" fillId="0" borderId="0" xfId="5" applyFont="1">
      <alignment readingOrder="1"/>
    </xf>
    <xf numFmtId="0" fontId="56" fillId="54" borderId="1" xfId="5" applyFont="1" applyFill="1" applyBorder="1" applyAlignment="1">
      <alignment horizontal="center" vertical="center" wrapText="1"/>
    </xf>
    <xf numFmtId="0" fontId="57" fillId="55" borderId="1" xfId="5" applyFont="1" applyFill="1" applyBorder="1" applyAlignment="1">
      <alignment horizontal="center" vertical="center" wrapText="1"/>
    </xf>
    <xf numFmtId="9" fontId="57" fillId="55" borderId="1" xfId="12" applyFont="1" applyFill="1" applyBorder="1" applyAlignment="1">
      <alignment horizontal="center" vertical="center" wrapText="1"/>
    </xf>
    <xf numFmtId="0" fontId="1" fillId="0" borderId="2" xfId="101" applyFont="1" applyBorder="1"/>
    <xf numFmtId="0" fontId="1" fillId="0" borderId="2" xfId="101" applyFont="1" applyBorder="1" applyAlignment="1">
      <alignment horizontal="center" vertical="center" wrapText="1"/>
    </xf>
    <xf numFmtId="0" fontId="24" fillId="0" borderId="1" xfId="101" applyFont="1" applyBorder="1" applyAlignment="1">
      <alignment vertical="center" wrapText="1"/>
    </xf>
    <xf numFmtId="9" fontId="1" fillId="0" borderId="1" xfId="101" applyNumberFormat="1" applyFont="1" applyBorder="1" applyAlignment="1">
      <alignment horizontal="center" vertical="center"/>
    </xf>
    <xf numFmtId="0" fontId="1" fillId="0" borderId="1" xfId="101" applyFont="1" applyBorder="1" applyAlignment="1">
      <alignment horizontal="center" vertical="center"/>
    </xf>
    <xf numFmtId="0" fontId="1" fillId="0" borderId="0" xfId="101" applyFont="1"/>
    <xf numFmtId="0" fontId="2" fillId="0" borderId="0" xfId="0" applyFont="1" applyFill="1">
      <alignment readingOrder="1"/>
    </xf>
    <xf numFmtId="0" fontId="3" fillId="55" borderId="9" xfId="0" applyFont="1" applyFill="1" applyBorder="1" applyAlignment="1"/>
    <xf numFmtId="0" fontId="3" fillId="55" borderId="43" xfId="0" applyFont="1" applyFill="1" applyBorder="1" applyAlignment="1">
      <alignment horizontal="center"/>
    </xf>
    <xf numFmtId="0" fontId="3" fillId="55" borderId="44" xfId="0" applyFont="1" applyFill="1" applyBorder="1" applyAlignment="1">
      <alignment horizontal="center"/>
    </xf>
    <xf numFmtId="0" fontId="2" fillId="55" borderId="9" xfId="0" applyFont="1" applyFill="1" applyBorder="1" applyAlignment="1"/>
    <xf numFmtId="0" fontId="2" fillId="55" borderId="43" xfId="0" applyFont="1" applyFill="1" applyBorder="1" applyAlignment="1">
      <alignment horizontal="center" vertical="center"/>
    </xf>
    <xf numFmtId="0" fontId="2" fillId="55" borderId="44" xfId="0" applyFont="1" applyFill="1" applyBorder="1" applyAlignment="1">
      <alignment horizontal="center" vertical="center"/>
    </xf>
    <xf numFmtId="9" fontId="2" fillId="55" borderId="43" xfId="0" applyNumberFormat="1" applyFont="1" applyFill="1" applyBorder="1" applyAlignment="1">
      <alignment horizontal="center" vertical="center"/>
    </xf>
    <xf numFmtId="9" fontId="2" fillId="55" borderId="44" xfId="0" applyNumberFormat="1" applyFont="1" applyFill="1" applyBorder="1" applyAlignment="1">
      <alignment horizontal="center" vertical="center"/>
    </xf>
    <xf numFmtId="0" fontId="2" fillId="51" borderId="43" xfId="0" applyFont="1" applyFill="1" applyBorder="1" applyAlignment="1">
      <alignment horizontal="center" vertical="center"/>
    </xf>
    <xf numFmtId="0" fontId="2" fillId="51" borderId="44" xfId="0" applyFont="1" applyFill="1" applyBorder="1" applyAlignment="1">
      <alignment horizontal="center" vertical="center"/>
    </xf>
    <xf numFmtId="0" fontId="2" fillId="55" borderId="48" xfId="0" applyFont="1" applyFill="1" applyBorder="1" applyAlignment="1">
      <alignment horizontal="center" vertical="center"/>
    </xf>
    <xf numFmtId="164" fontId="2" fillId="55" borderId="43" xfId="0" applyNumberFormat="1" applyFont="1" applyFill="1" applyBorder="1" applyAlignment="1">
      <alignment horizontal="center" vertical="center"/>
    </xf>
    <xf numFmtId="164" fontId="2" fillId="55" borderId="48" xfId="0" applyNumberFormat="1" applyFont="1" applyFill="1" applyBorder="1" applyAlignment="1">
      <alignment horizontal="center" vertical="center"/>
    </xf>
    <xf numFmtId="164" fontId="2" fillId="55" borderId="44" xfId="0" applyNumberFormat="1" applyFont="1" applyFill="1" applyBorder="1" applyAlignment="1">
      <alignment horizontal="center" vertical="center"/>
    </xf>
    <xf numFmtId="1" fontId="2" fillId="0" borderId="43" xfId="0" applyNumberFormat="1" applyFont="1" applyFill="1" applyBorder="1" applyAlignment="1">
      <alignment horizontal="center" vertical="center"/>
    </xf>
    <xf numFmtId="1" fontId="2" fillId="0" borderId="48" xfId="0" applyNumberFormat="1" applyFont="1" applyFill="1" applyBorder="1" applyAlignment="1">
      <alignment horizontal="center" vertical="center"/>
    </xf>
    <xf numFmtId="1" fontId="2" fillId="0" borderId="44" xfId="0" applyNumberFormat="1" applyFont="1" applyFill="1" applyBorder="1" applyAlignment="1">
      <alignment horizontal="center" vertical="center"/>
    </xf>
    <xf numFmtId="1" fontId="2" fillId="16" borderId="43" xfId="0" applyNumberFormat="1" applyFont="1" applyFill="1" applyBorder="1" applyAlignment="1">
      <alignment horizontal="center" vertical="center"/>
    </xf>
    <xf numFmtId="1" fontId="2" fillId="16" borderId="48" xfId="0" applyNumberFormat="1" applyFont="1" applyFill="1" applyBorder="1" applyAlignment="1">
      <alignment horizontal="center" vertical="center"/>
    </xf>
    <xf numFmtId="9" fontId="2" fillId="55" borderId="43" xfId="12" applyFont="1" applyFill="1" applyBorder="1" applyAlignment="1">
      <alignment horizontal="center" vertical="center"/>
    </xf>
    <xf numFmtId="9" fontId="2" fillId="55" borderId="48" xfId="12" applyFont="1" applyFill="1" applyBorder="1" applyAlignment="1">
      <alignment horizontal="center" vertical="center"/>
    </xf>
    <xf numFmtId="9" fontId="2" fillId="55" borderId="44" xfId="12" applyFont="1" applyFill="1" applyBorder="1" applyAlignment="1">
      <alignment horizontal="center" vertical="center"/>
    </xf>
    <xf numFmtId="164" fontId="2" fillId="0" borderId="43" xfId="0" applyNumberFormat="1" applyFont="1" applyFill="1" applyBorder="1" applyAlignment="1">
      <alignment horizontal="center" vertical="center"/>
    </xf>
    <xf numFmtId="164" fontId="2" fillId="0" borderId="48" xfId="0" applyNumberFormat="1" applyFont="1" applyFill="1" applyBorder="1" applyAlignment="1">
      <alignment horizontal="center" vertical="center"/>
    </xf>
    <xf numFmtId="164" fontId="2" fillId="0" borderId="44" xfId="0" applyNumberFormat="1" applyFont="1" applyFill="1" applyBorder="1" applyAlignment="1">
      <alignment horizontal="center" vertical="center"/>
    </xf>
    <xf numFmtId="164" fontId="2" fillId="0" borderId="8" xfId="0" applyNumberFormat="1" applyFont="1" applyFill="1" applyBorder="1" applyAlignment="1">
      <alignment horizontal="center" vertical="center"/>
    </xf>
    <xf numFmtId="3" fontId="2" fillId="0" borderId="43" xfId="0" applyNumberFormat="1" applyFont="1" applyFill="1" applyBorder="1" applyAlignment="1">
      <alignment horizontal="center" vertical="center"/>
    </xf>
    <xf numFmtId="3" fontId="2" fillId="0" borderId="8" xfId="0" applyNumberFormat="1" applyFont="1" applyFill="1" applyBorder="1" applyAlignment="1">
      <alignment horizontal="center" vertical="center"/>
    </xf>
    <xf numFmtId="3" fontId="2" fillId="0" borderId="48" xfId="0" applyNumberFormat="1" applyFont="1" applyFill="1" applyBorder="1" applyAlignment="1">
      <alignment horizontal="center" vertical="center"/>
    </xf>
    <xf numFmtId="0" fontId="2" fillId="0" borderId="49" xfId="5" applyFont="1" applyBorder="1" applyAlignment="1">
      <alignment vertical="center" wrapText="1"/>
    </xf>
    <xf numFmtId="0" fontId="2" fillId="0" borderId="50" xfId="5" applyFont="1" applyBorder="1" applyAlignment="1">
      <alignment vertical="center" wrapText="1"/>
    </xf>
    <xf numFmtId="0" fontId="2" fillId="51" borderId="0" xfId="0" applyFont="1" applyFill="1">
      <alignment readingOrder="1"/>
    </xf>
    <xf numFmtId="172" fontId="2" fillId="51" borderId="0" xfId="0" applyNumberFormat="1" applyFont="1" applyFill="1" applyBorder="1" applyAlignment="1">
      <alignment horizontal="center" vertical="center"/>
    </xf>
    <xf numFmtId="172" fontId="2" fillId="0" borderId="0" xfId="0" applyNumberFormat="1" applyFont="1" applyFill="1" applyBorder="1" applyAlignment="1">
      <alignment horizontal="center" vertical="center"/>
    </xf>
    <xf numFmtId="0" fontId="2" fillId="16" borderId="0" xfId="0" applyFont="1" applyFill="1">
      <alignment readingOrder="1"/>
    </xf>
    <xf numFmtId="172" fontId="2" fillId="16" borderId="0" xfId="0" applyNumberFormat="1" applyFont="1" applyFill="1" applyBorder="1" applyAlignment="1">
      <alignment horizontal="center" vertical="center"/>
    </xf>
    <xf numFmtId="0" fontId="58" fillId="0" borderId="0" xfId="0" applyFont="1">
      <alignment readingOrder="1"/>
    </xf>
    <xf numFmtId="0" fontId="2" fillId="0" borderId="0" xfId="0" applyFont="1" applyAlignment="1">
      <alignment wrapText="1"/>
    </xf>
    <xf numFmtId="0" fontId="2" fillId="0" borderId="0" xfId="0" applyFont="1" applyAlignment="1"/>
    <xf numFmtId="0" fontId="2" fillId="0" borderId="0" xfId="0" applyFont="1" applyFill="1" applyAlignment="1"/>
    <xf numFmtId="0" fontId="60" fillId="19" borderId="0" xfId="5" applyFont="1" applyFill="1">
      <alignment readingOrder="1"/>
    </xf>
    <xf numFmtId="0" fontId="2" fillId="19" borderId="0" xfId="5" applyFill="1">
      <alignment readingOrder="1"/>
    </xf>
    <xf numFmtId="168" fontId="2" fillId="0" borderId="0" xfId="43" applyNumberFormat="1" applyFont="1" applyFill="1" applyBorder="1"/>
    <xf numFmtId="0" fontId="2" fillId="0" borderId="0" xfId="135" applyFont="1" applyFill="1" applyBorder="1"/>
    <xf numFmtId="0" fontId="23" fillId="16" borderId="1" xfId="5" applyFont="1" applyFill="1" applyBorder="1" applyAlignment="1">
      <alignment horizontal="center" vertical="center" wrapText="1"/>
    </xf>
    <xf numFmtId="0" fontId="2" fillId="0" borderId="1" xfId="5" applyFill="1" applyBorder="1" applyAlignment="1">
      <alignment horizontal="left" vertical="center" wrapText="1"/>
    </xf>
    <xf numFmtId="0" fontId="2" fillId="0" borderId="1" xfId="5" applyFill="1" applyBorder="1" applyAlignment="1">
      <alignment horizontal="center" vertical="center" wrapText="1"/>
    </xf>
    <xf numFmtId="44" fontId="0" fillId="0" borderId="1" xfId="51" applyFont="1" applyBorder="1" applyAlignment="1">
      <alignment horizontal="center" readingOrder="1"/>
    </xf>
    <xf numFmtId="0" fontId="2" fillId="0" borderId="1" xfId="5" applyFont="1" applyFill="1" applyBorder="1" applyAlignment="1">
      <alignment horizontal="left" vertical="center" wrapText="1"/>
    </xf>
    <xf numFmtId="0" fontId="61" fillId="0" borderId="1" xfId="95" applyFont="1" applyFill="1" applyBorder="1" applyAlignment="1">
      <alignment horizontal="center" vertical="center"/>
    </xf>
    <xf numFmtId="44" fontId="0" fillId="53" borderId="1" xfId="51" applyFont="1" applyFill="1" applyBorder="1" applyAlignment="1">
      <alignment horizontal="center" readingOrder="1"/>
    </xf>
    <xf numFmtId="164" fontId="2" fillId="53" borderId="1" xfId="135" applyNumberFormat="1" applyFont="1" applyFill="1" applyBorder="1"/>
    <xf numFmtId="0" fontId="62" fillId="0" borderId="0" xfId="0" applyFont="1"/>
    <xf numFmtId="0" fontId="63" fillId="0" borderId="0" xfId="0" applyFont="1"/>
    <xf numFmtId="0" fontId="65" fillId="0" borderId="0" xfId="0" applyFont="1"/>
    <xf numFmtId="0" fontId="66" fillId="55" borderId="37" xfId="0" applyFont="1" applyFill="1" applyBorder="1"/>
    <xf numFmtId="0" fontId="66" fillId="55" borderId="5" xfId="0" applyFont="1" applyFill="1" applyBorder="1" applyAlignment="1">
      <alignment horizontal="center"/>
    </xf>
    <xf numFmtId="0" fontId="1" fillId="55" borderId="39" xfId="0" applyFont="1" applyFill="1" applyBorder="1"/>
    <xf numFmtId="0" fontId="1" fillId="55" borderId="19" xfId="0" applyFont="1" applyFill="1" applyBorder="1" applyAlignment="1">
      <alignment horizontal="center"/>
    </xf>
    <xf numFmtId="9" fontId="1" fillId="55" borderId="19" xfId="0" applyNumberFormat="1" applyFont="1" applyFill="1" applyBorder="1" applyAlignment="1">
      <alignment horizontal="center"/>
    </xf>
    <xf numFmtId="8" fontId="1" fillId="55" borderId="19" xfId="0" applyNumberFormat="1" applyFont="1" applyFill="1" applyBorder="1" applyAlignment="1">
      <alignment horizontal="center"/>
    </xf>
    <xf numFmtId="3" fontId="1" fillId="55" borderId="19" xfId="0" applyNumberFormat="1" applyFont="1" applyFill="1" applyBorder="1" applyAlignment="1">
      <alignment horizontal="center"/>
    </xf>
    <xf numFmtId="6" fontId="1" fillId="55" borderId="19" xfId="0" applyNumberFormat="1" applyFont="1" applyFill="1" applyBorder="1" applyAlignment="1">
      <alignment horizontal="center"/>
    </xf>
    <xf numFmtId="0" fontId="68" fillId="0" borderId="0" xfId="0" applyFont="1"/>
    <xf numFmtId="0" fontId="70" fillId="0" borderId="0" xfId="0" applyFont="1"/>
    <xf numFmtId="15" fontId="70" fillId="0" borderId="0" xfId="0" applyNumberFormat="1" applyFont="1"/>
    <xf numFmtId="0" fontId="0" fillId="18" borderId="0" xfId="0" applyFill="1"/>
    <xf numFmtId="3" fontId="1" fillId="53" borderId="19" xfId="0" applyNumberFormat="1" applyFont="1" applyFill="1" applyBorder="1" applyAlignment="1">
      <alignment horizontal="center"/>
    </xf>
    <xf numFmtId="172" fontId="0" fillId="0" borderId="0" xfId="0" applyNumberFormat="1"/>
    <xf numFmtId="9" fontId="0" fillId="0" borderId="0" xfId="8" applyFont="1"/>
    <xf numFmtId="9" fontId="71" fillId="17" borderId="0" xfId="8" applyFont="1" applyFill="1">
      <alignment readingOrder="1"/>
    </xf>
    <xf numFmtId="168" fontId="0" fillId="0" borderId="0" xfId="1" applyNumberFormat="1" applyFont="1">
      <alignment readingOrder="1"/>
    </xf>
    <xf numFmtId="177" fontId="2" fillId="0" borderId="0" xfId="1" applyNumberFormat="1" applyFont="1" applyFill="1" applyAlignment="1">
      <alignment horizontal="center" readingOrder="1"/>
    </xf>
    <xf numFmtId="43" fontId="0" fillId="0" borderId="0" xfId="1" applyNumberFormat="1" applyFont="1">
      <alignment readingOrder="1"/>
    </xf>
    <xf numFmtId="0" fontId="23" fillId="2" borderId="1" xfId="0" applyFont="1" applyFill="1" applyBorder="1" applyAlignment="1">
      <alignment horizontal="center"/>
    </xf>
    <xf numFmtId="0" fontId="24" fillId="2" borderId="7" xfId="0" applyFont="1" applyFill="1" applyBorder="1" applyAlignment="1">
      <alignment horizontal="center" readingOrder="1"/>
    </xf>
    <xf numFmtId="0" fontId="24" fillId="2" borderId="2" xfId="0" applyFont="1" applyFill="1" applyBorder="1" applyAlignment="1">
      <alignment horizontal="center" readingOrder="1"/>
    </xf>
    <xf numFmtId="0" fontId="24" fillId="0" borderId="0" xfId="0" applyFont="1"/>
    <xf numFmtId="9" fontId="24" fillId="0" borderId="0" xfId="0" applyNumberFormat="1" applyFont="1"/>
    <xf numFmtId="178" fontId="0" fillId="0" borderId="0" xfId="0" applyNumberFormat="1">
      <alignment readingOrder="1"/>
    </xf>
    <xf numFmtId="164" fontId="23" fillId="19" borderId="1" xfId="0" applyNumberFormat="1" applyFont="1" applyFill="1" applyBorder="1"/>
    <xf numFmtId="0" fontId="23" fillId="2" borderId="22" xfId="0" applyFont="1" applyFill="1" applyBorder="1"/>
    <xf numFmtId="0" fontId="23" fillId="2" borderId="23" xfId="0" applyFont="1" applyFill="1" applyBorder="1"/>
    <xf numFmtId="0" fontId="23" fillId="2" borderId="24" xfId="0" applyFont="1" applyFill="1" applyBorder="1"/>
    <xf numFmtId="0" fontId="23" fillId="2" borderId="25" xfId="0" applyFont="1" applyFill="1" applyBorder="1"/>
    <xf numFmtId="179" fontId="14" fillId="11" borderId="8" xfId="0" applyNumberFormat="1" applyFont="1" applyFill="1" applyBorder="1" applyAlignment="1">
      <alignment horizontal="center" wrapText="1" readingOrder="1"/>
    </xf>
    <xf numFmtId="14" fontId="14" fillId="11" borderId="8" xfId="0" applyNumberFormat="1" applyFont="1" applyFill="1" applyBorder="1" applyAlignment="1">
      <alignment horizontal="center" wrapText="1" readingOrder="1"/>
    </xf>
    <xf numFmtId="0" fontId="23" fillId="22" borderId="1" xfId="0" applyFont="1" applyFill="1" applyBorder="1"/>
    <xf numFmtId="0" fontId="23" fillId="22" borderId="1" xfId="0" applyFont="1" applyFill="1" applyBorder="1" applyAlignment="1">
      <alignment horizontal="center"/>
    </xf>
    <xf numFmtId="167" fontId="0" fillId="22" borderId="0" xfId="0" applyNumberFormat="1" applyFill="1" applyAlignment="1">
      <alignment horizontal="center" readingOrder="1"/>
    </xf>
    <xf numFmtId="164" fontId="0" fillId="22" borderId="0" xfId="0" applyNumberFormat="1" applyFill="1" applyAlignment="1">
      <alignment horizontal="center" readingOrder="1"/>
    </xf>
    <xf numFmtId="0" fontId="0" fillId="22" borderId="0" xfId="0" applyFill="1">
      <alignment readingOrder="1"/>
    </xf>
    <xf numFmtId="177" fontId="0" fillId="22" borderId="0" xfId="1" applyNumberFormat="1" applyFont="1" applyFill="1">
      <alignment readingOrder="1"/>
    </xf>
    <xf numFmtId="168" fontId="0" fillId="22" borderId="0" xfId="14" applyNumberFormat="1" applyFont="1" applyFill="1" applyAlignment="1">
      <alignment horizontal="center" readingOrder="1"/>
    </xf>
    <xf numFmtId="0" fontId="23" fillId="0" borderId="0" xfId="0" applyFont="1" applyFill="1" applyBorder="1"/>
    <xf numFmtId="0" fontId="23" fillId="0" borderId="0" xfId="0" applyFont="1" applyFill="1" applyBorder="1" applyAlignment="1">
      <alignment horizontal="center"/>
    </xf>
    <xf numFmtId="167" fontId="0" fillId="0" borderId="0" xfId="0" applyNumberFormat="1" applyFill="1" applyBorder="1" applyAlignment="1">
      <alignment horizontal="center" readingOrder="1"/>
    </xf>
    <xf numFmtId="1" fontId="0" fillId="0" borderId="0" xfId="0" applyNumberFormat="1" applyFill="1" applyBorder="1" applyAlignment="1">
      <alignment horizontal="center" readingOrder="1"/>
    </xf>
    <xf numFmtId="0" fontId="0" fillId="0" borderId="0" xfId="0" applyFill="1" applyBorder="1">
      <alignment readingOrder="1"/>
    </xf>
    <xf numFmtId="164" fontId="0" fillId="0" borderId="0" xfId="0" applyNumberFormat="1" applyFill="1" applyBorder="1">
      <alignment readingOrder="1"/>
    </xf>
    <xf numFmtId="43" fontId="0" fillId="0" borderId="0" xfId="14" applyFont="1" applyFill="1" applyBorder="1" applyAlignment="1">
      <alignment horizontal="center" readingOrder="1"/>
    </xf>
    <xf numFmtId="0" fontId="0" fillId="2" borderId="22" xfId="0" applyFill="1" applyBorder="1">
      <alignment readingOrder="1"/>
    </xf>
    <xf numFmtId="0" fontId="18" fillId="17" borderId="22" xfId="0" applyFont="1" applyFill="1" applyBorder="1">
      <alignment readingOrder="1"/>
    </xf>
    <xf numFmtId="0" fontId="18" fillId="17" borderId="23" xfId="0" applyFont="1" applyFill="1" applyBorder="1">
      <alignment readingOrder="1"/>
    </xf>
    <xf numFmtId="0" fontId="0" fillId="2" borderId="27" xfId="0" applyFill="1" applyBorder="1">
      <alignment readingOrder="1"/>
    </xf>
    <xf numFmtId="0" fontId="0" fillId="2" borderId="0" xfId="0" applyFill="1" applyBorder="1">
      <alignment readingOrder="1"/>
    </xf>
    <xf numFmtId="0" fontId="18" fillId="17" borderId="0" xfId="0" applyFont="1" applyFill="1" applyBorder="1">
      <alignment readingOrder="1"/>
    </xf>
    <xf numFmtId="0" fontId="0" fillId="2" borderId="0" xfId="0" applyFill="1" applyBorder="1" applyAlignment="1">
      <alignment vertical="center" wrapText="1" readingOrder="1"/>
    </xf>
    <xf numFmtId="0" fontId="0" fillId="2" borderId="11" xfId="0" applyFill="1" applyBorder="1">
      <alignment readingOrder="1"/>
    </xf>
    <xf numFmtId="43" fontId="0" fillId="19" borderId="24" xfId="0" applyNumberFormat="1" applyFill="1" applyBorder="1">
      <alignment readingOrder="1"/>
    </xf>
    <xf numFmtId="0" fontId="0" fillId="19" borderId="25" xfId="0" applyFill="1" applyBorder="1">
      <alignment readingOrder="1"/>
    </xf>
    <xf numFmtId="168" fontId="2" fillId="0" borderId="0" xfId="1" applyNumberFormat="1" applyFont="1" applyFill="1" applyAlignment="1">
      <alignment horizontal="center" readingOrder="1"/>
    </xf>
    <xf numFmtId="180" fontId="0" fillId="22" borderId="0" xfId="1" applyNumberFormat="1" applyFont="1" applyFill="1">
      <alignment readingOrder="1"/>
    </xf>
    <xf numFmtId="180" fontId="0" fillId="0" borderId="0" xfId="1" applyNumberFormat="1" applyFont="1" applyAlignment="1">
      <alignment horizontal="right" readingOrder="1"/>
    </xf>
    <xf numFmtId="44" fontId="2" fillId="0" borderId="0" xfId="133" applyFont="1">
      <alignment readingOrder="1"/>
    </xf>
    <xf numFmtId="43" fontId="61" fillId="0" borderId="1" xfId="177" applyFont="1" applyFill="1" applyBorder="1" applyAlignment="1">
      <alignment vertical="center" wrapText="1"/>
    </xf>
    <xf numFmtId="0" fontId="22" fillId="0" borderId="0" xfId="5" applyFont="1" applyBorder="1">
      <alignment readingOrder="1"/>
    </xf>
    <xf numFmtId="0" fontId="5" fillId="0" borderId="0" xfId="0" applyFont="1" applyAlignment="1">
      <alignment horizontal="right"/>
    </xf>
    <xf numFmtId="0" fontId="5" fillId="0" borderId="18" xfId="0" applyFont="1" applyBorder="1" applyAlignment="1">
      <alignment horizontal="right"/>
    </xf>
    <xf numFmtId="0" fontId="23" fillId="79" borderId="43" xfId="101" applyFont="1" applyFill="1" applyBorder="1"/>
    <xf numFmtId="181" fontId="2" fillId="0" borderId="0" xfId="5" applyNumberFormat="1">
      <alignment readingOrder="1"/>
    </xf>
    <xf numFmtId="0" fontId="52" fillId="0" borderId="39" xfId="5" applyFont="1" applyBorder="1" applyAlignment="1">
      <alignment horizontal="center"/>
    </xf>
    <xf numFmtId="0" fontId="52" fillId="0" borderId="19" xfId="5" applyFont="1" applyBorder="1" applyAlignment="1">
      <alignment horizontal="center"/>
    </xf>
    <xf numFmtId="6" fontId="52" fillId="0" borderId="19" xfId="5" applyNumberFormat="1" applyFont="1" applyBorder="1" applyAlignment="1">
      <alignment horizontal="center"/>
    </xf>
    <xf numFmtId="1" fontId="0" fillId="0" borderId="0" xfId="0" quotePrefix="1" applyNumberFormat="1">
      <alignment readingOrder="1"/>
    </xf>
    <xf numFmtId="0" fontId="18" fillId="17" borderId="0" xfId="0" applyFont="1" applyFill="1"/>
    <xf numFmtId="0" fontId="0" fillId="4" borderId="6" xfId="0" applyNumberFormat="1" applyFill="1" applyBorder="1" applyAlignment="1">
      <alignment horizontal="left" vertical="center" wrapText="1" readingOrder="1"/>
    </xf>
    <xf numFmtId="0" fontId="0" fillId="4" borderId="22" xfId="0" applyNumberFormat="1" applyFill="1" applyBorder="1" applyAlignment="1">
      <alignment horizontal="left" vertical="center" wrapText="1" readingOrder="1"/>
    </xf>
    <xf numFmtId="0" fontId="0" fillId="4" borderId="23" xfId="0" applyNumberFormat="1" applyFill="1" applyBorder="1" applyAlignment="1">
      <alignment horizontal="left" vertical="center" wrapText="1" readingOrder="1"/>
    </xf>
    <xf numFmtId="0" fontId="0" fillId="4" borderId="27" xfId="0" applyNumberFormat="1" applyFill="1" applyBorder="1" applyAlignment="1">
      <alignment horizontal="left" vertical="center" wrapText="1" readingOrder="1"/>
    </xf>
    <xf numFmtId="0" fontId="0" fillId="4" borderId="0" xfId="0" applyNumberFormat="1" applyFill="1" applyBorder="1" applyAlignment="1">
      <alignment horizontal="left" vertical="center" wrapText="1" readingOrder="1"/>
    </xf>
    <xf numFmtId="0" fontId="0" fillId="4" borderId="28" xfId="0" applyNumberFormat="1" applyFill="1" applyBorder="1" applyAlignment="1">
      <alignment horizontal="left" vertical="center" wrapText="1" readingOrder="1"/>
    </xf>
    <xf numFmtId="0" fontId="0" fillId="4" borderId="11" xfId="0" applyNumberFormat="1" applyFill="1" applyBorder="1" applyAlignment="1">
      <alignment horizontal="left" vertical="center" wrapText="1" readingOrder="1"/>
    </xf>
    <xf numFmtId="0" fontId="0" fillId="4" borderId="24" xfId="0" applyNumberFormat="1" applyFill="1" applyBorder="1" applyAlignment="1">
      <alignment horizontal="left" vertical="center" wrapText="1" readingOrder="1"/>
    </xf>
    <xf numFmtId="0" fontId="0" fillId="4" borderId="25" xfId="0" applyNumberForma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xf numFmtId="0" fontId="2" fillId="0" borderId="7" xfId="5" applyBorder="1" applyAlignment="1">
      <alignment horizontal="center" vertical="center" wrapText="1" readingOrder="1"/>
    </xf>
    <xf numFmtId="0" fontId="2" fillId="0" borderId="26" xfId="5" applyBorder="1" applyAlignment="1">
      <alignment horizontal="center" vertical="center" wrapText="1" readingOrder="1"/>
    </xf>
    <xf numFmtId="0" fontId="2" fillId="0" borderId="2" xfId="5" applyBorder="1" applyAlignment="1">
      <alignment horizontal="center" vertical="center" wrapText="1" readingOrder="1"/>
    </xf>
    <xf numFmtId="0" fontId="2" fillId="0" borderId="7" xfId="5" applyBorder="1" applyAlignment="1">
      <alignment horizontal="left" vertical="center" wrapText="1" readingOrder="1"/>
    </xf>
    <xf numFmtId="0" fontId="2" fillId="0" borderId="26" xfId="5" applyBorder="1" applyAlignment="1">
      <alignment horizontal="left" vertical="center" wrapText="1" readingOrder="1"/>
    </xf>
    <xf numFmtId="0" fontId="2" fillId="0" borderId="2" xfId="5" applyBorder="1" applyAlignment="1">
      <alignment horizontal="left" vertical="center" wrapText="1" readingOrder="1"/>
    </xf>
    <xf numFmtId="0" fontId="2" fillId="0" borderId="23" xfId="5" applyBorder="1" applyAlignment="1">
      <alignment horizontal="center" vertical="center" wrapText="1" readingOrder="1"/>
    </xf>
    <xf numFmtId="0" fontId="2" fillId="0" borderId="28" xfId="5" applyBorder="1" applyAlignment="1">
      <alignment horizontal="center" vertical="center" wrapText="1" readingOrder="1"/>
    </xf>
    <xf numFmtId="0" fontId="2" fillId="0" borderId="25" xfId="5" applyBorder="1" applyAlignment="1">
      <alignment horizontal="center" vertical="center" wrapText="1" readingOrder="1"/>
    </xf>
    <xf numFmtId="0" fontId="2" fillId="0" borderId="1" xfId="5" applyFont="1" applyBorder="1" applyAlignment="1">
      <alignment horizontal="center" vertical="center" wrapText="1" readingOrder="1"/>
    </xf>
    <xf numFmtId="9" fontId="2" fillId="0" borderId="7" xfId="5" applyNumberFormat="1" applyBorder="1" applyAlignment="1">
      <alignment horizontal="center" vertical="center" wrapText="1" readingOrder="1"/>
    </xf>
    <xf numFmtId="9" fontId="2" fillId="0" borderId="26" xfId="5" applyNumberFormat="1" applyBorder="1" applyAlignment="1">
      <alignment horizontal="center" vertical="center" wrapText="1" readingOrder="1"/>
    </xf>
    <xf numFmtId="9" fontId="2" fillId="0" borderId="2" xfId="5" applyNumberFormat="1" applyBorder="1" applyAlignment="1">
      <alignment horizontal="center" vertical="center" wrapText="1" readingOrder="1"/>
    </xf>
    <xf numFmtId="0" fontId="2" fillId="0" borderId="6" xfId="5" applyBorder="1" applyAlignment="1">
      <alignment horizontal="center" vertical="center" wrapText="1" readingOrder="1"/>
    </xf>
    <xf numFmtId="0" fontId="2" fillId="0" borderId="27" xfId="5" applyBorder="1" applyAlignment="1">
      <alignment horizontal="center" vertical="center" wrapText="1" readingOrder="1"/>
    </xf>
    <xf numFmtId="0" fontId="2" fillId="0" borderId="11" xfId="5" applyBorder="1" applyAlignment="1">
      <alignment horizontal="center" vertical="center" wrapText="1" readingOrder="1"/>
    </xf>
    <xf numFmtId="0" fontId="2" fillId="0" borderId="7" xfId="5" applyBorder="1" applyAlignment="1">
      <alignment horizontal="center" vertical="center" readingOrder="1"/>
    </xf>
    <xf numFmtId="0" fontId="2" fillId="0" borderId="26" xfId="5" applyBorder="1" applyAlignment="1">
      <alignment horizontal="center" vertical="center" readingOrder="1"/>
    </xf>
    <xf numFmtId="0" fontId="2" fillId="0" borderId="2" xfId="5" applyBorder="1" applyAlignment="1">
      <alignment horizontal="center" vertical="center" readingOrder="1"/>
    </xf>
    <xf numFmtId="0" fontId="2" fillId="0" borderId="7" xfId="5" applyFont="1" applyBorder="1" applyAlignment="1">
      <alignment horizontal="center" vertical="top" wrapText="1" readingOrder="1"/>
    </xf>
    <xf numFmtId="0" fontId="2" fillId="0" borderId="26" xfId="5" applyFont="1" applyBorder="1" applyAlignment="1">
      <alignment horizontal="center" vertical="top" wrapText="1" readingOrder="1"/>
    </xf>
    <xf numFmtId="0" fontId="2" fillId="0" borderId="2" xfId="5" applyFont="1" applyBorder="1" applyAlignment="1">
      <alignment horizontal="center" vertical="top" wrapText="1" readingOrder="1"/>
    </xf>
    <xf numFmtId="9" fontId="2" fillId="0" borderId="8" xfId="5" applyNumberFormat="1" applyFont="1" applyBorder="1" applyAlignment="1">
      <alignment horizontal="center" vertical="center" wrapText="1" readingOrder="1"/>
    </xf>
    <xf numFmtId="0" fontId="2" fillId="0" borderId="6" xfId="5" applyFill="1" applyBorder="1" applyAlignment="1">
      <alignment horizontal="center" vertical="center" wrapText="1" readingOrder="1"/>
    </xf>
    <xf numFmtId="0" fontId="2" fillId="0" borderId="27" xfId="5" applyFill="1" applyBorder="1" applyAlignment="1">
      <alignment horizontal="center" vertical="center" wrapText="1" readingOrder="1"/>
    </xf>
    <xf numFmtId="0" fontId="2" fillId="0" borderId="11" xfId="5" applyFill="1" applyBorder="1" applyAlignment="1">
      <alignment horizontal="center" vertical="center" wrapText="1" readingOrder="1"/>
    </xf>
    <xf numFmtId="0" fontId="2" fillId="0" borderId="7" xfId="5" applyFont="1" applyFill="1" applyBorder="1" applyAlignment="1">
      <alignment horizontal="center" vertical="center" wrapText="1" readingOrder="1"/>
    </xf>
    <xf numFmtId="0" fontId="2" fillId="0" borderId="26" xfId="5" applyFont="1" applyFill="1" applyBorder="1" applyAlignment="1">
      <alignment horizontal="center" vertical="center" wrapText="1" readingOrder="1"/>
    </xf>
    <xf numFmtId="0" fontId="2" fillId="0" borderId="2" xfId="5" applyFont="1" applyFill="1" applyBorder="1" applyAlignment="1">
      <alignment horizontal="center" vertical="center" wrapText="1" readingOrder="1"/>
    </xf>
    <xf numFmtId="0" fontId="2" fillId="0" borderId="7" xfId="5" applyFill="1" applyBorder="1" applyAlignment="1">
      <alignment horizontal="left" vertical="center" wrapText="1" readingOrder="1"/>
    </xf>
    <xf numFmtId="0" fontId="2" fillId="0" borderId="26" xfId="5" applyFill="1" applyBorder="1" applyAlignment="1">
      <alignment horizontal="left" vertical="center" wrapText="1" readingOrder="1"/>
    </xf>
    <xf numFmtId="0" fontId="2" fillId="0" borderId="2" xfId="5" applyFill="1" applyBorder="1" applyAlignment="1">
      <alignment horizontal="left" vertical="center" wrapText="1" readingOrder="1"/>
    </xf>
    <xf numFmtId="0" fontId="2" fillId="0" borderId="7" xfId="5" applyFill="1" applyBorder="1" applyAlignment="1">
      <alignment horizontal="center" vertical="center" wrapText="1" readingOrder="1"/>
    </xf>
    <xf numFmtId="0" fontId="2" fillId="0" borderId="26" xfId="5" applyFill="1" applyBorder="1" applyAlignment="1">
      <alignment horizontal="center" vertical="center" wrapText="1" readingOrder="1"/>
    </xf>
    <xf numFmtId="0" fontId="2" fillId="0" borderId="2" xfId="5" applyFill="1" applyBorder="1" applyAlignment="1">
      <alignment horizontal="center" vertical="center" wrapText="1" readingOrder="1"/>
    </xf>
    <xf numFmtId="9" fontId="2" fillId="0" borderId="9" xfId="12" applyFont="1" applyFill="1" applyBorder="1" applyAlignment="1">
      <alignment horizontal="center" vertical="center" wrapText="1"/>
    </xf>
    <xf numFmtId="9" fontId="2" fillId="0" borderId="10" xfId="12" applyFont="1" applyFill="1" applyBorder="1" applyAlignment="1">
      <alignment horizontal="center" vertical="center" wrapText="1"/>
    </xf>
    <xf numFmtId="9" fontId="2" fillId="0" borderId="8" xfId="12" applyFont="1" applyFill="1" applyBorder="1" applyAlignment="1">
      <alignment horizontal="center" vertical="center" wrapText="1"/>
    </xf>
    <xf numFmtId="0" fontId="2" fillId="0" borderId="9" xfId="11" applyFont="1" applyFill="1" applyBorder="1" applyAlignment="1">
      <alignment horizontal="center" vertical="center" wrapText="1"/>
    </xf>
    <xf numFmtId="0" fontId="2" fillId="0" borderId="8" xfId="11" applyFont="1" applyFill="1" applyBorder="1" applyAlignment="1">
      <alignment horizontal="center" vertical="center" wrapText="1"/>
    </xf>
    <xf numFmtId="0" fontId="2" fillId="0" borderId="7" xfId="10" applyFont="1" applyBorder="1" applyAlignment="1">
      <alignment horizontal="center" vertical="center" wrapText="1"/>
    </xf>
    <xf numFmtId="0" fontId="2" fillId="0" borderId="26" xfId="10" applyFont="1" applyBorder="1" applyAlignment="1">
      <alignment horizontal="center" vertical="center" wrapText="1"/>
    </xf>
    <xf numFmtId="0" fontId="2" fillId="0" borderId="2" xfId="10" applyFont="1" applyBorder="1" applyAlignment="1">
      <alignment horizontal="center" vertical="center" wrapText="1"/>
    </xf>
    <xf numFmtId="0" fontId="2" fillId="27" borderId="1" xfId="10" applyFont="1" applyFill="1" applyBorder="1" applyAlignment="1">
      <alignment horizontal="center" vertical="center" wrapText="1"/>
    </xf>
    <xf numFmtId="0" fontId="2" fillId="0" borderId="7" xfId="13" applyFont="1" applyBorder="1" applyAlignment="1">
      <alignment horizontal="center" vertical="center" wrapText="1"/>
    </xf>
    <xf numFmtId="0" fontId="2" fillId="0" borderId="26" xfId="13" applyFont="1" applyBorder="1" applyAlignment="1">
      <alignment horizontal="center" vertical="center" wrapText="1"/>
    </xf>
    <xf numFmtId="0" fontId="2" fillId="0" borderId="2" xfId="13" applyFont="1" applyBorder="1" applyAlignment="1">
      <alignment horizontal="center" vertical="center" wrapText="1"/>
    </xf>
    <xf numFmtId="0" fontId="2" fillId="0" borderId="1" xfId="10" applyFont="1" applyBorder="1" applyAlignment="1">
      <alignment horizontal="center" vertical="center" wrapText="1"/>
    </xf>
    <xf numFmtId="0" fontId="2" fillId="0" borderId="10" xfId="11" applyFont="1" applyFill="1" applyBorder="1" applyAlignment="1">
      <alignment horizontal="center" vertical="center" wrapText="1"/>
    </xf>
    <xf numFmtId="3" fontId="2" fillId="0" borderId="9" xfId="11" applyNumberFormat="1" applyFont="1" applyFill="1" applyBorder="1" applyAlignment="1">
      <alignment horizontal="center" vertical="center" wrapText="1"/>
    </xf>
    <xf numFmtId="0" fontId="3" fillId="24" borderId="9" xfId="5" applyFont="1" applyFill="1" applyBorder="1" applyAlignment="1">
      <alignment horizontal="center" readingOrder="1"/>
    </xf>
    <xf numFmtId="0" fontId="3" fillId="24" borderId="10" xfId="5" applyFont="1" applyFill="1" applyBorder="1" applyAlignment="1">
      <alignment horizontal="center" readingOrder="1"/>
    </xf>
    <xf numFmtId="0" fontId="3" fillId="24" borderId="8" xfId="5" applyFont="1" applyFill="1" applyBorder="1" applyAlignment="1">
      <alignment horizontal="center" readingOrder="1"/>
    </xf>
    <xf numFmtId="0" fontId="3" fillId="24" borderId="1" xfId="5" applyFont="1" applyFill="1" applyBorder="1" applyAlignment="1">
      <alignment horizontal="center" readingOrder="1"/>
    </xf>
    <xf numFmtId="0" fontId="2" fillId="0" borderId="9" xfId="10" applyFont="1" applyBorder="1" applyAlignment="1">
      <alignment horizontal="center" vertical="center" wrapText="1"/>
    </xf>
    <xf numFmtId="0" fontId="2" fillId="0" borderId="10" xfId="10" applyFont="1" applyBorder="1" applyAlignment="1">
      <alignment horizontal="center" vertical="center" wrapText="1"/>
    </xf>
    <xf numFmtId="0" fontId="2" fillId="0" borderId="8" xfId="10" applyFont="1" applyBorder="1" applyAlignment="1">
      <alignment horizontal="center" vertical="center" wrapText="1"/>
    </xf>
    <xf numFmtId="0" fontId="3" fillId="25" borderId="9" xfId="5" applyFont="1" applyFill="1" applyBorder="1" applyAlignment="1">
      <alignment horizontal="center" readingOrder="1"/>
    </xf>
    <xf numFmtId="0" fontId="3" fillId="25" borderId="10" xfId="5" applyFont="1" applyFill="1" applyBorder="1" applyAlignment="1">
      <alignment horizontal="center" readingOrder="1"/>
    </xf>
    <xf numFmtId="0" fontId="3" fillId="25" borderId="8" xfId="5" applyFont="1" applyFill="1" applyBorder="1" applyAlignment="1">
      <alignment horizontal="center" readingOrder="1"/>
    </xf>
    <xf numFmtId="0" fontId="3" fillId="25" borderId="1" xfId="5" applyFont="1" applyFill="1" applyBorder="1" applyAlignment="1">
      <alignment horizontal="center" readingOrder="1"/>
    </xf>
    <xf numFmtId="0" fontId="2" fillId="23" borderId="9" xfId="10" applyFill="1" applyBorder="1" applyAlignment="1">
      <alignment horizontal="left" wrapText="1"/>
    </xf>
    <xf numFmtId="0" fontId="2" fillId="23" borderId="10" xfId="10" applyFill="1" applyBorder="1" applyAlignment="1">
      <alignment horizontal="left" wrapText="1"/>
    </xf>
    <xf numFmtId="0" fontId="2" fillId="23" borderId="8" xfId="10" applyFill="1" applyBorder="1" applyAlignment="1">
      <alignment horizontal="left" wrapText="1"/>
    </xf>
    <xf numFmtId="0" fontId="3" fillId="22" borderId="0" xfId="5" applyFont="1" applyFill="1">
      <alignment readingOrder="1"/>
    </xf>
    <xf numFmtId="0" fontId="3" fillId="23" borderId="9" xfId="5" applyFont="1" applyFill="1" applyBorder="1" applyAlignment="1">
      <alignment horizontal="left" wrapText="1" readingOrder="1"/>
    </xf>
    <xf numFmtId="0" fontId="3" fillId="23" borderId="10" xfId="5" applyFont="1" applyFill="1" applyBorder="1" applyAlignment="1">
      <alignment horizontal="left" wrapText="1" readingOrder="1"/>
    </xf>
    <xf numFmtId="0" fontId="3" fillId="23" borderId="8" xfId="5" applyFont="1" applyFill="1" applyBorder="1" applyAlignment="1">
      <alignment horizontal="left" wrapText="1" readingOrder="1"/>
    </xf>
    <xf numFmtId="14" fontId="2" fillId="23" borderId="9" xfId="10" applyNumberFormat="1" applyFill="1" applyBorder="1" applyAlignment="1">
      <alignment horizontal="left" wrapText="1"/>
    </xf>
    <xf numFmtId="14" fontId="2" fillId="23" borderId="10" xfId="10" applyNumberFormat="1" applyFill="1" applyBorder="1" applyAlignment="1">
      <alignment horizontal="left" wrapText="1"/>
    </xf>
    <xf numFmtId="14" fontId="2" fillId="23" borderId="8" xfId="10" applyNumberFormat="1" applyFill="1" applyBorder="1" applyAlignment="1">
      <alignment horizontal="left" wrapText="1"/>
    </xf>
    <xf numFmtId="9" fontId="2" fillId="0" borderId="7" xfId="13" applyNumberFormat="1" applyFont="1" applyFill="1" applyBorder="1" applyAlignment="1">
      <alignment horizontal="center" vertical="center" wrapText="1" readingOrder="1"/>
    </xf>
    <xf numFmtId="9" fontId="2" fillId="0" borderId="26" xfId="13" applyNumberFormat="1" applyFont="1" applyFill="1" applyBorder="1" applyAlignment="1">
      <alignment horizontal="center" vertical="center" wrapText="1" readingOrder="1"/>
    </xf>
    <xf numFmtId="9" fontId="2" fillId="0" borderId="2" xfId="13" applyNumberFormat="1" applyFont="1" applyFill="1" applyBorder="1" applyAlignment="1">
      <alignment horizontal="center" vertical="center" wrapText="1" readingOrder="1"/>
    </xf>
    <xf numFmtId="9" fontId="2" fillId="0" borderId="9" xfId="11" applyNumberFormat="1" applyFont="1" applyFill="1" applyBorder="1" applyAlignment="1">
      <alignment horizontal="center" vertical="center" wrapText="1"/>
    </xf>
    <xf numFmtId="0" fontId="2" fillId="0" borderId="1" xfId="13" applyFont="1" applyBorder="1" applyAlignment="1">
      <alignment horizontal="center" vertical="center" wrapText="1"/>
    </xf>
    <xf numFmtId="0" fontId="3" fillId="22" borderId="0" xfId="0" applyFont="1" applyFill="1">
      <alignment readingOrder="1"/>
    </xf>
    <xf numFmtId="0" fontId="2" fillId="0" borderId="7" xfId="11" applyFont="1" applyBorder="1" applyAlignment="1">
      <alignment horizontal="center" vertical="center" wrapText="1"/>
    </xf>
    <xf numFmtId="0" fontId="2" fillId="0" borderId="26" xfId="11" applyFont="1" applyBorder="1" applyAlignment="1">
      <alignment horizontal="center" vertical="center" wrapText="1"/>
    </xf>
    <xf numFmtId="0" fontId="2" fillId="0" borderId="2" xfId="11" applyFont="1" applyBorder="1" applyAlignment="1">
      <alignment horizontal="center" vertical="center" wrapText="1"/>
    </xf>
    <xf numFmtId="176" fontId="2" fillId="0" borderId="9" xfId="14" applyNumberFormat="1" applyFont="1" applyFill="1" applyBorder="1" applyAlignment="1">
      <alignment horizontal="center" vertical="center" wrapText="1"/>
    </xf>
    <xf numFmtId="176" fontId="2" fillId="0" borderId="10" xfId="14" applyNumberFormat="1" applyFont="1" applyFill="1" applyBorder="1" applyAlignment="1">
      <alignment horizontal="center" vertical="center" wrapText="1"/>
    </xf>
    <xf numFmtId="176" fontId="2" fillId="0" borderId="8" xfId="14" applyNumberFormat="1" applyFont="1" applyFill="1" applyBorder="1" applyAlignment="1">
      <alignment horizontal="center" vertical="center" wrapText="1"/>
    </xf>
    <xf numFmtId="0" fontId="2" fillId="27" borderId="7" xfId="10" applyFont="1" applyFill="1" applyBorder="1" applyAlignment="1">
      <alignment horizontal="center" vertical="center" wrapText="1"/>
    </xf>
    <xf numFmtId="0" fontId="2" fillId="27" borderId="2" xfId="10" applyFont="1" applyFill="1" applyBorder="1" applyAlignment="1">
      <alignment horizontal="center" vertical="center" wrapText="1"/>
    </xf>
    <xf numFmtId="0" fontId="2" fillId="0" borderId="7" xfId="13" applyFont="1" applyFill="1" applyBorder="1" applyAlignment="1">
      <alignment horizontal="center" vertical="center" wrapText="1" readingOrder="1"/>
    </xf>
    <xf numFmtId="0" fontId="2" fillId="0" borderId="2" xfId="13" applyFont="1" applyFill="1" applyBorder="1" applyAlignment="1">
      <alignment horizontal="center" vertical="center" wrapText="1" readingOrder="1"/>
    </xf>
    <xf numFmtId="0" fontId="2" fillId="0" borderId="1" xfId="13" applyFont="1" applyFill="1" applyBorder="1" applyAlignment="1">
      <alignment horizontal="center" vertical="center" wrapText="1"/>
    </xf>
    <xf numFmtId="0" fontId="3" fillId="56" borderId="40" xfId="0" applyFont="1" applyFill="1" applyBorder="1" applyAlignment="1">
      <alignment horizontal="center" readingOrder="1"/>
    </xf>
    <xf numFmtId="0" fontId="3" fillId="56" borderId="42" xfId="0" applyFont="1" applyFill="1" applyBorder="1" applyAlignment="1">
      <alignment horizontal="center" readingOrder="1"/>
    </xf>
    <xf numFmtId="0" fontId="24" fillId="51" borderId="3" xfId="101" applyFont="1" applyFill="1" applyBorder="1" applyAlignment="1">
      <alignment horizontal="center"/>
    </xf>
    <xf numFmtId="0" fontId="24" fillId="51" borderId="4" xfId="101" applyFont="1" applyFill="1" applyBorder="1" applyAlignment="1">
      <alignment horizontal="center"/>
    </xf>
    <xf numFmtId="0" fontId="24" fillId="51" borderId="5" xfId="101" applyFont="1" applyFill="1" applyBorder="1" applyAlignment="1">
      <alignment horizontal="center"/>
    </xf>
    <xf numFmtId="3" fontId="2" fillId="0" borderId="43" xfId="0" applyNumberFormat="1" applyFont="1" applyFill="1" applyBorder="1" applyAlignment="1">
      <alignment horizontal="center" vertical="center"/>
    </xf>
    <xf numFmtId="3" fontId="2" fillId="0" borderId="44" xfId="0" applyNumberFormat="1" applyFont="1" applyFill="1" applyBorder="1" applyAlignment="1">
      <alignment horizontal="center" vertical="center"/>
    </xf>
    <xf numFmtId="172" fontId="2" fillId="0" borderId="50" xfId="0" applyNumberFormat="1" applyFont="1" applyFill="1" applyBorder="1" applyAlignment="1">
      <alignment horizontal="center" vertical="center"/>
    </xf>
    <xf numFmtId="172" fontId="2" fillId="0" borderId="51" xfId="0" applyNumberFormat="1" applyFont="1" applyFill="1" applyBorder="1" applyAlignment="1">
      <alignment horizontal="center" vertical="center"/>
    </xf>
    <xf numFmtId="172" fontId="2" fillId="0" borderId="45" xfId="0" applyNumberFormat="1" applyFont="1" applyFill="1" applyBorder="1" applyAlignment="1">
      <alignment horizontal="center" vertical="center"/>
    </xf>
    <xf numFmtId="172" fontId="2" fillId="0" borderId="47" xfId="0" applyNumberFormat="1" applyFont="1" applyFill="1" applyBorder="1" applyAlignment="1">
      <alignment horizontal="center" vertical="center"/>
    </xf>
    <xf numFmtId="0" fontId="3" fillId="0" borderId="0" xfId="135" applyFont="1" applyFill="1" applyBorder="1" applyAlignment="1">
      <alignment horizontal="left" wrapText="1"/>
    </xf>
    <xf numFmtId="0" fontId="1" fillId="55" borderId="52" xfId="0" applyFont="1" applyFill="1" applyBorder="1"/>
    <xf numFmtId="0" fontId="1" fillId="55" borderId="39" xfId="0" applyFont="1" applyFill="1" applyBorder="1"/>
    <xf numFmtId="0" fontId="1" fillId="55" borderId="52" xfId="0" applyFont="1" applyFill="1" applyBorder="1" applyAlignment="1">
      <alignment horizontal="center"/>
    </xf>
    <xf numFmtId="0" fontId="1" fillId="55" borderId="39" xfId="0" applyFont="1" applyFill="1" applyBorder="1" applyAlignment="1">
      <alignment horizontal="center"/>
    </xf>
  </cellXfs>
  <cellStyles count="2127">
    <cellStyle name="20% - Accent1 2" xfId="15"/>
    <cellStyle name="20% - Accent1 2 2" xfId="136"/>
    <cellStyle name="20% - Accent2 2" xfId="16"/>
    <cellStyle name="20% - Accent2 2 2" xfId="137"/>
    <cellStyle name="20% - Accent3 2" xfId="17"/>
    <cellStyle name="20% - Accent3 2 2" xfId="138"/>
    <cellStyle name="20% - Accent4 2" xfId="18"/>
    <cellStyle name="20% - Accent4 2 2" xfId="139"/>
    <cellStyle name="20% - Accent5 2" xfId="19"/>
    <cellStyle name="20% - Accent5 2 2" xfId="140"/>
    <cellStyle name="20% - Accent6 2" xfId="20"/>
    <cellStyle name="40% - Accent1 2" xfId="21"/>
    <cellStyle name="40% - Accent1 2 2" xfId="141"/>
    <cellStyle name="40% - Accent2 2" xfId="22"/>
    <cellStyle name="40% - Accent2 2 2" xfId="142"/>
    <cellStyle name="40% - Accent3 2" xfId="23"/>
    <cellStyle name="40% - Accent3 2 2" xfId="143"/>
    <cellStyle name="40% - Accent4 2" xfId="24"/>
    <cellStyle name="40% - Accent4 2 2" xfId="144"/>
    <cellStyle name="40% - Accent5 2" xfId="25"/>
    <cellStyle name="40% - Accent6 2" xfId="26"/>
    <cellStyle name="40% - Accent6 2 2" xfId="145"/>
    <cellStyle name="60% - Accent1 2" xfId="27"/>
    <cellStyle name="60% - Accent1 2 2" xfId="146"/>
    <cellStyle name="60% - Accent2 2" xfId="28"/>
    <cellStyle name="60% - Accent3 2" xfId="29"/>
    <cellStyle name="60% - Accent3 2 2" xfId="147"/>
    <cellStyle name="60% - Accent4 2" xfId="30"/>
    <cellStyle name="60% - Accent4 2 2" xfId="148"/>
    <cellStyle name="60% - Accent5 2" xfId="31"/>
    <cellStyle name="60% - Accent6 2" xfId="32"/>
    <cellStyle name="60% - Accent6 2 2" xfId="149"/>
    <cellStyle name="Accent1 - 20%" xfId="150"/>
    <cellStyle name="Accent1 - 40%" xfId="151"/>
    <cellStyle name="Accent1 - 60%" xfId="152"/>
    <cellStyle name="Accent1 2" xfId="33"/>
    <cellStyle name="Accent1 2 2" xfId="153"/>
    <cellStyle name="Accent2 - 20%" xfId="154"/>
    <cellStyle name="Accent2 - 40%" xfId="155"/>
    <cellStyle name="Accent2 - 60%" xfId="156"/>
    <cellStyle name="Accent2 2" xfId="34"/>
    <cellStyle name="Accent2 2 2" xfId="157"/>
    <cellStyle name="Accent3 - 20%" xfId="158"/>
    <cellStyle name="Accent3 - 40%" xfId="159"/>
    <cellStyle name="Accent3 - 60%" xfId="160"/>
    <cellStyle name="Accent3 2" xfId="35"/>
    <cellStyle name="Accent3 2 2" xfId="161"/>
    <cellStyle name="Accent4 - 20%" xfId="162"/>
    <cellStyle name="Accent4 - 40%" xfId="163"/>
    <cellStyle name="Accent4 - 60%" xfId="164"/>
    <cellStyle name="Accent4 2" xfId="36"/>
    <cellStyle name="Accent4 2 2" xfId="165"/>
    <cellStyle name="Accent5 - 20%" xfId="166"/>
    <cellStyle name="Accent5 - 40%" xfId="167"/>
    <cellStyle name="Accent5 - 60%" xfId="168"/>
    <cellStyle name="Accent5 2" xfId="37"/>
    <cellStyle name="Accent6 - 20%" xfId="169"/>
    <cellStyle name="Accent6 - 40%" xfId="170"/>
    <cellStyle name="Accent6 - 60%" xfId="171"/>
    <cellStyle name="Accent6 2" xfId="38"/>
    <cellStyle name="Accent6 2 2" xfId="172"/>
    <cellStyle name="Bad 2" xfId="39"/>
    <cellStyle name="Bad 2 2" xfId="173"/>
    <cellStyle name="Calculation 2" xfId="40"/>
    <cellStyle name="Calculation 2 2" xfId="174"/>
    <cellStyle name="Check Cell 2" xfId="41"/>
    <cellStyle name="Comma" xfId="1" builtinId="3"/>
    <cellStyle name="Comma [0] 2" xfId="175"/>
    <cellStyle name="Comma 2" xfId="14"/>
    <cellStyle name="Comma 2 2" xfId="42"/>
    <cellStyle name="Comma 2 2 2" xfId="43"/>
    <cellStyle name="Comma 2 3" xfId="44"/>
    <cellStyle name="Comma 3" xfId="45"/>
    <cellStyle name="Comma 3 2" xfId="46"/>
    <cellStyle name="Comma 3 2 2" xfId="47"/>
    <cellStyle name="Comma 3 3" xfId="48"/>
    <cellStyle name="Comma 3 3 2" xfId="176"/>
    <cellStyle name="Comma 3 3 3" xfId="177"/>
    <cellStyle name="Comma 3 4" xfId="49"/>
    <cellStyle name="Comma 4" xfId="50"/>
    <cellStyle name="Comma 4 2" xfId="178"/>
    <cellStyle name="Comma 5" xfId="179"/>
    <cellStyle name="Comma 6" xfId="180"/>
    <cellStyle name="Currency" xfId="133" builtinId="4"/>
    <cellStyle name="Currency 2" xfId="51"/>
    <cellStyle name="Currency 2 2" xfId="52"/>
    <cellStyle name="Currency 2 2 2" xfId="53"/>
    <cellStyle name="Currency 2 3" xfId="54"/>
    <cellStyle name="Currency 2 4" xfId="181"/>
    <cellStyle name="Currency 3" xfId="55"/>
    <cellStyle name="Currency 3 2" xfId="56"/>
    <cellStyle name="Currency 3 2 2" xfId="57"/>
    <cellStyle name="Currency 3 3" xfId="58"/>
    <cellStyle name="Currency 3 4" xfId="59"/>
    <cellStyle name="Currency 4" xfId="182"/>
    <cellStyle name="Currency 5" xfId="183"/>
    <cellStyle name="Currency 5 2" xfId="184"/>
    <cellStyle name="Currency 6" xfId="185"/>
    <cellStyle name="Data Field" xfId="60"/>
    <cellStyle name="Data Field 2" xfId="61"/>
    <cellStyle name="Data Field 2 2" xfId="62"/>
    <cellStyle name="Data Field 3" xfId="63"/>
    <cellStyle name="Data Name" xfId="64"/>
    <cellStyle name="Data Name 2" xfId="186"/>
    <cellStyle name="Date/Time" xfId="65"/>
    <cellStyle name="Emphasis 1" xfId="187"/>
    <cellStyle name="Emphasis 2" xfId="188"/>
    <cellStyle name="Emphasis 3" xfId="189"/>
    <cellStyle name="Explanatory Text 2" xfId="66"/>
    <cellStyle name="Good 2" xfId="67"/>
    <cellStyle name="Heading" xfId="68"/>
    <cellStyle name="Heading 1 2" xfId="69"/>
    <cellStyle name="Heading 1 2 2" xfId="190"/>
    <cellStyle name="Heading 2 2" xfId="191"/>
    <cellStyle name="Heading 2 2 2" xfId="192"/>
    <cellStyle name="Heading 2 3" xfId="193"/>
    <cellStyle name="Heading 3 2" xfId="70"/>
    <cellStyle name="Heading 3 2 2" xfId="194"/>
    <cellStyle name="Heading 4 2" xfId="71"/>
    <cellStyle name="Heading 4 2 2" xfId="195"/>
    <cellStyle name="Hyperlink 2" xfId="72"/>
    <cellStyle name="Hyperlink 2 2" xfId="196"/>
    <cellStyle name="Hyperlink 2 2 2" xfId="197"/>
    <cellStyle name="Hyperlink 2_ResWXMF_FY10v2_0" xfId="198"/>
    <cellStyle name="Hyperlink 3" xfId="73"/>
    <cellStyle name="Hyperlink 3 2" xfId="199"/>
    <cellStyle name="Hyperlink 3 3" xfId="200"/>
    <cellStyle name="Hyperlink 4" xfId="201"/>
    <cellStyle name="Hyperlink 4 2" xfId="202"/>
    <cellStyle name="Hyperlink 5" xfId="203"/>
    <cellStyle name="Input 2" xfId="74"/>
    <cellStyle name="Linked Cell 2" xfId="75"/>
    <cellStyle name="Neutral 2" xfId="76"/>
    <cellStyle name="Neutral 2 2" xfId="204"/>
    <cellStyle name="Normal" xfId="0" builtinId="0"/>
    <cellStyle name="Normal 10" xfId="77"/>
    <cellStyle name="Normal 10 2" xfId="11"/>
    <cellStyle name="Normal 11" xfId="78"/>
    <cellStyle name="Normal 12" xfId="79"/>
    <cellStyle name="Normal 13" xfId="5"/>
    <cellStyle name="Normal 13 2" xfId="10"/>
    <cellStyle name="Normal 13 3" xfId="205"/>
    <cellStyle name="Normal 14" xfId="80"/>
    <cellStyle name="Normal 14 2" xfId="131"/>
    <cellStyle name="Normal 14 3" xfId="206"/>
    <cellStyle name="Normal 15" xfId="81"/>
    <cellStyle name="Normal 15 2" xfId="207"/>
    <cellStyle name="Normal 16" xfId="134"/>
    <cellStyle name="Normal 17" xfId="208"/>
    <cellStyle name="Normal 2" xfId="82"/>
    <cellStyle name="Normal 2 10" xfId="209"/>
    <cellStyle name="Normal 2 10 10" xfId="210"/>
    <cellStyle name="Normal 2 10 11" xfId="211"/>
    <cellStyle name="Normal 2 10 12" xfId="212"/>
    <cellStyle name="Normal 2 10 13" xfId="213"/>
    <cellStyle name="Normal 2 10 14" xfId="214"/>
    <cellStyle name="Normal 2 10 15" xfId="215"/>
    <cellStyle name="Normal 2 10 16" xfId="216"/>
    <cellStyle name="Normal 2 10 17" xfId="217"/>
    <cellStyle name="Normal 2 10 18" xfId="218"/>
    <cellStyle name="Normal 2 10 19" xfId="219"/>
    <cellStyle name="Normal 2 10 2" xfId="220"/>
    <cellStyle name="Normal 2 10 20" xfId="221"/>
    <cellStyle name="Normal 2 10 21" xfId="222"/>
    <cellStyle name="Normal 2 10 22" xfId="223"/>
    <cellStyle name="Normal 2 10 23" xfId="224"/>
    <cellStyle name="Normal 2 10 3" xfId="225"/>
    <cellStyle name="Normal 2 10 4" xfId="226"/>
    <cellStyle name="Normal 2 10 5" xfId="227"/>
    <cellStyle name="Normal 2 10 6" xfId="228"/>
    <cellStyle name="Normal 2 10 7" xfId="229"/>
    <cellStyle name="Normal 2 10 8" xfId="230"/>
    <cellStyle name="Normal 2 10 9" xfId="231"/>
    <cellStyle name="Normal 2 11" xfId="232"/>
    <cellStyle name="Normal 2 11 10" xfId="233"/>
    <cellStyle name="Normal 2 11 11" xfId="234"/>
    <cellStyle name="Normal 2 11 12" xfId="235"/>
    <cellStyle name="Normal 2 11 13" xfId="236"/>
    <cellStyle name="Normal 2 11 14" xfId="237"/>
    <cellStyle name="Normal 2 11 15" xfId="238"/>
    <cellStyle name="Normal 2 11 16" xfId="239"/>
    <cellStyle name="Normal 2 11 17" xfId="240"/>
    <cellStyle name="Normal 2 11 18" xfId="241"/>
    <cellStyle name="Normal 2 11 19" xfId="242"/>
    <cellStyle name="Normal 2 11 2" xfId="243"/>
    <cellStyle name="Normal 2 11 20" xfId="244"/>
    <cellStyle name="Normal 2 11 21" xfId="245"/>
    <cellStyle name="Normal 2 11 22" xfId="246"/>
    <cellStyle name="Normal 2 11 23" xfId="247"/>
    <cellStyle name="Normal 2 11 3" xfId="248"/>
    <cellStyle name="Normal 2 11 4" xfId="249"/>
    <cellStyle name="Normal 2 11 5" xfId="250"/>
    <cellStyle name="Normal 2 11 6" xfId="251"/>
    <cellStyle name="Normal 2 11 7" xfId="252"/>
    <cellStyle name="Normal 2 11 8" xfId="253"/>
    <cellStyle name="Normal 2 11 9" xfId="254"/>
    <cellStyle name="Normal 2 12" xfId="255"/>
    <cellStyle name="Normal 2 12 10" xfId="256"/>
    <cellStyle name="Normal 2 12 11" xfId="257"/>
    <cellStyle name="Normal 2 12 12" xfId="258"/>
    <cellStyle name="Normal 2 12 13" xfId="259"/>
    <cellStyle name="Normal 2 12 14" xfId="260"/>
    <cellStyle name="Normal 2 12 15" xfId="261"/>
    <cellStyle name="Normal 2 12 16" xfId="262"/>
    <cellStyle name="Normal 2 12 17" xfId="263"/>
    <cellStyle name="Normal 2 12 18" xfId="264"/>
    <cellStyle name="Normal 2 12 19" xfId="265"/>
    <cellStyle name="Normal 2 12 2" xfId="266"/>
    <cellStyle name="Normal 2 12 20" xfId="267"/>
    <cellStyle name="Normal 2 12 21" xfId="268"/>
    <cellStyle name="Normal 2 12 22" xfId="269"/>
    <cellStyle name="Normal 2 12 23" xfId="270"/>
    <cellStyle name="Normal 2 12 3" xfId="271"/>
    <cellStyle name="Normal 2 12 4" xfId="272"/>
    <cellStyle name="Normal 2 12 5" xfId="273"/>
    <cellStyle name="Normal 2 12 6" xfId="274"/>
    <cellStyle name="Normal 2 12 7" xfId="275"/>
    <cellStyle name="Normal 2 12 8" xfId="276"/>
    <cellStyle name="Normal 2 12 9" xfId="277"/>
    <cellStyle name="Normal 2 13" xfId="278"/>
    <cellStyle name="Normal 2 13 10" xfId="279"/>
    <cellStyle name="Normal 2 13 11" xfId="280"/>
    <cellStyle name="Normal 2 13 12" xfId="281"/>
    <cellStyle name="Normal 2 13 13" xfId="282"/>
    <cellStyle name="Normal 2 13 14" xfId="283"/>
    <cellStyle name="Normal 2 13 15" xfId="284"/>
    <cellStyle name="Normal 2 13 16" xfId="285"/>
    <cellStyle name="Normal 2 13 17" xfId="286"/>
    <cellStyle name="Normal 2 13 18" xfId="287"/>
    <cellStyle name="Normal 2 13 19" xfId="288"/>
    <cellStyle name="Normal 2 13 2" xfId="289"/>
    <cellStyle name="Normal 2 13 20" xfId="290"/>
    <cellStyle name="Normal 2 13 21" xfId="291"/>
    <cellStyle name="Normal 2 13 22" xfId="292"/>
    <cellStyle name="Normal 2 13 23" xfId="293"/>
    <cellStyle name="Normal 2 13 3" xfId="294"/>
    <cellStyle name="Normal 2 13 4" xfId="295"/>
    <cellStyle name="Normal 2 13 5" xfId="296"/>
    <cellStyle name="Normal 2 13 6" xfId="297"/>
    <cellStyle name="Normal 2 13 7" xfId="298"/>
    <cellStyle name="Normal 2 13 8" xfId="299"/>
    <cellStyle name="Normal 2 13 9" xfId="300"/>
    <cellStyle name="Normal 2 14" xfId="301"/>
    <cellStyle name="Normal 2 14 10" xfId="302"/>
    <cellStyle name="Normal 2 14 11" xfId="303"/>
    <cellStyle name="Normal 2 14 12" xfId="304"/>
    <cellStyle name="Normal 2 14 13" xfId="305"/>
    <cellStyle name="Normal 2 14 14" xfId="306"/>
    <cellStyle name="Normal 2 14 15" xfId="307"/>
    <cellStyle name="Normal 2 14 16" xfId="308"/>
    <cellStyle name="Normal 2 14 17" xfId="309"/>
    <cellStyle name="Normal 2 14 18" xfId="310"/>
    <cellStyle name="Normal 2 14 19" xfId="311"/>
    <cellStyle name="Normal 2 14 2" xfId="312"/>
    <cellStyle name="Normal 2 14 20" xfId="313"/>
    <cellStyle name="Normal 2 14 21" xfId="314"/>
    <cellStyle name="Normal 2 14 22" xfId="315"/>
    <cellStyle name="Normal 2 14 23" xfId="316"/>
    <cellStyle name="Normal 2 14 3" xfId="317"/>
    <cellStyle name="Normal 2 14 4" xfId="318"/>
    <cellStyle name="Normal 2 14 5" xfId="319"/>
    <cellStyle name="Normal 2 14 6" xfId="320"/>
    <cellStyle name="Normal 2 14 7" xfId="321"/>
    <cellStyle name="Normal 2 14 8" xfId="322"/>
    <cellStyle name="Normal 2 14 9" xfId="323"/>
    <cellStyle name="Normal 2 15" xfId="324"/>
    <cellStyle name="Normal 2 15 10" xfId="325"/>
    <cellStyle name="Normal 2 15 11" xfId="326"/>
    <cellStyle name="Normal 2 15 12" xfId="327"/>
    <cellStyle name="Normal 2 15 13" xfId="328"/>
    <cellStyle name="Normal 2 15 14" xfId="329"/>
    <cellStyle name="Normal 2 15 15" xfId="330"/>
    <cellStyle name="Normal 2 15 16" xfId="331"/>
    <cellStyle name="Normal 2 15 17" xfId="332"/>
    <cellStyle name="Normal 2 15 18" xfId="333"/>
    <cellStyle name="Normal 2 15 19" xfId="334"/>
    <cellStyle name="Normal 2 15 2" xfId="335"/>
    <cellStyle name="Normal 2 15 20" xfId="336"/>
    <cellStyle name="Normal 2 15 21" xfId="337"/>
    <cellStyle name="Normal 2 15 22" xfId="338"/>
    <cellStyle name="Normal 2 15 23" xfId="339"/>
    <cellStyle name="Normal 2 15 3" xfId="340"/>
    <cellStyle name="Normal 2 15 4" xfId="341"/>
    <cellStyle name="Normal 2 15 5" xfId="342"/>
    <cellStyle name="Normal 2 15 6" xfId="343"/>
    <cellStyle name="Normal 2 15 7" xfId="344"/>
    <cellStyle name="Normal 2 15 8" xfId="345"/>
    <cellStyle name="Normal 2 15 9" xfId="346"/>
    <cellStyle name="Normal 2 16" xfId="347"/>
    <cellStyle name="Normal 2 16 10" xfId="348"/>
    <cellStyle name="Normal 2 16 11" xfId="349"/>
    <cellStyle name="Normal 2 16 12" xfId="350"/>
    <cellStyle name="Normal 2 16 13" xfId="351"/>
    <cellStyle name="Normal 2 16 14" xfId="352"/>
    <cellStyle name="Normal 2 16 15" xfId="353"/>
    <cellStyle name="Normal 2 16 16" xfId="354"/>
    <cellStyle name="Normal 2 16 17" xfId="355"/>
    <cellStyle name="Normal 2 16 18" xfId="356"/>
    <cellStyle name="Normal 2 16 19" xfId="357"/>
    <cellStyle name="Normal 2 16 2" xfId="358"/>
    <cellStyle name="Normal 2 16 20" xfId="359"/>
    <cellStyle name="Normal 2 16 21" xfId="360"/>
    <cellStyle name="Normal 2 16 22" xfId="361"/>
    <cellStyle name="Normal 2 16 23" xfId="362"/>
    <cellStyle name="Normal 2 16 3" xfId="363"/>
    <cellStyle name="Normal 2 16 4" xfId="364"/>
    <cellStyle name="Normal 2 16 5" xfId="365"/>
    <cellStyle name="Normal 2 16 6" xfId="366"/>
    <cellStyle name="Normal 2 16 7" xfId="367"/>
    <cellStyle name="Normal 2 16 8" xfId="368"/>
    <cellStyle name="Normal 2 16 9" xfId="369"/>
    <cellStyle name="Normal 2 17" xfId="370"/>
    <cellStyle name="Normal 2 17 10" xfId="371"/>
    <cellStyle name="Normal 2 17 11" xfId="372"/>
    <cellStyle name="Normal 2 17 12" xfId="373"/>
    <cellStyle name="Normal 2 17 13" xfId="374"/>
    <cellStyle name="Normal 2 17 14" xfId="375"/>
    <cellStyle name="Normal 2 17 15" xfId="376"/>
    <cellStyle name="Normal 2 17 16" xfId="377"/>
    <cellStyle name="Normal 2 17 17" xfId="378"/>
    <cellStyle name="Normal 2 17 18" xfId="379"/>
    <cellStyle name="Normal 2 17 19" xfId="380"/>
    <cellStyle name="Normal 2 17 2" xfId="381"/>
    <cellStyle name="Normal 2 17 20" xfId="382"/>
    <cellStyle name="Normal 2 17 21" xfId="383"/>
    <cellStyle name="Normal 2 17 22" xfId="384"/>
    <cellStyle name="Normal 2 17 23" xfId="385"/>
    <cellStyle name="Normal 2 17 3" xfId="386"/>
    <cellStyle name="Normal 2 17 4" xfId="387"/>
    <cellStyle name="Normal 2 17 5" xfId="388"/>
    <cellStyle name="Normal 2 17 6" xfId="389"/>
    <cellStyle name="Normal 2 17 7" xfId="390"/>
    <cellStyle name="Normal 2 17 8" xfId="391"/>
    <cellStyle name="Normal 2 17 9" xfId="392"/>
    <cellStyle name="Normal 2 18" xfId="393"/>
    <cellStyle name="Normal 2 18 10" xfId="394"/>
    <cellStyle name="Normal 2 18 11" xfId="395"/>
    <cellStyle name="Normal 2 18 12" xfId="396"/>
    <cellStyle name="Normal 2 18 13" xfId="397"/>
    <cellStyle name="Normal 2 18 14" xfId="398"/>
    <cellStyle name="Normal 2 18 15" xfId="399"/>
    <cellStyle name="Normal 2 18 16" xfId="400"/>
    <cellStyle name="Normal 2 18 17" xfId="401"/>
    <cellStyle name="Normal 2 18 18" xfId="402"/>
    <cellStyle name="Normal 2 18 19" xfId="403"/>
    <cellStyle name="Normal 2 18 2" xfId="404"/>
    <cellStyle name="Normal 2 18 20" xfId="405"/>
    <cellStyle name="Normal 2 18 21" xfId="406"/>
    <cellStyle name="Normal 2 18 22" xfId="407"/>
    <cellStyle name="Normal 2 18 23" xfId="408"/>
    <cellStyle name="Normal 2 18 3" xfId="409"/>
    <cellStyle name="Normal 2 18 4" xfId="410"/>
    <cellStyle name="Normal 2 18 5" xfId="411"/>
    <cellStyle name="Normal 2 18 6" xfId="412"/>
    <cellStyle name="Normal 2 18 7" xfId="413"/>
    <cellStyle name="Normal 2 18 8" xfId="414"/>
    <cellStyle name="Normal 2 18 9" xfId="415"/>
    <cellStyle name="Normal 2 19" xfId="416"/>
    <cellStyle name="Normal 2 19 10" xfId="417"/>
    <cellStyle name="Normal 2 19 11" xfId="418"/>
    <cellStyle name="Normal 2 19 12" xfId="419"/>
    <cellStyle name="Normal 2 19 13" xfId="420"/>
    <cellStyle name="Normal 2 19 14" xfId="421"/>
    <cellStyle name="Normal 2 19 15" xfId="422"/>
    <cellStyle name="Normal 2 19 16" xfId="423"/>
    <cellStyle name="Normal 2 19 17" xfId="424"/>
    <cellStyle name="Normal 2 19 18" xfId="425"/>
    <cellStyle name="Normal 2 19 19" xfId="426"/>
    <cellStyle name="Normal 2 19 2" xfId="427"/>
    <cellStyle name="Normal 2 19 20" xfId="428"/>
    <cellStyle name="Normal 2 19 21" xfId="429"/>
    <cellStyle name="Normal 2 19 22" xfId="430"/>
    <cellStyle name="Normal 2 19 23" xfId="431"/>
    <cellStyle name="Normal 2 19 3" xfId="432"/>
    <cellStyle name="Normal 2 19 4" xfId="433"/>
    <cellStyle name="Normal 2 19 5" xfId="434"/>
    <cellStyle name="Normal 2 19 6" xfId="435"/>
    <cellStyle name="Normal 2 19 7" xfId="436"/>
    <cellStyle name="Normal 2 19 8" xfId="437"/>
    <cellStyle name="Normal 2 19 9" xfId="438"/>
    <cellStyle name="Normal 2 2" xfId="83"/>
    <cellStyle name="Normal 2 2 2" xfId="84"/>
    <cellStyle name="Normal 2 2 2 2" xfId="85"/>
    <cellStyle name="Normal 2 2 3" xfId="86"/>
    <cellStyle name="Normal 2 2 3 2" xfId="439"/>
    <cellStyle name="Normal 2 2 3 3" xfId="440"/>
    <cellStyle name="Normal 2 20" xfId="441"/>
    <cellStyle name="Normal 2 20 10" xfId="442"/>
    <cellStyle name="Normal 2 20 11" xfId="443"/>
    <cellStyle name="Normal 2 20 12" xfId="444"/>
    <cellStyle name="Normal 2 20 13" xfId="445"/>
    <cellStyle name="Normal 2 20 14" xfId="446"/>
    <cellStyle name="Normal 2 20 15" xfId="447"/>
    <cellStyle name="Normal 2 20 16" xfId="448"/>
    <cellStyle name="Normal 2 20 17" xfId="449"/>
    <cellStyle name="Normal 2 20 18" xfId="450"/>
    <cellStyle name="Normal 2 20 19" xfId="451"/>
    <cellStyle name="Normal 2 20 2" xfId="452"/>
    <cellStyle name="Normal 2 20 20" xfId="453"/>
    <cellStyle name="Normal 2 20 21" xfId="454"/>
    <cellStyle name="Normal 2 20 22" xfId="455"/>
    <cellStyle name="Normal 2 20 23" xfId="456"/>
    <cellStyle name="Normal 2 20 3" xfId="457"/>
    <cellStyle name="Normal 2 20 4" xfId="458"/>
    <cellStyle name="Normal 2 20 5" xfId="459"/>
    <cellStyle name="Normal 2 20 6" xfId="460"/>
    <cellStyle name="Normal 2 20 7" xfId="461"/>
    <cellStyle name="Normal 2 20 8" xfId="462"/>
    <cellStyle name="Normal 2 20 9" xfId="463"/>
    <cellStyle name="Normal 2 21" xfId="464"/>
    <cellStyle name="Normal 2 21 10" xfId="465"/>
    <cellStyle name="Normal 2 21 11" xfId="466"/>
    <cellStyle name="Normal 2 21 12" xfId="467"/>
    <cellStyle name="Normal 2 21 13" xfId="468"/>
    <cellStyle name="Normal 2 21 14" xfId="469"/>
    <cellStyle name="Normal 2 21 15" xfId="470"/>
    <cellStyle name="Normal 2 21 16" xfId="471"/>
    <cellStyle name="Normal 2 21 17" xfId="472"/>
    <cellStyle name="Normal 2 21 18" xfId="473"/>
    <cellStyle name="Normal 2 21 19" xfId="474"/>
    <cellStyle name="Normal 2 21 2" xfId="475"/>
    <cellStyle name="Normal 2 21 20" xfId="476"/>
    <cellStyle name="Normal 2 21 21" xfId="477"/>
    <cellStyle name="Normal 2 21 22" xfId="478"/>
    <cellStyle name="Normal 2 21 23" xfId="479"/>
    <cellStyle name="Normal 2 21 3" xfId="480"/>
    <cellStyle name="Normal 2 21 4" xfId="481"/>
    <cellStyle name="Normal 2 21 5" xfId="482"/>
    <cellStyle name="Normal 2 21 6" xfId="483"/>
    <cellStyle name="Normal 2 21 7" xfId="484"/>
    <cellStyle name="Normal 2 21 8" xfId="485"/>
    <cellStyle name="Normal 2 21 9" xfId="486"/>
    <cellStyle name="Normal 2 22" xfId="487"/>
    <cellStyle name="Normal 2 22 10" xfId="488"/>
    <cellStyle name="Normal 2 22 11" xfId="489"/>
    <cellStyle name="Normal 2 22 12" xfId="490"/>
    <cellStyle name="Normal 2 22 13" xfId="491"/>
    <cellStyle name="Normal 2 22 14" xfId="492"/>
    <cellStyle name="Normal 2 22 15" xfId="493"/>
    <cellStyle name="Normal 2 22 16" xfId="494"/>
    <cellStyle name="Normal 2 22 17" xfId="495"/>
    <cellStyle name="Normal 2 22 18" xfId="496"/>
    <cellStyle name="Normal 2 22 19" xfId="497"/>
    <cellStyle name="Normal 2 22 2" xfId="498"/>
    <cellStyle name="Normal 2 22 20" xfId="499"/>
    <cellStyle name="Normal 2 22 21" xfId="500"/>
    <cellStyle name="Normal 2 22 22" xfId="501"/>
    <cellStyle name="Normal 2 22 23" xfId="502"/>
    <cellStyle name="Normal 2 22 3" xfId="503"/>
    <cellStyle name="Normal 2 22 4" xfId="504"/>
    <cellStyle name="Normal 2 22 5" xfId="505"/>
    <cellStyle name="Normal 2 22 6" xfId="506"/>
    <cellStyle name="Normal 2 22 7" xfId="507"/>
    <cellStyle name="Normal 2 22 8" xfId="508"/>
    <cellStyle name="Normal 2 22 9" xfId="509"/>
    <cellStyle name="Normal 2 23" xfId="510"/>
    <cellStyle name="Normal 2 23 10" xfId="511"/>
    <cellStyle name="Normal 2 23 11" xfId="512"/>
    <cellStyle name="Normal 2 23 12" xfId="513"/>
    <cellStyle name="Normal 2 23 13" xfId="514"/>
    <cellStyle name="Normal 2 23 14" xfId="515"/>
    <cellStyle name="Normal 2 23 15" xfId="516"/>
    <cellStyle name="Normal 2 23 16" xfId="517"/>
    <cellStyle name="Normal 2 23 17" xfId="518"/>
    <cellStyle name="Normal 2 23 18" xfId="519"/>
    <cellStyle name="Normal 2 23 19" xfId="520"/>
    <cellStyle name="Normal 2 23 2" xfId="521"/>
    <cellStyle name="Normal 2 23 20" xfId="522"/>
    <cellStyle name="Normal 2 23 21" xfId="523"/>
    <cellStyle name="Normal 2 23 22" xfId="524"/>
    <cellStyle name="Normal 2 23 23" xfId="525"/>
    <cellStyle name="Normal 2 23 3" xfId="526"/>
    <cellStyle name="Normal 2 23 4" xfId="527"/>
    <cellStyle name="Normal 2 23 5" xfId="528"/>
    <cellStyle name="Normal 2 23 6" xfId="529"/>
    <cellStyle name="Normal 2 23 7" xfId="530"/>
    <cellStyle name="Normal 2 23 8" xfId="531"/>
    <cellStyle name="Normal 2 23 9" xfId="532"/>
    <cellStyle name="Normal 2 24" xfId="533"/>
    <cellStyle name="Normal 2 24 10" xfId="534"/>
    <cellStyle name="Normal 2 24 11" xfId="535"/>
    <cellStyle name="Normal 2 24 12" xfId="536"/>
    <cellStyle name="Normal 2 24 13" xfId="537"/>
    <cellStyle name="Normal 2 24 14" xfId="538"/>
    <cellStyle name="Normal 2 24 15" xfId="539"/>
    <cellStyle name="Normal 2 24 16" xfId="540"/>
    <cellStyle name="Normal 2 24 17" xfId="541"/>
    <cellStyle name="Normal 2 24 18" xfId="542"/>
    <cellStyle name="Normal 2 24 19" xfId="543"/>
    <cellStyle name="Normal 2 24 2" xfId="544"/>
    <cellStyle name="Normal 2 24 20" xfId="545"/>
    <cellStyle name="Normal 2 24 21" xfId="546"/>
    <cellStyle name="Normal 2 24 22" xfId="547"/>
    <cellStyle name="Normal 2 24 23" xfId="548"/>
    <cellStyle name="Normal 2 24 3" xfId="549"/>
    <cellStyle name="Normal 2 24 4" xfId="550"/>
    <cellStyle name="Normal 2 24 5" xfId="551"/>
    <cellStyle name="Normal 2 24 6" xfId="552"/>
    <cellStyle name="Normal 2 24 7" xfId="553"/>
    <cellStyle name="Normal 2 24 8" xfId="554"/>
    <cellStyle name="Normal 2 24 9" xfId="555"/>
    <cellStyle name="Normal 2 25" xfId="556"/>
    <cellStyle name="Normal 2 25 10" xfId="557"/>
    <cellStyle name="Normal 2 25 11" xfId="558"/>
    <cellStyle name="Normal 2 25 12" xfId="559"/>
    <cellStyle name="Normal 2 25 13" xfId="560"/>
    <cellStyle name="Normal 2 25 14" xfId="561"/>
    <cellStyle name="Normal 2 25 15" xfId="562"/>
    <cellStyle name="Normal 2 25 16" xfId="563"/>
    <cellStyle name="Normal 2 25 17" xfId="564"/>
    <cellStyle name="Normal 2 25 18" xfId="565"/>
    <cellStyle name="Normal 2 25 19" xfId="566"/>
    <cellStyle name="Normal 2 25 2" xfId="567"/>
    <cellStyle name="Normal 2 25 20" xfId="568"/>
    <cellStyle name="Normal 2 25 21" xfId="569"/>
    <cellStyle name="Normal 2 25 22" xfId="570"/>
    <cellStyle name="Normal 2 25 23" xfId="571"/>
    <cellStyle name="Normal 2 25 3" xfId="572"/>
    <cellStyle name="Normal 2 25 4" xfId="573"/>
    <cellStyle name="Normal 2 25 5" xfId="574"/>
    <cellStyle name="Normal 2 25 6" xfId="575"/>
    <cellStyle name="Normal 2 25 7" xfId="576"/>
    <cellStyle name="Normal 2 25 8" xfId="577"/>
    <cellStyle name="Normal 2 25 9" xfId="578"/>
    <cellStyle name="Normal 2 26" xfId="579"/>
    <cellStyle name="Normal 2 26 10" xfId="580"/>
    <cellStyle name="Normal 2 26 11" xfId="581"/>
    <cellStyle name="Normal 2 26 12" xfId="582"/>
    <cellStyle name="Normal 2 26 13" xfId="583"/>
    <cellStyle name="Normal 2 26 14" xfId="584"/>
    <cellStyle name="Normal 2 26 15" xfId="585"/>
    <cellStyle name="Normal 2 26 16" xfId="586"/>
    <cellStyle name="Normal 2 26 17" xfId="587"/>
    <cellStyle name="Normal 2 26 18" xfId="588"/>
    <cellStyle name="Normal 2 26 19" xfId="589"/>
    <cellStyle name="Normal 2 26 2" xfId="590"/>
    <cellStyle name="Normal 2 26 20" xfId="591"/>
    <cellStyle name="Normal 2 26 21" xfId="592"/>
    <cellStyle name="Normal 2 26 22" xfId="593"/>
    <cellStyle name="Normal 2 26 23" xfId="594"/>
    <cellStyle name="Normal 2 26 3" xfId="595"/>
    <cellStyle name="Normal 2 26 4" xfId="596"/>
    <cellStyle name="Normal 2 26 5" xfId="597"/>
    <cellStyle name="Normal 2 26 6" xfId="598"/>
    <cellStyle name="Normal 2 26 7" xfId="599"/>
    <cellStyle name="Normal 2 26 8" xfId="600"/>
    <cellStyle name="Normal 2 26 9" xfId="601"/>
    <cellStyle name="Normal 2 27" xfId="602"/>
    <cellStyle name="Normal 2 27 10" xfId="603"/>
    <cellStyle name="Normal 2 27 11" xfId="604"/>
    <cellStyle name="Normal 2 27 12" xfId="605"/>
    <cellStyle name="Normal 2 27 13" xfId="606"/>
    <cellStyle name="Normal 2 27 14" xfId="607"/>
    <cellStyle name="Normal 2 27 15" xfId="608"/>
    <cellStyle name="Normal 2 27 16" xfId="609"/>
    <cellStyle name="Normal 2 27 17" xfId="610"/>
    <cellStyle name="Normal 2 27 18" xfId="611"/>
    <cellStyle name="Normal 2 27 19" xfId="612"/>
    <cellStyle name="Normal 2 27 2" xfId="613"/>
    <cellStyle name="Normal 2 27 20" xfId="614"/>
    <cellStyle name="Normal 2 27 21" xfId="615"/>
    <cellStyle name="Normal 2 27 22" xfId="616"/>
    <cellStyle name="Normal 2 27 23" xfId="617"/>
    <cellStyle name="Normal 2 27 3" xfId="618"/>
    <cellStyle name="Normal 2 27 4" xfId="619"/>
    <cellStyle name="Normal 2 27 5" xfId="620"/>
    <cellStyle name="Normal 2 27 6" xfId="621"/>
    <cellStyle name="Normal 2 27 7" xfId="622"/>
    <cellStyle name="Normal 2 27 8" xfId="623"/>
    <cellStyle name="Normal 2 27 9" xfId="624"/>
    <cellStyle name="Normal 2 28" xfId="625"/>
    <cellStyle name="Normal 2 28 10" xfId="626"/>
    <cellStyle name="Normal 2 28 11" xfId="627"/>
    <cellStyle name="Normal 2 28 12" xfId="628"/>
    <cellStyle name="Normal 2 28 13" xfId="629"/>
    <cellStyle name="Normal 2 28 14" xfId="630"/>
    <cellStyle name="Normal 2 28 15" xfId="631"/>
    <cellStyle name="Normal 2 28 16" xfId="632"/>
    <cellStyle name="Normal 2 28 17" xfId="633"/>
    <cellStyle name="Normal 2 28 18" xfId="634"/>
    <cellStyle name="Normal 2 28 19" xfId="635"/>
    <cellStyle name="Normal 2 28 2" xfId="636"/>
    <cellStyle name="Normal 2 28 20" xfId="637"/>
    <cellStyle name="Normal 2 28 21" xfId="638"/>
    <cellStyle name="Normal 2 28 22" xfId="639"/>
    <cellStyle name="Normal 2 28 23" xfId="640"/>
    <cellStyle name="Normal 2 28 3" xfId="641"/>
    <cellStyle name="Normal 2 28 4" xfId="642"/>
    <cellStyle name="Normal 2 28 5" xfId="643"/>
    <cellStyle name="Normal 2 28 6" xfId="644"/>
    <cellStyle name="Normal 2 28 7" xfId="645"/>
    <cellStyle name="Normal 2 28 8" xfId="646"/>
    <cellStyle name="Normal 2 28 9" xfId="647"/>
    <cellStyle name="Normal 2 29" xfId="648"/>
    <cellStyle name="Normal 2 29 10" xfId="649"/>
    <cellStyle name="Normal 2 29 11" xfId="650"/>
    <cellStyle name="Normal 2 29 12" xfId="651"/>
    <cellStyle name="Normal 2 29 13" xfId="652"/>
    <cellStyle name="Normal 2 29 14" xfId="653"/>
    <cellStyle name="Normal 2 29 15" xfId="654"/>
    <cellStyle name="Normal 2 29 16" xfId="655"/>
    <cellStyle name="Normal 2 29 17" xfId="656"/>
    <cellStyle name="Normal 2 29 18" xfId="657"/>
    <cellStyle name="Normal 2 29 19" xfId="658"/>
    <cellStyle name="Normal 2 29 2" xfId="659"/>
    <cellStyle name="Normal 2 29 20" xfId="660"/>
    <cellStyle name="Normal 2 29 21" xfId="661"/>
    <cellStyle name="Normal 2 29 22" xfId="662"/>
    <cellStyle name="Normal 2 29 23" xfId="663"/>
    <cellStyle name="Normal 2 29 3" xfId="664"/>
    <cellStyle name="Normal 2 29 4" xfId="665"/>
    <cellStyle name="Normal 2 29 5" xfId="666"/>
    <cellStyle name="Normal 2 29 6" xfId="667"/>
    <cellStyle name="Normal 2 29 7" xfId="668"/>
    <cellStyle name="Normal 2 29 8" xfId="669"/>
    <cellStyle name="Normal 2 29 9" xfId="670"/>
    <cellStyle name="Normal 2 3" xfId="87"/>
    <cellStyle name="Normal 2 3 2" xfId="88"/>
    <cellStyle name="Normal 2 3 2 2" xfId="671"/>
    <cellStyle name="Normal 2 3 3" xfId="672"/>
    <cellStyle name="Normal 2 3 3 2" xfId="673"/>
    <cellStyle name="Normal 2 3 4" xfId="674"/>
    <cellStyle name="Normal 2 30" xfId="675"/>
    <cellStyle name="Normal 2 30 10" xfId="676"/>
    <cellStyle name="Normal 2 30 11" xfId="677"/>
    <cellStyle name="Normal 2 30 12" xfId="678"/>
    <cellStyle name="Normal 2 30 13" xfId="679"/>
    <cellStyle name="Normal 2 30 14" xfId="680"/>
    <cellStyle name="Normal 2 30 15" xfId="681"/>
    <cellStyle name="Normal 2 30 16" xfId="682"/>
    <cellStyle name="Normal 2 30 17" xfId="683"/>
    <cellStyle name="Normal 2 30 18" xfId="684"/>
    <cellStyle name="Normal 2 30 19" xfId="685"/>
    <cellStyle name="Normal 2 30 2" xfId="686"/>
    <cellStyle name="Normal 2 30 20" xfId="687"/>
    <cellStyle name="Normal 2 30 21" xfId="688"/>
    <cellStyle name="Normal 2 30 22" xfId="689"/>
    <cellStyle name="Normal 2 30 23" xfId="690"/>
    <cellStyle name="Normal 2 30 3" xfId="691"/>
    <cellStyle name="Normal 2 30 4" xfId="692"/>
    <cellStyle name="Normal 2 30 5" xfId="693"/>
    <cellStyle name="Normal 2 30 6" xfId="694"/>
    <cellStyle name="Normal 2 30 7" xfId="695"/>
    <cellStyle name="Normal 2 30 8" xfId="696"/>
    <cellStyle name="Normal 2 30 9" xfId="697"/>
    <cellStyle name="Normal 2 31" xfId="698"/>
    <cellStyle name="Normal 2 31 10" xfId="699"/>
    <cellStyle name="Normal 2 31 11" xfId="700"/>
    <cellStyle name="Normal 2 31 12" xfId="701"/>
    <cellStyle name="Normal 2 31 13" xfId="702"/>
    <cellStyle name="Normal 2 31 14" xfId="703"/>
    <cellStyle name="Normal 2 31 15" xfId="704"/>
    <cellStyle name="Normal 2 31 16" xfId="705"/>
    <cellStyle name="Normal 2 31 17" xfId="706"/>
    <cellStyle name="Normal 2 31 18" xfId="707"/>
    <cellStyle name="Normal 2 31 19" xfId="708"/>
    <cellStyle name="Normal 2 31 2" xfId="709"/>
    <cellStyle name="Normal 2 31 20" xfId="710"/>
    <cellStyle name="Normal 2 31 21" xfId="711"/>
    <cellStyle name="Normal 2 31 22" xfId="712"/>
    <cellStyle name="Normal 2 31 23" xfId="713"/>
    <cellStyle name="Normal 2 31 3" xfId="714"/>
    <cellStyle name="Normal 2 31 4" xfId="715"/>
    <cellStyle name="Normal 2 31 5" xfId="716"/>
    <cellStyle name="Normal 2 31 6" xfId="717"/>
    <cellStyle name="Normal 2 31 7" xfId="718"/>
    <cellStyle name="Normal 2 31 8" xfId="719"/>
    <cellStyle name="Normal 2 31 9" xfId="720"/>
    <cellStyle name="Normal 2 32" xfId="721"/>
    <cellStyle name="Normal 2 32 10" xfId="722"/>
    <cellStyle name="Normal 2 32 11" xfId="723"/>
    <cellStyle name="Normal 2 32 12" xfId="724"/>
    <cellStyle name="Normal 2 32 13" xfId="725"/>
    <cellStyle name="Normal 2 32 14" xfId="726"/>
    <cellStyle name="Normal 2 32 15" xfId="727"/>
    <cellStyle name="Normal 2 32 16" xfId="728"/>
    <cellStyle name="Normal 2 32 17" xfId="729"/>
    <cellStyle name="Normal 2 32 18" xfId="730"/>
    <cellStyle name="Normal 2 32 19" xfId="731"/>
    <cellStyle name="Normal 2 32 2" xfId="732"/>
    <cellStyle name="Normal 2 32 20" xfId="733"/>
    <cellStyle name="Normal 2 32 21" xfId="734"/>
    <cellStyle name="Normal 2 32 22" xfId="735"/>
    <cellStyle name="Normal 2 32 23" xfId="736"/>
    <cellStyle name="Normal 2 32 3" xfId="737"/>
    <cellStyle name="Normal 2 32 4" xfId="738"/>
    <cellStyle name="Normal 2 32 5" xfId="739"/>
    <cellStyle name="Normal 2 32 6" xfId="740"/>
    <cellStyle name="Normal 2 32 7" xfId="741"/>
    <cellStyle name="Normal 2 32 8" xfId="742"/>
    <cellStyle name="Normal 2 32 9" xfId="743"/>
    <cellStyle name="Normal 2 33" xfId="744"/>
    <cellStyle name="Normal 2 33 10" xfId="745"/>
    <cellStyle name="Normal 2 33 11" xfId="746"/>
    <cellStyle name="Normal 2 33 12" xfId="747"/>
    <cellStyle name="Normal 2 33 13" xfId="748"/>
    <cellStyle name="Normal 2 33 14" xfId="749"/>
    <cellStyle name="Normal 2 33 15" xfId="750"/>
    <cellStyle name="Normal 2 33 16" xfId="751"/>
    <cellStyle name="Normal 2 33 17" xfId="752"/>
    <cellStyle name="Normal 2 33 18" xfId="753"/>
    <cellStyle name="Normal 2 33 19" xfId="754"/>
    <cellStyle name="Normal 2 33 2" xfId="755"/>
    <cellStyle name="Normal 2 33 20" xfId="756"/>
    <cellStyle name="Normal 2 33 21" xfId="757"/>
    <cellStyle name="Normal 2 33 22" xfId="758"/>
    <cellStyle name="Normal 2 33 23" xfId="759"/>
    <cellStyle name="Normal 2 33 3" xfId="760"/>
    <cellStyle name="Normal 2 33 4" xfId="761"/>
    <cellStyle name="Normal 2 33 5" xfId="762"/>
    <cellStyle name="Normal 2 33 6" xfId="763"/>
    <cellStyle name="Normal 2 33 7" xfId="764"/>
    <cellStyle name="Normal 2 33 8" xfId="765"/>
    <cellStyle name="Normal 2 33 9" xfId="766"/>
    <cellStyle name="Normal 2 34" xfId="767"/>
    <cellStyle name="Normal 2 34 10" xfId="768"/>
    <cellStyle name="Normal 2 34 11" xfId="769"/>
    <cellStyle name="Normal 2 34 12" xfId="770"/>
    <cellStyle name="Normal 2 34 13" xfId="771"/>
    <cellStyle name="Normal 2 34 14" xfId="772"/>
    <cellStyle name="Normal 2 34 15" xfId="773"/>
    <cellStyle name="Normal 2 34 16" xfId="774"/>
    <cellStyle name="Normal 2 34 17" xfId="775"/>
    <cellStyle name="Normal 2 34 18" xfId="776"/>
    <cellStyle name="Normal 2 34 19" xfId="777"/>
    <cellStyle name="Normal 2 34 2" xfId="778"/>
    <cellStyle name="Normal 2 34 20" xfId="779"/>
    <cellStyle name="Normal 2 34 21" xfId="780"/>
    <cellStyle name="Normal 2 34 22" xfId="781"/>
    <cellStyle name="Normal 2 34 23" xfId="782"/>
    <cellStyle name="Normal 2 34 3" xfId="783"/>
    <cellStyle name="Normal 2 34 4" xfId="784"/>
    <cellStyle name="Normal 2 34 5" xfId="785"/>
    <cellStyle name="Normal 2 34 6" xfId="786"/>
    <cellStyle name="Normal 2 34 7" xfId="787"/>
    <cellStyle name="Normal 2 34 8" xfId="788"/>
    <cellStyle name="Normal 2 34 9" xfId="789"/>
    <cellStyle name="Normal 2 35" xfId="790"/>
    <cellStyle name="Normal 2 35 10" xfId="791"/>
    <cellStyle name="Normal 2 35 11" xfId="792"/>
    <cellStyle name="Normal 2 35 12" xfId="793"/>
    <cellStyle name="Normal 2 35 13" xfId="794"/>
    <cellStyle name="Normal 2 35 14" xfId="795"/>
    <cellStyle name="Normal 2 35 15" xfId="796"/>
    <cellStyle name="Normal 2 35 16" xfId="797"/>
    <cellStyle name="Normal 2 35 17" xfId="798"/>
    <cellStyle name="Normal 2 35 18" xfId="799"/>
    <cellStyle name="Normal 2 35 19" xfId="800"/>
    <cellStyle name="Normal 2 35 2" xfId="801"/>
    <cellStyle name="Normal 2 35 20" xfId="802"/>
    <cellStyle name="Normal 2 35 21" xfId="803"/>
    <cellStyle name="Normal 2 35 22" xfId="804"/>
    <cellStyle name="Normal 2 35 23" xfId="805"/>
    <cellStyle name="Normal 2 35 3" xfId="806"/>
    <cellStyle name="Normal 2 35 4" xfId="807"/>
    <cellStyle name="Normal 2 35 5" xfId="808"/>
    <cellStyle name="Normal 2 35 6" xfId="809"/>
    <cellStyle name="Normal 2 35 7" xfId="810"/>
    <cellStyle name="Normal 2 35 8" xfId="811"/>
    <cellStyle name="Normal 2 35 9" xfId="812"/>
    <cellStyle name="Normal 2 36" xfId="813"/>
    <cellStyle name="Normal 2 36 10" xfId="814"/>
    <cellStyle name="Normal 2 36 11" xfId="815"/>
    <cellStyle name="Normal 2 36 12" xfId="816"/>
    <cellStyle name="Normal 2 36 13" xfId="817"/>
    <cellStyle name="Normal 2 36 14" xfId="818"/>
    <cellStyle name="Normal 2 36 15" xfId="819"/>
    <cellStyle name="Normal 2 36 16" xfId="820"/>
    <cellStyle name="Normal 2 36 17" xfId="821"/>
    <cellStyle name="Normal 2 36 18" xfId="822"/>
    <cellStyle name="Normal 2 36 19" xfId="823"/>
    <cellStyle name="Normal 2 36 2" xfId="824"/>
    <cellStyle name="Normal 2 36 20" xfId="825"/>
    <cellStyle name="Normal 2 36 21" xfId="826"/>
    <cellStyle name="Normal 2 36 22" xfId="827"/>
    <cellStyle name="Normal 2 36 23" xfId="828"/>
    <cellStyle name="Normal 2 36 3" xfId="829"/>
    <cellStyle name="Normal 2 36 4" xfId="830"/>
    <cellStyle name="Normal 2 36 5" xfId="831"/>
    <cellStyle name="Normal 2 36 6" xfId="832"/>
    <cellStyle name="Normal 2 36 7" xfId="833"/>
    <cellStyle name="Normal 2 36 8" xfId="834"/>
    <cellStyle name="Normal 2 36 9" xfId="835"/>
    <cellStyle name="Normal 2 37" xfId="836"/>
    <cellStyle name="Normal 2 37 10" xfId="837"/>
    <cellStyle name="Normal 2 37 11" xfId="838"/>
    <cellStyle name="Normal 2 37 12" xfId="839"/>
    <cellStyle name="Normal 2 37 13" xfId="840"/>
    <cellStyle name="Normal 2 37 14" xfId="841"/>
    <cellStyle name="Normal 2 37 15" xfId="842"/>
    <cellStyle name="Normal 2 37 16" xfId="843"/>
    <cellStyle name="Normal 2 37 17" xfId="844"/>
    <cellStyle name="Normal 2 37 18" xfId="845"/>
    <cellStyle name="Normal 2 37 19" xfId="846"/>
    <cellStyle name="Normal 2 37 2" xfId="847"/>
    <cellStyle name="Normal 2 37 20" xfId="848"/>
    <cellStyle name="Normal 2 37 21" xfId="849"/>
    <cellStyle name="Normal 2 37 22" xfId="850"/>
    <cellStyle name="Normal 2 37 23" xfId="851"/>
    <cellStyle name="Normal 2 37 3" xfId="852"/>
    <cellStyle name="Normal 2 37 4" xfId="853"/>
    <cellStyle name="Normal 2 37 5" xfId="854"/>
    <cellStyle name="Normal 2 37 6" xfId="855"/>
    <cellStyle name="Normal 2 37 7" xfId="856"/>
    <cellStyle name="Normal 2 37 8" xfId="857"/>
    <cellStyle name="Normal 2 37 9" xfId="858"/>
    <cellStyle name="Normal 2 38" xfId="859"/>
    <cellStyle name="Normal 2 38 10" xfId="860"/>
    <cellStyle name="Normal 2 38 11" xfId="861"/>
    <cellStyle name="Normal 2 38 12" xfId="862"/>
    <cellStyle name="Normal 2 38 13" xfId="863"/>
    <cellStyle name="Normal 2 38 14" xfId="864"/>
    <cellStyle name="Normal 2 38 15" xfId="865"/>
    <cellStyle name="Normal 2 38 16" xfId="866"/>
    <cellStyle name="Normal 2 38 17" xfId="867"/>
    <cellStyle name="Normal 2 38 18" xfId="868"/>
    <cellStyle name="Normal 2 38 19" xfId="869"/>
    <cellStyle name="Normal 2 38 2" xfId="870"/>
    <cellStyle name="Normal 2 38 20" xfId="871"/>
    <cellStyle name="Normal 2 38 21" xfId="872"/>
    <cellStyle name="Normal 2 38 22" xfId="873"/>
    <cellStyle name="Normal 2 38 23" xfId="874"/>
    <cellStyle name="Normal 2 38 3" xfId="875"/>
    <cellStyle name="Normal 2 38 4" xfId="876"/>
    <cellStyle name="Normal 2 38 5" xfId="877"/>
    <cellStyle name="Normal 2 38 6" xfId="878"/>
    <cellStyle name="Normal 2 38 7" xfId="879"/>
    <cellStyle name="Normal 2 38 8" xfId="880"/>
    <cellStyle name="Normal 2 38 9" xfId="881"/>
    <cellStyle name="Normal 2 39" xfId="882"/>
    <cellStyle name="Normal 2 39 10" xfId="883"/>
    <cellStyle name="Normal 2 39 11" xfId="884"/>
    <cellStyle name="Normal 2 39 12" xfId="885"/>
    <cellStyle name="Normal 2 39 13" xfId="886"/>
    <cellStyle name="Normal 2 39 14" xfId="887"/>
    <cellStyle name="Normal 2 39 15" xfId="888"/>
    <cellStyle name="Normal 2 39 16" xfId="889"/>
    <cellStyle name="Normal 2 39 17" xfId="890"/>
    <cellStyle name="Normal 2 39 18" xfId="891"/>
    <cellStyle name="Normal 2 39 19" xfId="892"/>
    <cellStyle name="Normal 2 39 2" xfId="893"/>
    <cellStyle name="Normal 2 39 20" xfId="894"/>
    <cellStyle name="Normal 2 39 21" xfId="895"/>
    <cellStyle name="Normal 2 39 22" xfId="896"/>
    <cellStyle name="Normal 2 39 23" xfId="897"/>
    <cellStyle name="Normal 2 39 3" xfId="898"/>
    <cellStyle name="Normal 2 39 4" xfId="899"/>
    <cellStyle name="Normal 2 39 5" xfId="900"/>
    <cellStyle name="Normal 2 39 6" xfId="901"/>
    <cellStyle name="Normal 2 39 7" xfId="902"/>
    <cellStyle name="Normal 2 39 8" xfId="903"/>
    <cellStyle name="Normal 2 39 9" xfId="904"/>
    <cellStyle name="Normal 2 4" xfId="89"/>
    <cellStyle name="Normal 2 4 2" xfId="90"/>
    <cellStyle name="Normal 2 4 2 2" xfId="905"/>
    <cellStyle name="Normal 2 4 2 3" xfId="906"/>
    <cellStyle name="Normal 2 40" xfId="907"/>
    <cellStyle name="Normal 2 41" xfId="908"/>
    <cellStyle name="Normal 2 42" xfId="909"/>
    <cellStyle name="Normal 2 43" xfId="910"/>
    <cellStyle name="Normal 2 44" xfId="911"/>
    <cellStyle name="Normal 2 45" xfId="912"/>
    <cellStyle name="Normal 2 46" xfId="913"/>
    <cellStyle name="Normal 2 47" xfId="914"/>
    <cellStyle name="Normal 2 48" xfId="915"/>
    <cellStyle name="Normal 2 49" xfId="916"/>
    <cellStyle name="Normal 2 5" xfId="91"/>
    <cellStyle name="Normal 2 5 10" xfId="917"/>
    <cellStyle name="Normal 2 5 11" xfId="918"/>
    <cellStyle name="Normal 2 5 12" xfId="919"/>
    <cellStyle name="Normal 2 5 13" xfId="920"/>
    <cellStyle name="Normal 2 5 14" xfId="921"/>
    <cellStyle name="Normal 2 5 15" xfId="922"/>
    <cellStyle name="Normal 2 5 16" xfId="923"/>
    <cellStyle name="Normal 2 5 17" xfId="924"/>
    <cellStyle name="Normal 2 5 18" xfId="925"/>
    <cellStyle name="Normal 2 5 19" xfId="926"/>
    <cellStyle name="Normal 2 5 2" xfId="927"/>
    <cellStyle name="Normal 2 5 2 10" xfId="928"/>
    <cellStyle name="Normal 2 5 2 11" xfId="929"/>
    <cellStyle name="Normal 2 5 2 12" xfId="930"/>
    <cellStyle name="Normal 2 5 2 13" xfId="931"/>
    <cellStyle name="Normal 2 5 2 14" xfId="932"/>
    <cellStyle name="Normal 2 5 2 15" xfId="933"/>
    <cellStyle name="Normal 2 5 2 16" xfId="934"/>
    <cellStyle name="Normal 2 5 2 17" xfId="935"/>
    <cellStyle name="Normal 2 5 2 18" xfId="936"/>
    <cellStyle name="Normal 2 5 2 19" xfId="937"/>
    <cellStyle name="Normal 2 5 2 2" xfId="938"/>
    <cellStyle name="Normal 2 5 2 2 10" xfId="939"/>
    <cellStyle name="Normal 2 5 2 2 11" xfId="940"/>
    <cellStyle name="Normal 2 5 2 2 12" xfId="941"/>
    <cellStyle name="Normal 2 5 2 2 13" xfId="942"/>
    <cellStyle name="Normal 2 5 2 2 14" xfId="943"/>
    <cellStyle name="Normal 2 5 2 2 15" xfId="944"/>
    <cellStyle name="Normal 2 5 2 2 16" xfId="945"/>
    <cellStyle name="Normal 2 5 2 2 17" xfId="946"/>
    <cellStyle name="Normal 2 5 2 2 18" xfId="947"/>
    <cellStyle name="Normal 2 5 2 2 19" xfId="948"/>
    <cellStyle name="Normal 2 5 2 2 2" xfId="949"/>
    <cellStyle name="Normal 2 5 2 2 20" xfId="950"/>
    <cellStyle name="Normal 2 5 2 2 21" xfId="951"/>
    <cellStyle name="Normal 2 5 2 2 22" xfId="952"/>
    <cellStyle name="Normal 2 5 2 2 23" xfId="953"/>
    <cellStyle name="Normal 2 5 2 2 24" xfId="954"/>
    <cellStyle name="Normal 2 5 2 2 25" xfId="955"/>
    <cellStyle name="Normal 2 5 2 2 26" xfId="956"/>
    <cellStyle name="Normal 2 5 2 2 27" xfId="957"/>
    <cellStyle name="Normal 2 5 2 2 28" xfId="958"/>
    <cellStyle name="Normal 2 5 2 2 29" xfId="959"/>
    <cellStyle name="Normal 2 5 2 2 3" xfId="960"/>
    <cellStyle name="Normal 2 5 2 2 30" xfId="961"/>
    <cellStyle name="Normal 2 5 2 2 31" xfId="962"/>
    <cellStyle name="Normal 2 5 2 2 32" xfId="963"/>
    <cellStyle name="Normal 2 5 2 2 33" xfId="964"/>
    <cellStyle name="Normal 2 5 2 2 34" xfId="965"/>
    <cellStyle name="Normal 2 5 2 2 35" xfId="966"/>
    <cellStyle name="Normal 2 5 2 2 36" xfId="967"/>
    <cellStyle name="Normal 2 5 2 2 37" xfId="968"/>
    <cellStyle name="Normal 2 5 2 2 38" xfId="969"/>
    <cellStyle name="Normal 2 5 2 2 39" xfId="970"/>
    <cellStyle name="Normal 2 5 2 2 4" xfId="971"/>
    <cellStyle name="Normal 2 5 2 2 40" xfId="972"/>
    <cellStyle name="Normal 2 5 2 2 41" xfId="973"/>
    <cellStyle name="Normal 2 5 2 2 42" xfId="974"/>
    <cellStyle name="Normal 2 5 2 2 43" xfId="975"/>
    <cellStyle name="Normal 2 5 2 2 44" xfId="976"/>
    <cellStyle name="Normal 2 5 2 2 45" xfId="977"/>
    <cellStyle name="Normal 2 5 2 2 46" xfId="978"/>
    <cellStyle name="Normal 2 5 2 2 47" xfId="979"/>
    <cellStyle name="Normal 2 5 2 2 48" xfId="980"/>
    <cellStyle name="Normal 2 5 2 2 49" xfId="981"/>
    <cellStyle name="Normal 2 5 2 2 5" xfId="982"/>
    <cellStyle name="Normal 2 5 2 2 50" xfId="983"/>
    <cellStyle name="Normal 2 5 2 2 51" xfId="984"/>
    <cellStyle name="Normal 2 5 2 2 52" xfId="985"/>
    <cellStyle name="Normal 2 5 2 2 53" xfId="986"/>
    <cellStyle name="Normal 2 5 2 2 54" xfId="987"/>
    <cellStyle name="Normal 2 5 2 2 55" xfId="988"/>
    <cellStyle name="Normal 2 5 2 2 6" xfId="989"/>
    <cellStyle name="Normal 2 5 2 2 7" xfId="990"/>
    <cellStyle name="Normal 2 5 2 2 8" xfId="991"/>
    <cellStyle name="Normal 2 5 2 2 9" xfId="992"/>
    <cellStyle name="Normal 2 5 2 20" xfId="993"/>
    <cellStyle name="Normal 2 5 2 21" xfId="994"/>
    <cellStyle name="Normal 2 5 2 22" xfId="995"/>
    <cellStyle name="Normal 2 5 2 23" xfId="996"/>
    <cellStyle name="Normal 2 5 2 24" xfId="997"/>
    <cellStyle name="Normal 2 5 2 25" xfId="998"/>
    <cellStyle name="Normal 2 5 2 26" xfId="999"/>
    <cellStyle name="Normal 2 5 2 27" xfId="1000"/>
    <cellStyle name="Normal 2 5 2 28" xfId="1001"/>
    <cellStyle name="Normal 2 5 2 29" xfId="1002"/>
    <cellStyle name="Normal 2 5 2 3" xfId="1003"/>
    <cellStyle name="Normal 2 5 2 30" xfId="1004"/>
    <cellStyle name="Normal 2 5 2 31" xfId="1005"/>
    <cellStyle name="Normal 2 5 2 32" xfId="1006"/>
    <cellStyle name="Normal 2 5 2 33" xfId="1007"/>
    <cellStyle name="Normal 2 5 2 4" xfId="1008"/>
    <cellStyle name="Normal 2 5 2 5" xfId="1009"/>
    <cellStyle name="Normal 2 5 2 6" xfId="1010"/>
    <cellStyle name="Normal 2 5 2 7" xfId="1011"/>
    <cellStyle name="Normal 2 5 2 8" xfId="1012"/>
    <cellStyle name="Normal 2 5 2 9" xfId="1013"/>
    <cellStyle name="Normal 2 5 20" xfId="1014"/>
    <cellStyle name="Normal 2 5 21" xfId="1015"/>
    <cellStyle name="Normal 2 5 22" xfId="1016"/>
    <cellStyle name="Normal 2 5 23" xfId="1017"/>
    <cellStyle name="Normal 2 5 24" xfId="1018"/>
    <cellStyle name="Normal 2 5 25" xfId="1019"/>
    <cellStyle name="Normal 2 5 26" xfId="1020"/>
    <cellStyle name="Normal 2 5 27" xfId="1021"/>
    <cellStyle name="Normal 2 5 28" xfId="1022"/>
    <cellStyle name="Normal 2 5 29" xfId="1023"/>
    <cellStyle name="Normal 2 5 3" xfId="1024"/>
    <cellStyle name="Normal 2 5 30" xfId="1025"/>
    <cellStyle name="Normal 2 5 31" xfId="1026"/>
    <cellStyle name="Normal 2 5 32" xfId="1027"/>
    <cellStyle name="Normal 2 5 33" xfId="1028"/>
    <cellStyle name="Normal 2 5 34" xfId="1029"/>
    <cellStyle name="Normal 2 5 35" xfId="1030"/>
    <cellStyle name="Normal 2 5 36" xfId="1031"/>
    <cellStyle name="Normal 2 5 37" xfId="1032"/>
    <cellStyle name="Normal 2 5 38" xfId="1033"/>
    <cellStyle name="Normal 2 5 39" xfId="1034"/>
    <cellStyle name="Normal 2 5 4" xfId="1035"/>
    <cellStyle name="Normal 2 5 40" xfId="1036"/>
    <cellStyle name="Normal 2 5 41" xfId="1037"/>
    <cellStyle name="Normal 2 5 42" xfId="1038"/>
    <cellStyle name="Normal 2 5 43" xfId="1039"/>
    <cellStyle name="Normal 2 5 44" xfId="1040"/>
    <cellStyle name="Normal 2 5 45" xfId="1041"/>
    <cellStyle name="Normal 2 5 46" xfId="1042"/>
    <cellStyle name="Normal 2 5 47" xfId="1043"/>
    <cellStyle name="Normal 2 5 48" xfId="1044"/>
    <cellStyle name="Normal 2 5 49" xfId="1045"/>
    <cellStyle name="Normal 2 5 5" xfId="1046"/>
    <cellStyle name="Normal 2 5 50" xfId="1047"/>
    <cellStyle name="Normal 2 5 51" xfId="1048"/>
    <cellStyle name="Normal 2 5 52" xfId="1049"/>
    <cellStyle name="Normal 2 5 53" xfId="1050"/>
    <cellStyle name="Normal 2 5 54" xfId="1051"/>
    <cellStyle name="Normal 2 5 55" xfId="1052"/>
    <cellStyle name="Normal 2 5 56" xfId="1053"/>
    <cellStyle name="Normal 2 5 57" xfId="1054"/>
    <cellStyle name="Normal 2 5 58" xfId="1055"/>
    <cellStyle name="Normal 2 5 59" xfId="1056"/>
    <cellStyle name="Normal 2 5 6" xfId="1057"/>
    <cellStyle name="Normal 2 5 60" xfId="1058"/>
    <cellStyle name="Normal 2 5 61" xfId="1059"/>
    <cellStyle name="Normal 2 5 62" xfId="1060"/>
    <cellStyle name="Normal 2 5 63" xfId="1061"/>
    <cellStyle name="Normal 2 5 64" xfId="1062"/>
    <cellStyle name="Normal 2 5 65" xfId="1063"/>
    <cellStyle name="Normal 2 5 66" xfId="1064"/>
    <cellStyle name="Normal 2 5 67" xfId="1065"/>
    <cellStyle name="Normal 2 5 68" xfId="1066"/>
    <cellStyle name="Normal 2 5 69" xfId="1067"/>
    <cellStyle name="Normal 2 5 7" xfId="1068"/>
    <cellStyle name="Normal 2 5 70" xfId="1069"/>
    <cellStyle name="Normal 2 5 71" xfId="1070"/>
    <cellStyle name="Normal 2 5 72" xfId="1071"/>
    <cellStyle name="Normal 2 5 73" xfId="1072"/>
    <cellStyle name="Normal 2 5 74" xfId="1073"/>
    <cellStyle name="Normal 2 5 75" xfId="1074"/>
    <cellStyle name="Normal 2 5 76" xfId="1075"/>
    <cellStyle name="Normal 2 5 77" xfId="1076"/>
    <cellStyle name="Normal 2 5 78" xfId="1077"/>
    <cellStyle name="Normal 2 5 79" xfId="1078"/>
    <cellStyle name="Normal 2 5 8" xfId="1079"/>
    <cellStyle name="Normal 2 5 80" xfId="1080"/>
    <cellStyle name="Normal 2 5 81" xfId="1081"/>
    <cellStyle name="Normal 2 5 82" xfId="1082"/>
    <cellStyle name="Normal 2 5 83" xfId="1083"/>
    <cellStyle name="Normal 2 5 84" xfId="1084"/>
    <cellStyle name="Normal 2 5 85" xfId="1085"/>
    <cellStyle name="Normal 2 5 86" xfId="1086"/>
    <cellStyle name="Normal 2 5 87" xfId="1087"/>
    <cellStyle name="Normal 2 5 88" xfId="1088"/>
    <cellStyle name="Normal 2 5 9" xfId="1089"/>
    <cellStyle name="Normal 2 5_DEER 032008 Cost Summary Delivery - Rev 4 (2)" xfId="1090"/>
    <cellStyle name="Normal 2 50" xfId="1091"/>
    <cellStyle name="Normal 2 51" xfId="1092"/>
    <cellStyle name="Normal 2 52" xfId="1093"/>
    <cellStyle name="Normal 2 53" xfId="1094"/>
    <cellStyle name="Normal 2 54" xfId="1095"/>
    <cellStyle name="Normal 2 55" xfId="1096"/>
    <cellStyle name="Normal 2 56" xfId="1097"/>
    <cellStyle name="Normal 2 57" xfId="1098"/>
    <cellStyle name="Normal 2 58" xfId="1099"/>
    <cellStyle name="Normal 2 59" xfId="1100"/>
    <cellStyle name="Normal 2 6" xfId="92"/>
    <cellStyle name="Normal 2 6 2" xfId="1101"/>
    <cellStyle name="Normal 2 6 2 2" xfId="1102"/>
    <cellStyle name="Normal 2 6 3" xfId="1103"/>
    <cellStyle name="Normal 2 60" xfId="1104"/>
    <cellStyle name="Normal 2 61" xfId="1105"/>
    <cellStyle name="Normal 2 62" xfId="1106"/>
    <cellStyle name="Normal 2 63" xfId="1107"/>
    <cellStyle name="Normal 2 64" xfId="1108"/>
    <cellStyle name="Normal 2 65" xfId="1109"/>
    <cellStyle name="Normal 2 66" xfId="1110"/>
    <cellStyle name="Normal 2 67" xfId="1111"/>
    <cellStyle name="Normal 2 68" xfId="1112"/>
    <cellStyle name="Normal 2 69" xfId="1113"/>
    <cellStyle name="Normal 2 7" xfId="1114"/>
    <cellStyle name="Normal 2 70" xfId="1115"/>
    <cellStyle name="Normal 2 71" xfId="1116"/>
    <cellStyle name="Normal 2 72" xfId="1117"/>
    <cellStyle name="Normal 2 73" xfId="1118"/>
    <cellStyle name="Normal 2 74" xfId="1119"/>
    <cellStyle name="Normal 2 75" xfId="1120"/>
    <cellStyle name="Normal 2 76" xfId="1121"/>
    <cellStyle name="Normal 2 77" xfId="1122"/>
    <cellStyle name="Normal 2 78" xfId="1123"/>
    <cellStyle name="Normal 2 79" xfId="1124"/>
    <cellStyle name="Normal 2 8" xfId="1125"/>
    <cellStyle name="Normal 2 8 10" xfId="1126"/>
    <cellStyle name="Normal 2 8 11" xfId="1127"/>
    <cellStyle name="Normal 2 8 12" xfId="1128"/>
    <cellStyle name="Normal 2 8 13" xfId="1129"/>
    <cellStyle name="Normal 2 8 14" xfId="1130"/>
    <cellStyle name="Normal 2 8 15" xfId="1131"/>
    <cellStyle name="Normal 2 8 16" xfId="1132"/>
    <cellStyle name="Normal 2 8 17" xfId="1133"/>
    <cellStyle name="Normal 2 8 18" xfId="1134"/>
    <cellStyle name="Normal 2 8 19" xfId="1135"/>
    <cellStyle name="Normal 2 8 2" xfId="1136"/>
    <cellStyle name="Normal 2 8 20" xfId="1137"/>
    <cellStyle name="Normal 2 8 21" xfId="1138"/>
    <cellStyle name="Normal 2 8 22" xfId="1139"/>
    <cellStyle name="Normal 2 8 23" xfId="1140"/>
    <cellStyle name="Normal 2 8 3" xfId="1141"/>
    <cellStyle name="Normal 2 8 4" xfId="1142"/>
    <cellStyle name="Normal 2 8 5" xfId="1143"/>
    <cellStyle name="Normal 2 8 6" xfId="1144"/>
    <cellStyle name="Normal 2 8 7" xfId="1145"/>
    <cellStyle name="Normal 2 8 8" xfId="1146"/>
    <cellStyle name="Normal 2 8 9" xfId="1147"/>
    <cellStyle name="Normal 2 80" xfId="1148"/>
    <cellStyle name="Normal 2 81" xfId="1149"/>
    <cellStyle name="Normal 2 82" xfId="1150"/>
    <cellStyle name="Normal 2 83" xfId="1151"/>
    <cellStyle name="Normal 2 84" xfId="1152"/>
    <cellStyle name="Normal 2 85" xfId="1153"/>
    <cellStyle name="Normal 2 86" xfId="1154"/>
    <cellStyle name="Normal 2 87" xfId="1155"/>
    <cellStyle name="Normal 2 88" xfId="1156"/>
    <cellStyle name="Normal 2 89" xfId="1157"/>
    <cellStyle name="Normal 2 9" xfId="1158"/>
    <cellStyle name="Normal 2 9 10" xfId="1159"/>
    <cellStyle name="Normal 2 9 11" xfId="1160"/>
    <cellStyle name="Normal 2 9 12" xfId="1161"/>
    <cellStyle name="Normal 2 9 13" xfId="1162"/>
    <cellStyle name="Normal 2 9 14" xfId="1163"/>
    <cellStyle name="Normal 2 9 15" xfId="1164"/>
    <cellStyle name="Normal 2 9 16" xfId="1165"/>
    <cellStyle name="Normal 2 9 17" xfId="1166"/>
    <cellStyle name="Normal 2 9 18" xfId="1167"/>
    <cellStyle name="Normal 2 9 19" xfId="1168"/>
    <cellStyle name="Normal 2 9 2" xfId="1169"/>
    <cellStyle name="Normal 2 9 20" xfId="1170"/>
    <cellStyle name="Normal 2 9 21" xfId="1171"/>
    <cellStyle name="Normal 2 9 22" xfId="1172"/>
    <cellStyle name="Normal 2 9 23" xfId="1173"/>
    <cellStyle name="Normal 2 9 3" xfId="1174"/>
    <cellStyle name="Normal 2 9 4" xfId="1175"/>
    <cellStyle name="Normal 2 9 5" xfId="1176"/>
    <cellStyle name="Normal 2 9 6" xfId="1177"/>
    <cellStyle name="Normal 2 9 7" xfId="1178"/>
    <cellStyle name="Normal 2 9 8" xfId="1179"/>
    <cellStyle name="Normal 2 9 9" xfId="1180"/>
    <cellStyle name="Normal 2 90" xfId="1181"/>
    <cellStyle name="Normal 2 91" xfId="1182"/>
    <cellStyle name="Normal 2 92" xfId="1183"/>
    <cellStyle name="Normal 2 93" xfId="1184"/>
    <cellStyle name="Normal 2 94" xfId="1185"/>
    <cellStyle name="Normal 2_DEER 032008 Cost Summary Delivery - Rev 4 (2)" xfId="1186"/>
    <cellStyle name="Normal 3" xfId="6"/>
    <cellStyle name="Normal 3 10" xfId="1187"/>
    <cellStyle name="Normal 3 10 10" xfId="1188"/>
    <cellStyle name="Normal 3 10 11" xfId="1189"/>
    <cellStyle name="Normal 3 10 12" xfId="1190"/>
    <cellStyle name="Normal 3 10 13" xfId="1191"/>
    <cellStyle name="Normal 3 10 14" xfId="1192"/>
    <cellStyle name="Normal 3 10 15" xfId="1193"/>
    <cellStyle name="Normal 3 10 16" xfId="1194"/>
    <cellStyle name="Normal 3 10 17" xfId="1195"/>
    <cellStyle name="Normal 3 10 18" xfId="1196"/>
    <cellStyle name="Normal 3 10 19" xfId="1197"/>
    <cellStyle name="Normal 3 10 2" xfId="1198"/>
    <cellStyle name="Normal 3 10 20" xfId="1199"/>
    <cellStyle name="Normal 3 10 21" xfId="1200"/>
    <cellStyle name="Normal 3 10 22" xfId="1201"/>
    <cellStyle name="Normal 3 10 23" xfId="1202"/>
    <cellStyle name="Normal 3 10 3" xfId="1203"/>
    <cellStyle name="Normal 3 10 4" xfId="1204"/>
    <cellStyle name="Normal 3 10 5" xfId="1205"/>
    <cellStyle name="Normal 3 10 6" xfId="1206"/>
    <cellStyle name="Normal 3 10 7" xfId="1207"/>
    <cellStyle name="Normal 3 10 8" xfId="1208"/>
    <cellStyle name="Normal 3 10 9" xfId="1209"/>
    <cellStyle name="Normal 3 11" xfId="1210"/>
    <cellStyle name="Normal 3 11 10" xfId="1211"/>
    <cellStyle name="Normal 3 11 11" xfId="1212"/>
    <cellStyle name="Normal 3 11 12" xfId="1213"/>
    <cellStyle name="Normal 3 11 13" xfId="1214"/>
    <cellStyle name="Normal 3 11 14" xfId="1215"/>
    <cellStyle name="Normal 3 11 15" xfId="1216"/>
    <cellStyle name="Normal 3 11 16" xfId="1217"/>
    <cellStyle name="Normal 3 11 17" xfId="1218"/>
    <cellStyle name="Normal 3 11 18" xfId="1219"/>
    <cellStyle name="Normal 3 11 19" xfId="1220"/>
    <cellStyle name="Normal 3 11 2" xfId="1221"/>
    <cellStyle name="Normal 3 11 20" xfId="1222"/>
    <cellStyle name="Normal 3 11 21" xfId="1223"/>
    <cellStyle name="Normal 3 11 22" xfId="1224"/>
    <cellStyle name="Normal 3 11 23" xfId="1225"/>
    <cellStyle name="Normal 3 11 3" xfId="1226"/>
    <cellStyle name="Normal 3 11 4" xfId="1227"/>
    <cellStyle name="Normal 3 11 5" xfId="1228"/>
    <cellStyle name="Normal 3 11 6" xfId="1229"/>
    <cellStyle name="Normal 3 11 7" xfId="1230"/>
    <cellStyle name="Normal 3 11 8" xfId="1231"/>
    <cellStyle name="Normal 3 11 9" xfId="1232"/>
    <cellStyle name="Normal 3 12" xfId="1233"/>
    <cellStyle name="Normal 3 12 10" xfId="1234"/>
    <cellStyle name="Normal 3 12 11" xfId="1235"/>
    <cellStyle name="Normal 3 12 12" xfId="1236"/>
    <cellStyle name="Normal 3 12 13" xfId="1237"/>
    <cellStyle name="Normal 3 12 14" xfId="1238"/>
    <cellStyle name="Normal 3 12 15" xfId="1239"/>
    <cellStyle name="Normal 3 12 16" xfId="1240"/>
    <cellStyle name="Normal 3 12 17" xfId="1241"/>
    <cellStyle name="Normal 3 12 18" xfId="1242"/>
    <cellStyle name="Normal 3 12 19" xfId="1243"/>
    <cellStyle name="Normal 3 12 2" xfId="1244"/>
    <cellStyle name="Normal 3 12 20" xfId="1245"/>
    <cellStyle name="Normal 3 12 21" xfId="1246"/>
    <cellStyle name="Normal 3 12 22" xfId="1247"/>
    <cellStyle name="Normal 3 12 23" xfId="1248"/>
    <cellStyle name="Normal 3 12 3" xfId="1249"/>
    <cellStyle name="Normal 3 12 4" xfId="1250"/>
    <cellStyle name="Normal 3 12 5" xfId="1251"/>
    <cellStyle name="Normal 3 12 6" xfId="1252"/>
    <cellStyle name="Normal 3 12 7" xfId="1253"/>
    <cellStyle name="Normal 3 12 8" xfId="1254"/>
    <cellStyle name="Normal 3 12 9" xfId="1255"/>
    <cellStyle name="Normal 3 13" xfId="1256"/>
    <cellStyle name="Normal 3 13 10" xfId="1257"/>
    <cellStyle name="Normal 3 13 11" xfId="1258"/>
    <cellStyle name="Normal 3 13 12" xfId="1259"/>
    <cellStyle name="Normal 3 13 13" xfId="1260"/>
    <cellStyle name="Normal 3 13 14" xfId="1261"/>
    <cellStyle name="Normal 3 13 15" xfId="1262"/>
    <cellStyle name="Normal 3 13 16" xfId="1263"/>
    <cellStyle name="Normal 3 13 17" xfId="1264"/>
    <cellStyle name="Normal 3 13 18" xfId="1265"/>
    <cellStyle name="Normal 3 13 19" xfId="1266"/>
    <cellStyle name="Normal 3 13 2" xfId="1267"/>
    <cellStyle name="Normal 3 13 20" xfId="1268"/>
    <cellStyle name="Normal 3 13 21" xfId="1269"/>
    <cellStyle name="Normal 3 13 22" xfId="1270"/>
    <cellStyle name="Normal 3 13 23" xfId="1271"/>
    <cellStyle name="Normal 3 13 3" xfId="1272"/>
    <cellStyle name="Normal 3 13 4" xfId="1273"/>
    <cellStyle name="Normal 3 13 5" xfId="1274"/>
    <cellStyle name="Normal 3 13 6" xfId="1275"/>
    <cellStyle name="Normal 3 13 7" xfId="1276"/>
    <cellStyle name="Normal 3 13 8" xfId="1277"/>
    <cellStyle name="Normal 3 13 9" xfId="1278"/>
    <cellStyle name="Normal 3 14" xfId="1279"/>
    <cellStyle name="Normal 3 14 10" xfId="1280"/>
    <cellStyle name="Normal 3 14 11" xfId="1281"/>
    <cellStyle name="Normal 3 14 12" xfId="1282"/>
    <cellStyle name="Normal 3 14 13" xfId="1283"/>
    <cellStyle name="Normal 3 14 14" xfId="1284"/>
    <cellStyle name="Normal 3 14 15" xfId="1285"/>
    <cellStyle name="Normal 3 14 16" xfId="1286"/>
    <cellStyle name="Normal 3 14 17" xfId="1287"/>
    <cellStyle name="Normal 3 14 18" xfId="1288"/>
    <cellStyle name="Normal 3 14 19" xfId="1289"/>
    <cellStyle name="Normal 3 14 2" xfId="1290"/>
    <cellStyle name="Normal 3 14 20" xfId="1291"/>
    <cellStyle name="Normal 3 14 21" xfId="1292"/>
    <cellStyle name="Normal 3 14 22" xfId="1293"/>
    <cellStyle name="Normal 3 14 23" xfId="1294"/>
    <cellStyle name="Normal 3 14 3" xfId="1295"/>
    <cellStyle name="Normal 3 14 4" xfId="1296"/>
    <cellStyle name="Normal 3 14 5" xfId="1297"/>
    <cellStyle name="Normal 3 14 6" xfId="1298"/>
    <cellStyle name="Normal 3 14 7" xfId="1299"/>
    <cellStyle name="Normal 3 14 8" xfId="1300"/>
    <cellStyle name="Normal 3 14 9" xfId="1301"/>
    <cellStyle name="Normal 3 15" xfId="1302"/>
    <cellStyle name="Normal 3 15 10" xfId="1303"/>
    <cellStyle name="Normal 3 15 11" xfId="1304"/>
    <cellStyle name="Normal 3 15 12" xfId="1305"/>
    <cellStyle name="Normal 3 15 13" xfId="1306"/>
    <cellStyle name="Normal 3 15 14" xfId="1307"/>
    <cellStyle name="Normal 3 15 15" xfId="1308"/>
    <cellStyle name="Normal 3 15 16" xfId="1309"/>
    <cellStyle name="Normal 3 15 17" xfId="1310"/>
    <cellStyle name="Normal 3 15 18" xfId="1311"/>
    <cellStyle name="Normal 3 15 19" xfId="1312"/>
    <cellStyle name="Normal 3 15 2" xfId="1313"/>
    <cellStyle name="Normal 3 15 20" xfId="1314"/>
    <cellStyle name="Normal 3 15 21" xfId="1315"/>
    <cellStyle name="Normal 3 15 22" xfId="1316"/>
    <cellStyle name="Normal 3 15 23" xfId="1317"/>
    <cellStyle name="Normal 3 15 3" xfId="1318"/>
    <cellStyle name="Normal 3 15 4" xfId="1319"/>
    <cellStyle name="Normal 3 15 5" xfId="1320"/>
    <cellStyle name="Normal 3 15 6" xfId="1321"/>
    <cellStyle name="Normal 3 15 7" xfId="1322"/>
    <cellStyle name="Normal 3 15 8" xfId="1323"/>
    <cellStyle name="Normal 3 15 9" xfId="1324"/>
    <cellStyle name="Normal 3 16" xfId="1325"/>
    <cellStyle name="Normal 3 16 10" xfId="1326"/>
    <cellStyle name="Normal 3 16 11" xfId="1327"/>
    <cellStyle name="Normal 3 16 12" xfId="1328"/>
    <cellStyle name="Normal 3 16 13" xfId="1329"/>
    <cellStyle name="Normal 3 16 14" xfId="1330"/>
    <cellStyle name="Normal 3 16 15" xfId="1331"/>
    <cellStyle name="Normal 3 16 16" xfId="1332"/>
    <cellStyle name="Normal 3 16 17" xfId="1333"/>
    <cellStyle name="Normal 3 16 18" xfId="1334"/>
    <cellStyle name="Normal 3 16 19" xfId="1335"/>
    <cellStyle name="Normal 3 16 2" xfId="1336"/>
    <cellStyle name="Normal 3 16 20" xfId="1337"/>
    <cellStyle name="Normal 3 16 21" xfId="1338"/>
    <cellStyle name="Normal 3 16 22" xfId="1339"/>
    <cellStyle name="Normal 3 16 23" xfId="1340"/>
    <cellStyle name="Normal 3 16 3" xfId="1341"/>
    <cellStyle name="Normal 3 16 4" xfId="1342"/>
    <cellStyle name="Normal 3 16 5" xfId="1343"/>
    <cellStyle name="Normal 3 16 6" xfId="1344"/>
    <cellStyle name="Normal 3 16 7" xfId="1345"/>
    <cellStyle name="Normal 3 16 8" xfId="1346"/>
    <cellStyle name="Normal 3 16 9" xfId="1347"/>
    <cellStyle name="Normal 3 17" xfId="1348"/>
    <cellStyle name="Normal 3 17 10" xfId="1349"/>
    <cellStyle name="Normal 3 17 11" xfId="1350"/>
    <cellStyle name="Normal 3 17 12" xfId="1351"/>
    <cellStyle name="Normal 3 17 13" xfId="1352"/>
    <cellStyle name="Normal 3 17 14" xfId="1353"/>
    <cellStyle name="Normal 3 17 15" xfId="1354"/>
    <cellStyle name="Normal 3 17 16" xfId="1355"/>
    <cellStyle name="Normal 3 17 17" xfId="1356"/>
    <cellStyle name="Normal 3 17 18" xfId="1357"/>
    <cellStyle name="Normal 3 17 19" xfId="1358"/>
    <cellStyle name="Normal 3 17 2" xfId="1359"/>
    <cellStyle name="Normal 3 17 20" xfId="1360"/>
    <cellStyle name="Normal 3 17 21" xfId="1361"/>
    <cellStyle name="Normal 3 17 22" xfId="1362"/>
    <cellStyle name="Normal 3 17 23" xfId="1363"/>
    <cellStyle name="Normal 3 17 3" xfId="1364"/>
    <cellStyle name="Normal 3 17 4" xfId="1365"/>
    <cellStyle name="Normal 3 17 5" xfId="1366"/>
    <cellStyle name="Normal 3 17 6" xfId="1367"/>
    <cellStyle name="Normal 3 17 7" xfId="1368"/>
    <cellStyle name="Normal 3 17 8" xfId="1369"/>
    <cellStyle name="Normal 3 17 9" xfId="1370"/>
    <cellStyle name="Normal 3 18" xfId="1371"/>
    <cellStyle name="Normal 3 18 10" xfId="1372"/>
    <cellStyle name="Normal 3 18 11" xfId="1373"/>
    <cellStyle name="Normal 3 18 12" xfId="1374"/>
    <cellStyle name="Normal 3 18 13" xfId="1375"/>
    <cellStyle name="Normal 3 18 14" xfId="1376"/>
    <cellStyle name="Normal 3 18 15" xfId="1377"/>
    <cellStyle name="Normal 3 18 16" xfId="1378"/>
    <cellStyle name="Normal 3 18 17" xfId="1379"/>
    <cellStyle name="Normal 3 18 18" xfId="1380"/>
    <cellStyle name="Normal 3 18 19" xfId="1381"/>
    <cellStyle name="Normal 3 18 2" xfId="1382"/>
    <cellStyle name="Normal 3 18 20" xfId="1383"/>
    <cellStyle name="Normal 3 18 21" xfId="1384"/>
    <cellStyle name="Normal 3 18 22" xfId="1385"/>
    <cellStyle name="Normal 3 18 23" xfId="1386"/>
    <cellStyle name="Normal 3 18 3" xfId="1387"/>
    <cellStyle name="Normal 3 18 4" xfId="1388"/>
    <cellStyle name="Normal 3 18 5" xfId="1389"/>
    <cellStyle name="Normal 3 18 6" xfId="1390"/>
    <cellStyle name="Normal 3 18 7" xfId="1391"/>
    <cellStyle name="Normal 3 18 8" xfId="1392"/>
    <cellStyle name="Normal 3 18 9" xfId="1393"/>
    <cellStyle name="Normal 3 19" xfId="1394"/>
    <cellStyle name="Normal 3 19 10" xfId="1395"/>
    <cellStyle name="Normal 3 19 11" xfId="1396"/>
    <cellStyle name="Normal 3 19 12" xfId="1397"/>
    <cellStyle name="Normal 3 19 13" xfId="1398"/>
    <cellStyle name="Normal 3 19 14" xfId="1399"/>
    <cellStyle name="Normal 3 19 15" xfId="1400"/>
    <cellStyle name="Normal 3 19 16" xfId="1401"/>
    <cellStyle name="Normal 3 19 17" xfId="1402"/>
    <cellStyle name="Normal 3 19 18" xfId="1403"/>
    <cellStyle name="Normal 3 19 19" xfId="1404"/>
    <cellStyle name="Normal 3 19 2" xfId="1405"/>
    <cellStyle name="Normal 3 19 20" xfId="1406"/>
    <cellStyle name="Normal 3 19 21" xfId="1407"/>
    <cellStyle name="Normal 3 19 22" xfId="1408"/>
    <cellStyle name="Normal 3 19 23" xfId="1409"/>
    <cellStyle name="Normal 3 19 3" xfId="1410"/>
    <cellStyle name="Normal 3 19 4" xfId="1411"/>
    <cellStyle name="Normal 3 19 5" xfId="1412"/>
    <cellStyle name="Normal 3 19 6" xfId="1413"/>
    <cellStyle name="Normal 3 19 7" xfId="1414"/>
    <cellStyle name="Normal 3 19 8" xfId="1415"/>
    <cellStyle name="Normal 3 19 9" xfId="1416"/>
    <cellStyle name="Normal 3 2" xfId="93"/>
    <cellStyle name="Normal 3 2 10" xfId="1417"/>
    <cellStyle name="Normal 3 2 11" xfId="1418"/>
    <cellStyle name="Normal 3 2 12" xfId="1419"/>
    <cellStyle name="Normal 3 2 13" xfId="1420"/>
    <cellStyle name="Normal 3 2 14" xfId="1421"/>
    <cellStyle name="Normal 3 2 15" xfId="1422"/>
    <cellStyle name="Normal 3 2 16" xfId="1423"/>
    <cellStyle name="Normal 3 2 17" xfId="1424"/>
    <cellStyle name="Normal 3 2 18" xfId="1425"/>
    <cellStyle name="Normal 3 2 19" xfId="1426"/>
    <cellStyle name="Normal 3 2 2" xfId="94"/>
    <cellStyle name="Normal 3 2 2 10" xfId="1427"/>
    <cellStyle name="Normal 3 2 2 11" xfId="1428"/>
    <cellStyle name="Normal 3 2 2 12" xfId="1429"/>
    <cellStyle name="Normal 3 2 2 13" xfId="1430"/>
    <cellStyle name="Normal 3 2 2 14" xfId="1431"/>
    <cellStyle name="Normal 3 2 2 15" xfId="1432"/>
    <cellStyle name="Normal 3 2 2 16" xfId="1433"/>
    <cellStyle name="Normal 3 2 2 17" xfId="1434"/>
    <cellStyle name="Normal 3 2 2 18" xfId="1435"/>
    <cellStyle name="Normal 3 2 2 19" xfId="1436"/>
    <cellStyle name="Normal 3 2 2 2" xfId="1437"/>
    <cellStyle name="Normal 3 2 2 20" xfId="1438"/>
    <cellStyle name="Normal 3 2 2 21" xfId="1439"/>
    <cellStyle name="Normal 3 2 2 22" xfId="1440"/>
    <cellStyle name="Normal 3 2 2 23" xfId="1441"/>
    <cellStyle name="Normal 3 2 2 24" xfId="1442"/>
    <cellStyle name="Normal 3 2 2 25" xfId="1443"/>
    <cellStyle name="Normal 3 2 2 26" xfId="1444"/>
    <cellStyle name="Normal 3 2 2 27" xfId="1445"/>
    <cellStyle name="Normal 3 2 2 28" xfId="1446"/>
    <cellStyle name="Normal 3 2 2 29" xfId="1447"/>
    <cellStyle name="Normal 3 2 2 3" xfId="1448"/>
    <cellStyle name="Normal 3 2 2 30" xfId="1449"/>
    <cellStyle name="Normal 3 2 2 31" xfId="1450"/>
    <cellStyle name="Normal 3 2 2 32" xfId="1451"/>
    <cellStyle name="Normal 3 2 2 33" xfId="1452"/>
    <cellStyle name="Normal 3 2 2 4" xfId="1453"/>
    <cellStyle name="Normal 3 2 2 5" xfId="1454"/>
    <cellStyle name="Normal 3 2 2 6" xfId="1455"/>
    <cellStyle name="Normal 3 2 2 7" xfId="1456"/>
    <cellStyle name="Normal 3 2 2 8" xfId="1457"/>
    <cellStyle name="Normal 3 2 2 9" xfId="1458"/>
    <cellStyle name="Normal 3 2 20" xfId="1459"/>
    <cellStyle name="Normal 3 2 21" xfId="1460"/>
    <cellStyle name="Normal 3 2 22" xfId="1461"/>
    <cellStyle name="Normal 3 2 23" xfId="1462"/>
    <cellStyle name="Normal 3 2 24" xfId="1463"/>
    <cellStyle name="Normal 3 2 25" xfId="1464"/>
    <cellStyle name="Normal 3 2 26" xfId="1465"/>
    <cellStyle name="Normal 3 2 27" xfId="1466"/>
    <cellStyle name="Normal 3 2 28" xfId="1467"/>
    <cellStyle name="Normal 3 2 29" xfId="1468"/>
    <cellStyle name="Normal 3 2 3" xfId="13"/>
    <cellStyle name="Normal 3 2 30" xfId="1469"/>
    <cellStyle name="Normal 3 2 31" xfId="1470"/>
    <cellStyle name="Normal 3 2 32" xfId="1471"/>
    <cellStyle name="Normal 3 2 33" xfId="1472"/>
    <cellStyle name="Normal 3 2 34" xfId="1473"/>
    <cellStyle name="Normal 3 2 35" xfId="1474"/>
    <cellStyle name="Normal 3 2 36" xfId="1475"/>
    <cellStyle name="Normal 3 2 37" xfId="1476"/>
    <cellStyle name="Normal 3 2 38" xfId="1477"/>
    <cellStyle name="Normal 3 2 39" xfId="1478"/>
    <cellStyle name="Normal 3 2 4" xfId="1479"/>
    <cellStyle name="Normal 3 2 40" xfId="1480"/>
    <cellStyle name="Normal 3 2 41" xfId="1481"/>
    <cellStyle name="Normal 3 2 42" xfId="1482"/>
    <cellStyle name="Normal 3 2 43" xfId="1483"/>
    <cellStyle name="Normal 3 2 44" xfId="1484"/>
    <cellStyle name="Normal 3 2 45" xfId="1485"/>
    <cellStyle name="Normal 3 2 46" xfId="1486"/>
    <cellStyle name="Normal 3 2 47" xfId="1487"/>
    <cellStyle name="Normal 3 2 48" xfId="1488"/>
    <cellStyle name="Normal 3 2 49" xfId="1489"/>
    <cellStyle name="Normal 3 2 5" xfId="1490"/>
    <cellStyle name="Normal 3 2 50" xfId="1491"/>
    <cellStyle name="Normal 3 2 51" xfId="1492"/>
    <cellStyle name="Normal 3 2 52" xfId="1493"/>
    <cellStyle name="Normal 3 2 53" xfId="1494"/>
    <cellStyle name="Normal 3 2 54" xfId="1495"/>
    <cellStyle name="Normal 3 2 55" xfId="1496"/>
    <cellStyle name="Normal 3 2 6" xfId="1497"/>
    <cellStyle name="Normal 3 2 7" xfId="1498"/>
    <cellStyle name="Normal 3 2 8" xfId="1499"/>
    <cellStyle name="Normal 3 2 9" xfId="1500"/>
    <cellStyle name="Normal 3 20" xfId="1501"/>
    <cellStyle name="Normal 3 20 10" xfId="1502"/>
    <cellStyle name="Normal 3 20 11" xfId="1503"/>
    <cellStyle name="Normal 3 20 12" xfId="1504"/>
    <cellStyle name="Normal 3 20 13" xfId="1505"/>
    <cellStyle name="Normal 3 20 14" xfId="1506"/>
    <cellStyle name="Normal 3 20 15" xfId="1507"/>
    <cellStyle name="Normal 3 20 16" xfId="1508"/>
    <cellStyle name="Normal 3 20 17" xfId="1509"/>
    <cellStyle name="Normal 3 20 18" xfId="1510"/>
    <cellStyle name="Normal 3 20 19" xfId="1511"/>
    <cellStyle name="Normal 3 20 2" xfId="1512"/>
    <cellStyle name="Normal 3 20 20" xfId="1513"/>
    <cellStyle name="Normal 3 20 21" xfId="1514"/>
    <cellStyle name="Normal 3 20 22" xfId="1515"/>
    <cellStyle name="Normal 3 20 23" xfId="1516"/>
    <cellStyle name="Normal 3 20 3" xfId="1517"/>
    <cellStyle name="Normal 3 20 4" xfId="1518"/>
    <cellStyle name="Normal 3 20 5" xfId="1519"/>
    <cellStyle name="Normal 3 20 6" xfId="1520"/>
    <cellStyle name="Normal 3 20 7" xfId="1521"/>
    <cellStyle name="Normal 3 20 8" xfId="1522"/>
    <cellStyle name="Normal 3 20 9" xfId="1523"/>
    <cellStyle name="Normal 3 21" xfId="1524"/>
    <cellStyle name="Normal 3 21 10" xfId="1525"/>
    <cellStyle name="Normal 3 21 11" xfId="1526"/>
    <cellStyle name="Normal 3 21 12" xfId="1527"/>
    <cellStyle name="Normal 3 21 13" xfId="1528"/>
    <cellStyle name="Normal 3 21 14" xfId="1529"/>
    <cellStyle name="Normal 3 21 15" xfId="1530"/>
    <cellStyle name="Normal 3 21 16" xfId="1531"/>
    <cellStyle name="Normal 3 21 17" xfId="1532"/>
    <cellStyle name="Normal 3 21 18" xfId="1533"/>
    <cellStyle name="Normal 3 21 19" xfId="1534"/>
    <cellStyle name="Normal 3 21 2" xfId="1535"/>
    <cellStyle name="Normal 3 21 20" xfId="1536"/>
    <cellStyle name="Normal 3 21 21" xfId="1537"/>
    <cellStyle name="Normal 3 21 22" xfId="1538"/>
    <cellStyle name="Normal 3 21 23" xfId="1539"/>
    <cellStyle name="Normal 3 21 3" xfId="1540"/>
    <cellStyle name="Normal 3 21 4" xfId="1541"/>
    <cellStyle name="Normal 3 21 5" xfId="1542"/>
    <cellStyle name="Normal 3 21 6" xfId="1543"/>
    <cellStyle name="Normal 3 21 7" xfId="1544"/>
    <cellStyle name="Normal 3 21 8" xfId="1545"/>
    <cellStyle name="Normal 3 21 9" xfId="1546"/>
    <cellStyle name="Normal 3 22" xfId="1547"/>
    <cellStyle name="Normal 3 22 10" xfId="1548"/>
    <cellStyle name="Normal 3 22 11" xfId="1549"/>
    <cellStyle name="Normal 3 22 12" xfId="1550"/>
    <cellStyle name="Normal 3 22 13" xfId="1551"/>
    <cellStyle name="Normal 3 22 14" xfId="1552"/>
    <cellStyle name="Normal 3 22 15" xfId="1553"/>
    <cellStyle name="Normal 3 22 16" xfId="1554"/>
    <cellStyle name="Normal 3 22 17" xfId="1555"/>
    <cellStyle name="Normal 3 22 18" xfId="1556"/>
    <cellStyle name="Normal 3 22 19" xfId="1557"/>
    <cellStyle name="Normal 3 22 2" xfId="1558"/>
    <cellStyle name="Normal 3 22 20" xfId="1559"/>
    <cellStyle name="Normal 3 22 21" xfId="1560"/>
    <cellStyle name="Normal 3 22 22" xfId="1561"/>
    <cellStyle name="Normal 3 22 23" xfId="1562"/>
    <cellStyle name="Normal 3 22 3" xfId="1563"/>
    <cellStyle name="Normal 3 22 4" xfId="1564"/>
    <cellStyle name="Normal 3 22 5" xfId="1565"/>
    <cellStyle name="Normal 3 22 6" xfId="1566"/>
    <cellStyle name="Normal 3 22 7" xfId="1567"/>
    <cellStyle name="Normal 3 22 8" xfId="1568"/>
    <cellStyle name="Normal 3 22 9" xfId="1569"/>
    <cellStyle name="Normal 3 23" xfId="1570"/>
    <cellStyle name="Normal 3 23 10" xfId="1571"/>
    <cellStyle name="Normal 3 23 11" xfId="1572"/>
    <cellStyle name="Normal 3 23 12" xfId="1573"/>
    <cellStyle name="Normal 3 23 13" xfId="1574"/>
    <cellStyle name="Normal 3 23 14" xfId="1575"/>
    <cellStyle name="Normal 3 23 15" xfId="1576"/>
    <cellStyle name="Normal 3 23 16" xfId="1577"/>
    <cellStyle name="Normal 3 23 17" xfId="1578"/>
    <cellStyle name="Normal 3 23 18" xfId="1579"/>
    <cellStyle name="Normal 3 23 19" xfId="1580"/>
    <cellStyle name="Normal 3 23 2" xfId="1581"/>
    <cellStyle name="Normal 3 23 20" xfId="1582"/>
    <cellStyle name="Normal 3 23 21" xfId="1583"/>
    <cellStyle name="Normal 3 23 22" xfId="1584"/>
    <cellStyle name="Normal 3 23 23" xfId="1585"/>
    <cellStyle name="Normal 3 23 3" xfId="1586"/>
    <cellStyle name="Normal 3 23 4" xfId="1587"/>
    <cellStyle name="Normal 3 23 5" xfId="1588"/>
    <cellStyle name="Normal 3 23 6" xfId="1589"/>
    <cellStyle name="Normal 3 23 7" xfId="1590"/>
    <cellStyle name="Normal 3 23 8" xfId="1591"/>
    <cellStyle name="Normal 3 23 9" xfId="1592"/>
    <cellStyle name="Normal 3 24" xfId="1593"/>
    <cellStyle name="Normal 3 24 10" xfId="1594"/>
    <cellStyle name="Normal 3 24 11" xfId="1595"/>
    <cellStyle name="Normal 3 24 12" xfId="1596"/>
    <cellStyle name="Normal 3 24 13" xfId="1597"/>
    <cellStyle name="Normal 3 24 14" xfId="1598"/>
    <cellStyle name="Normal 3 24 15" xfId="1599"/>
    <cellStyle name="Normal 3 24 16" xfId="1600"/>
    <cellStyle name="Normal 3 24 17" xfId="1601"/>
    <cellStyle name="Normal 3 24 18" xfId="1602"/>
    <cellStyle name="Normal 3 24 19" xfId="1603"/>
    <cellStyle name="Normal 3 24 2" xfId="1604"/>
    <cellStyle name="Normal 3 24 20" xfId="1605"/>
    <cellStyle name="Normal 3 24 21" xfId="1606"/>
    <cellStyle name="Normal 3 24 22" xfId="1607"/>
    <cellStyle name="Normal 3 24 23" xfId="1608"/>
    <cellStyle name="Normal 3 24 3" xfId="1609"/>
    <cellStyle name="Normal 3 24 4" xfId="1610"/>
    <cellStyle name="Normal 3 24 5" xfId="1611"/>
    <cellStyle name="Normal 3 24 6" xfId="1612"/>
    <cellStyle name="Normal 3 24 7" xfId="1613"/>
    <cellStyle name="Normal 3 24 8" xfId="1614"/>
    <cellStyle name="Normal 3 24 9" xfId="1615"/>
    <cellStyle name="Normal 3 25" xfId="1616"/>
    <cellStyle name="Normal 3 25 10" xfId="1617"/>
    <cellStyle name="Normal 3 25 11" xfId="1618"/>
    <cellStyle name="Normal 3 25 12" xfId="1619"/>
    <cellStyle name="Normal 3 25 13" xfId="1620"/>
    <cellStyle name="Normal 3 25 14" xfId="1621"/>
    <cellStyle name="Normal 3 25 15" xfId="1622"/>
    <cellStyle name="Normal 3 25 16" xfId="1623"/>
    <cellStyle name="Normal 3 25 17" xfId="1624"/>
    <cellStyle name="Normal 3 25 18" xfId="1625"/>
    <cellStyle name="Normal 3 25 19" xfId="1626"/>
    <cellStyle name="Normal 3 25 2" xfId="1627"/>
    <cellStyle name="Normal 3 25 20" xfId="1628"/>
    <cellStyle name="Normal 3 25 21" xfId="1629"/>
    <cellStyle name="Normal 3 25 22" xfId="1630"/>
    <cellStyle name="Normal 3 25 23" xfId="1631"/>
    <cellStyle name="Normal 3 25 3" xfId="1632"/>
    <cellStyle name="Normal 3 25 4" xfId="1633"/>
    <cellStyle name="Normal 3 25 5" xfId="1634"/>
    <cellStyle name="Normal 3 25 6" xfId="1635"/>
    <cellStyle name="Normal 3 25 7" xfId="1636"/>
    <cellStyle name="Normal 3 25 8" xfId="1637"/>
    <cellStyle name="Normal 3 25 9" xfId="1638"/>
    <cellStyle name="Normal 3 26" xfId="1639"/>
    <cellStyle name="Normal 3 26 10" xfId="1640"/>
    <cellStyle name="Normal 3 26 11" xfId="1641"/>
    <cellStyle name="Normal 3 26 12" xfId="1642"/>
    <cellStyle name="Normal 3 26 13" xfId="1643"/>
    <cellStyle name="Normal 3 26 14" xfId="1644"/>
    <cellStyle name="Normal 3 26 15" xfId="1645"/>
    <cellStyle name="Normal 3 26 16" xfId="1646"/>
    <cellStyle name="Normal 3 26 17" xfId="1647"/>
    <cellStyle name="Normal 3 26 18" xfId="1648"/>
    <cellStyle name="Normal 3 26 19" xfId="1649"/>
    <cellStyle name="Normal 3 26 2" xfId="1650"/>
    <cellStyle name="Normal 3 26 20" xfId="1651"/>
    <cellStyle name="Normal 3 26 21" xfId="1652"/>
    <cellStyle name="Normal 3 26 22" xfId="1653"/>
    <cellStyle name="Normal 3 26 23" xfId="1654"/>
    <cellStyle name="Normal 3 26 3" xfId="1655"/>
    <cellStyle name="Normal 3 26 4" xfId="1656"/>
    <cellStyle name="Normal 3 26 5" xfId="1657"/>
    <cellStyle name="Normal 3 26 6" xfId="1658"/>
    <cellStyle name="Normal 3 26 7" xfId="1659"/>
    <cellStyle name="Normal 3 26 8" xfId="1660"/>
    <cellStyle name="Normal 3 26 9" xfId="1661"/>
    <cellStyle name="Normal 3 27" xfId="1662"/>
    <cellStyle name="Normal 3 27 10" xfId="1663"/>
    <cellStyle name="Normal 3 27 11" xfId="1664"/>
    <cellStyle name="Normal 3 27 12" xfId="1665"/>
    <cellStyle name="Normal 3 27 13" xfId="1666"/>
    <cellStyle name="Normal 3 27 14" xfId="1667"/>
    <cellStyle name="Normal 3 27 15" xfId="1668"/>
    <cellStyle name="Normal 3 27 16" xfId="1669"/>
    <cellStyle name="Normal 3 27 17" xfId="1670"/>
    <cellStyle name="Normal 3 27 18" xfId="1671"/>
    <cellStyle name="Normal 3 27 19" xfId="1672"/>
    <cellStyle name="Normal 3 27 2" xfId="1673"/>
    <cellStyle name="Normal 3 27 20" xfId="1674"/>
    <cellStyle name="Normal 3 27 21" xfId="1675"/>
    <cellStyle name="Normal 3 27 22" xfId="1676"/>
    <cellStyle name="Normal 3 27 23" xfId="1677"/>
    <cellStyle name="Normal 3 27 3" xfId="1678"/>
    <cellStyle name="Normal 3 27 4" xfId="1679"/>
    <cellStyle name="Normal 3 27 5" xfId="1680"/>
    <cellStyle name="Normal 3 27 6" xfId="1681"/>
    <cellStyle name="Normal 3 27 7" xfId="1682"/>
    <cellStyle name="Normal 3 27 8" xfId="1683"/>
    <cellStyle name="Normal 3 27 9" xfId="1684"/>
    <cellStyle name="Normal 3 28" xfId="1685"/>
    <cellStyle name="Normal 3 28 10" xfId="1686"/>
    <cellStyle name="Normal 3 28 11" xfId="1687"/>
    <cellStyle name="Normal 3 28 12" xfId="1688"/>
    <cellStyle name="Normal 3 28 13" xfId="1689"/>
    <cellStyle name="Normal 3 28 14" xfId="1690"/>
    <cellStyle name="Normal 3 28 15" xfId="1691"/>
    <cellStyle name="Normal 3 28 16" xfId="1692"/>
    <cellStyle name="Normal 3 28 17" xfId="1693"/>
    <cellStyle name="Normal 3 28 18" xfId="1694"/>
    <cellStyle name="Normal 3 28 19" xfId="1695"/>
    <cellStyle name="Normal 3 28 2" xfId="1696"/>
    <cellStyle name="Normal 3 28 20" xfId="1697"/>
    <cellStyle name="Normal 3 28 21" xfId="1698"/>
    <cellStyle name="Normal 3 28 22" xfId="1699"/>
    <cellStyle name="Normal 3 28 23" xfId="1700"/>
    <cellStyle name="Normal 3 28 3" xfId="1701"/>
    <cellStyle name="Normal 3 28 4" xfId="1702"/>
    <cellStyle name="Normal 3 28 5" xfId="1703"/>
    <cellStyle name="Normal 3 28 6" xfId="1704"/>
    <cellStyle name="Normal 3 28 7" xfId="1705"/>
    <cellStyle name="Normal 3 28 8" xfId="1706"/>
    <cellStyle name="Normal 3 28 9" xfId="1707"/>
    <cellStyle name="Normal 3 29" xfId="1708"/>
    <cellStyle name="Normal 3 29 10" xfId="1709"/>
    <cellStyle name="Normal 3 29 11" xfId="1710"/>
    <cellStyle name="Normal 3 29 12" xfId="1711"/>
    <cellStyle name="Normal 3 29 13" xfId="1712"/>
    <cellStyle name="Normal 3 29 14" xfId="1713"/>
    <cellStyle name="Normal 3 29 15" xfId="1714"/>
    <cellStyle name="Normal 3 29 16" xfId="1715"/>
    <cellStyle name="Normal 3 29 17" xfId="1716"/>
    <cellStyle name="Normal 3 29 18" xfId="1717"/>
    <cellStyle name="Normal 3 29 19" xfId="1718"/>
    <cellStyle name="Normal 3 29 2" xfId="1719"/>
    <cellStyle name="Normal 3 29 20" xfId="1720"/>
    <cellStyle name="Normal 3 29 21" xfId="1721"/>
    <cellStyle name="Normal 3 29 22" xfId="1722"/>
    <cellStyle name="Normal 3 29 23" xfId="1723"/>
    <cellStyle name="Normal 3 29 3" xfId="1724"/>
    <cellStyle name="Normal 3 29 4" xfId="1725"/>
    <cellStyle name="Normal 3 29 5" xfId="1726"/>
    <cellStyle name="Normal 3 29 6" xfId="1727"/>
    <cellStyle name="Normal 3 29 7" xfId="1728"/>
    <cellStyle name="Normal 3 29 8" xfId="1729"/>
    <cellStyle name="Normal 3 29 9" xfId="1730"/>
    <cellStyle name="Normal 3 3" xfId="95"/>
    <cellStyle name="Normal 3 3 10" xfId="1731"/>
    <cellStyle name="Normal 3 3 11" xfId="1732"/>
    <cellStyle name="Normal 3 3 12" xfId="1733"/>
    <cellStyle name="Normal 3 3 13" xfId="1734"/>
    <cellStyle name="Normal 3 3 14" xfId="1735"/>
    <cellStyle name="Normal 3 3 15" xfId="1736"/>
    <cellStyle name="Normal 3 3 16" xfId="1737"/>
    <cellStyle name="Normal 3 3 17" xfId="1738"/>
    <cellStyle name="Normal 3 3 18" xfId="1739"/>
    <cellStyle name="Normal 3 3 19" xfId="1740"/>
    <cellStyle name="Normal 3 3 2" xfId="1741"/>
    <cellStyle name="Normal 3 3 20" xfId="1742"/>
    <cellStyle name="Normal 3 3 21" xfId="1743"/>
    <cellStyle name="Normal 3 3 22" xfId="1744"/>
    <cellStyle name="Normal 3 3 23" xfId="1745"/>
    <cellStyle name="Normal 3 3 24" xfId="1746"/>
    <cellStyle name="Normal 3 3 3" xfId="1747"/>
    <cellStyle name="Normal 3 3 4" xfId="1748"/>
    <cellStyle name="Normal 3 3 5" xfId="1749"/>
    <cellStyle name="Normal 3 3 6" xfId="1750"/>
    <cellStyle name="Normal 3 3 7" xfId="1751"/>
    <cellStyle name="Normal 3 3 8" xfId="1752"/>
    <cellStyle name="Normal 3 3 9" xfId="1753"/>
    <cellStyle name="Normal 3 30" xfId="1754"/>
    <cellStyle name="Normal 3 30 10" xfId="1755"/>
    <cellStyle name="Normal 3 30 11" xfId="1756"/>
    <cellStyle name="Normal 3 30 12" xfId="1757"/>
    <cellStyle name="Normal 3 30 13" xfId="1758"/>
    <cellStyle name="Normal 3 30 14" xfId="1759"/>
    <cellStyle name="Normal 3 30 15" xfId="1760"/>
    <cellStyle name="Normal 3 30 16" xfId="1761"/>
    <cellStyle name="Normal 3 30 17" xfId="1762"/>
    <cellStyle name="Normal 3 30 18" xfId="1763"/>
    <cellStyle name="Normal 3 30 19" xfId="1764"/>
    <cellStyle name="Normal 3 30 2" xfId="1765"/>
    <cellStyle name="Normal 3 30 20" xfId="1766"/>
    <cellStyle name="Normal 3 30 21" xfId="1767"/>
    <cellStyle name="Normal 3 30 22" xfId="1768"/>
    <cellStyle name="Normal 3 30 23" xfId="1769"/>
    <cellStyle name="Normal 3 30 3" xfId="1770"/>
    <cellStyle name="Normal 3 30 4" xfId="1771"/>
    <cellStyle name="Normal 3 30 5" xfId="1772"/>
    <cellStyle name="Normal 3 30 6" xfId="1773"/>
    <cellStyle name="Normal 3 30 7" xfId="1774"/>
    <cellStyle name="Normal 3 30 8" xfId="1775"/>
    <cellStyle name="Normal 3 30 9" xfId="1776"/>
    <cellStyle name="Normal 3 31" xfId="1777"/>
    <cellStyle name="Normal 3 31 10" xfId="1778"/>
    <cellStyle name="Normal 3 31 11" xfId="1779"/>
    <cellStyle name="Normal 3 31 12" xfId="1780"/>
    <cellStyle name="Normal 3 31 13" xfId="1781"/>
    <cellStyle name="Normal 3 31 14" xfId="1782"/>
    <cellStyle name="Normal 3 31 15" xfId="1783"/>
    <cellStyle name="Normal 3 31 16" xfId="1784"/>
    <cellStyle name="Normal 3 31 17" xfId="1785"/>
    <cellStyle name="Normal 3 31 18" xfId="1786"/>
    <cellStyle name="Normal 3 31 19" xfId="1787"/>
    <cellStyle name="Normal 3 31 2" xfId="1788"/>
    <cellStyle name="Normal 3 31 20" xfId="1789"/>
    <cellStyle name="Normal 3 31 21" xfId="1790"/>
    <cellStyle name="Normal 3 31 22" xfId="1791"/>
    <cellStyle name="Normal 3 31 23" xfId="1792"/>
    <cellStyle name="Normal 3 31 3" xfId="1793"/>
    <cellStyle name="Normal 3 31 4" xfId="1794"/>
    <cellStyle name="Normal 3 31 5" xfId="1795"/>
    <cellStyle name="Normal 3 31 6" xfId="1796"/>
    <cellStyle name="Normal 3 31 7" xfId="1797"/>
    <cellStyle name="Normal 3 31 8" xfId="1798"/>
    <cellStyle name="Normal 3 31 9" xfId="1799"/>
    <cellStyle name="Normal 3 32" xfId="1800"/>
    <cellStyle name="Normal 3 32 10" xfId="1801"/>
    <cellStyle name="Normal 3 32 11" xfId="1802"/>
    <cellStyle name="Normal 3 32 12" xfId="1803"/>
    <cellStyle name="Normal 3 32 13" xfId="1804"/>
    <cellStyle name="Normal 3 32 14" xfId="1805"/>
    <cellStyle name="Normal 3 32 15" xfId="1806"/>
    <cellStyle name="Normal 3 32 16" xfId="1807"/>
    <cellStyle name="Normal 3 32 17" xfId="1808"/>
    <cellStyle name="Normal 3 32 18" xfId="1809"/>
    <cellStyle name="Normal 3 32 19" xfId="1810"/>
    <cellStyle name="Normal 3 32 2" xfId="1811"/>
    <cellStyle name="Normal 3 32 20" xfId="1812"/>
    <cellStyle name="Normal 3 32 21" xfId="1813"/>
    <cellStyle name="Normal 3 32 22" xfId="1814"/>
    <cellStyle name="Normal 3 32 23" xfId="1815"/>
    <cellStyle name="Normal 3 32 3" xfId="1816"/>
    <cellStyle name="Normal 3 32 4" xfId="1817"/>
    <cellStyle name="Normal 3 32 5" xfId="1818"/>
    <cellStyle name="Normal 3 32 6" xfId="1819"/>
    <cellStyle name="Normal 3 32 7" xfId="1820"/>
    <cellStyle name="Normal 3 32 8" xfId="1821"/>
    <cellStyle name="Normal 3 32 9" xfId="1822"/>
    <cellStyle name="Normal 3 33" xfId="1823"/>
    <cellStyle name="Normal 3 33 10" xfId="1824"/>
    <cellStyle name="Normal 3 33 11" xfId="1825"/>
    <cellStyle name="Normal 3 33 12" xfId="1826"/>
    <cellStyle name="Normal 3 33 13" xfId="1827"/>
    <cellStyle name="Normal 3 33 14" xfId="1828"/>
    <cellStyle name="Normal 3 33 15" xfId="1829"/>
    <cellStyle name="Normal 3 33 16" xfId="1830"/>
    <cellStyle name="Normal 3 33 17" xfId="1831"/>
    <cellStyle name="Normal 3 33 18" xfId="1832"/>
    <cellStyle name="Normal 3 33 19" xfId="1833"/>
    <cellStyle name="Normal 3 33 2" xfId="1834"/>
    <cellStyle name="Normal 3 33 20" xfId="1835"/>
    <cellStyle name="Normal 3 33 21" xfId="1836"/>
    <cellStyle name="Normal 3 33 22" xfId="1837"/>
    <cellStyle name="Normal 3 33 23" xfId="1838"/>
    <cellStyle name="Normal 3 33 3" xfId="1839"/>
    <cellStyle name="Normal 3 33 4" xfId="1840"/>
    <cellStyle name="Normal 3 33 5" xfId="1841"/>
    <cellStyle name="Normal 3 33 6" xfId="1842"/>
    <cellStyle name="Normal 3 33 7" xfId="1843"/>
    <cellStyle name="Normal 3 33 8" xfId="1844"/>
    <cellStyle name="Normal 3 33 9" xfId="1845"/>
    <cellStyle name="Normal 3 34" xfId="1846"/>
    <cellStyle name="Normal 3 35" xfId="1847"/>
    <cellStyle name="Normal 3 36" xfId="1848"/>
    <cellStyle name="Normal 3 37" xfId="1849"/>
    <cellStyle name="Normal 3 38" xfId="1850"/>
    <cellStyle name="Normal 3 39" xfId="1851"/>
    <cellStyle name="Normal 3 4" xfId="96"/>
    <cellStyle name="Normal 3 4 10" xfId="1852"/>
    <cellStyle name="Normal 3 4 11" xfId="1853"/>
    <cellStyle name="Normal 3 4 12" xfId="1854"/>
    <cellStyle name="Normal 3 4 13" xfId="1855"/>
    <cellStyle name="Normal 3 4 14" xfId="1856"/>
    <cellStyle name="Normal 3 4 15" xfId="1857"/>
    <cellStyle name="Normal 3 4 16" xfId="1858"/>
    <cellStyle name="Normal 3 4 17" xfId="1859"/>
    <cellStyle name="Normal 3 4 18" xfId="1860"/>
    <cellStyle name="Normal 3 4 19" xfId="1861"/>
    <cellStyle name="Normal 3 4 2" xfId="1862"/>
    <cellStyle name="Normal 3 4 20" xfId="1863"/>
    <cellStyle name="Normal 3 4 21" xfId="1864"/>
    <cellStyle name="Normal 3 4 22" xfId="1865"/>
    <cellStyle name="Normal 3 4 23" xfId="1866"/>
    <cellStyle name="Normal 3 4 3" xfId="1867"/>
    <cellStyle name="Normal 3 4 4" xfId="1868"/>
    <cellStyle name="Normal 3 4 5" xfId="1869"/>
    <cellStyle name="Normal 3 4 6" xfId="1870"/>
    <cellStyle name="Normal 3 4 7" xfId="1871"/>
    <cellStyle name="Normal 3 4 8" xfId="1872"/>
    <cellStyle name="Normal 3 4 9" xfId="1873"/>
    <cellStyle name="Normal 3 40" xfId="1874"/>
    <cellStyle name="Normal 3 41" xfId="1875"/>
    <cellStyle name="Normal 3 42" xfId="1876"/>
    <cellStyle name="Normal 3 43" xfId="1877"/>
    <cellStyle name="Normal 3 44" xfId="1878"/>
    <cellStyle name="Normal 3 45" xfId="1879"/>
    <cellStyle name="Normal 3 46" xfId="1880"/>
    <cellStyle name="Normal 3 47" xfId="1881"/>
    <cellStyle name="Normal 3 48" xfId="1882"/>
    <cellStyle name="Normal 3 49" xfId="1883"/>
    <cellStyle name="Normal 3 5" xfId="1884"/>
    <cellStyle name="Normal 3 5 10" xfId="1885"/>
    <cellStyle name="Normal 3 5 11" xfId="1886"/>
    <cellStyle name="Normal 3 5 12" xfId="1887"/>
    <cellStyle name="Normal 3 5 13" xfId="1888"/>
    <cellStyle name="Normal 3 5 14" xfId="1889"/>
    <cellStyle name="Normal 3 5 15" xfId="1890"/>
    <cellStyle name="Normal 3 5 16" xfId="1891"/>
    <cellStyle name="Normal 3 5 17" xfId="1892"/>
    <cellStyle name="Normal 3 5 18" xfId="1893"/>
    <cellStyle name="Normal 3 5 19" xfId="1894"/>
    <cellStyle name="Normal 3 5 2" xfId="1895"/>
    <cellStyle name="Normal 3 5 20" xfId="1896"/>
    <cellStyle name="Normal 3 5 21" xfId="1897"/>
    <cellStyle name="Normal 3 5 22" xfId="1898"/>
    <cellStyle name="Normal 3 5 23" xfId="1899"/>
    <cellStyle name="Normal 3 5 3" xfId="1900"/>
    <cellStyle name="Normal 3 5 4" xfId="1901"/>
    <cellStyle name="Normal 3 5 5" xfId="1902"/>
    <cellStyle name="Normal 3 5 6" xfId="1903"/>
    <cellStyle name="Normal 3 5 7" xfId="1904"/>
    <cellStyle name="Normal 3 5 8" xfId="1905"/>
    <cellStyle name="Normal 3 5 9" xfId="1906"/>
    <cellStyle name="Normal 3 50" xfId="1907"/>
    <cellStyle name="Normal 3 51" xfId="1908"/>
    <cellStyle name="Normal 3 52" xfId="1909"/>
    <cellStyle name="Normal 3 53" xfId="1910"/>
    <cellStyle name="Normal 3 54" xfId="1911"/>
    <cellStyle name="Normal 3 55" xfId="1912"/>
    <cellStyle name="Normal 3 56" xfId="1913"/>
    <cellStyle name="Normal 3 57" xfId="1914"/>
    <cellStyle name="Normal 3 58" xfId="1915"/>
    <cellStyle name="Normal 3 59" xfId="1916"/>
    <cellStyle name="Normal 3 6" xfId="1917"/>
    <cellStyle name="Normal 3 6 10" xfId="1918"/>
    <cellStyle name="Normal 3 6 11" xfId="1919"/>
    <cellStyle name="Normal 3 6 12" xfId="1920"/>
    <cellStyle name="Normal 3 6 13" xfId="1921"/>
    <cellStyle name="Normal 3 6 14" xfId="1922"/>
    <cellStyle name="Normal 3 6 15" xfId="1923"/>
    <cellStyle name="Normal 3 6 16" xfId="1924"/>
    <cellStyle name="Normal 3 6 17" xfId="1925"/>
    <cellStyle name="Normal 3 6 18" xfId="1926"/>
    <cellStyle name="Normal 3 6 19" xfId="1927"/>
    <cellStyle name="Normal 3 6 2" xfId="1928"/>
    <cellStyle name="Normal 3 6 20" xfId="1929"/>
    <cellStyle name="Normal 3 6 21" xfId="1930"/>
    <cellStyle name="Normal 3 6 22" xfId="1931"/>
    <cellStyle name="Normal 3 6 23" xfId="1932"/>
    <cellStyle name="Normal 3 6 3" xfId="1933"/>
    <cellStyle name="Normal 3 6 4" xfId="1934"/>
    <cellStyle name="Normal 3 6 5" xfId="1935"/>
    <cellStyle name="Normal 3 6 6" xfId="1936"/>
    <cellStyle name="Normal 3 6 7" xfId="1937"/>
    <cellStyle name="Normal 3 6 8" xfId="1938"/>
    <cellStyle name="Normal 3 6 9" xfId="1939"/>
    <cellStyle name="Normal 3 60" xfId="1940"/>
    <cellStyle name="Normal 3 61" xfId="1941"/>
    <cellStyle name="Normal 3 62" xfId="1942"/>
    <cellStyle name="Normal 3 63" xfId="1943"/>
    <cellStyle name="Normal 3 64" xfId="1944"/>
    <cellStyle name="Normal 3 65" xfId="1945"/>
    <cellStyle name="Normal 3 66" xfId="1946"/>
    <cellStyle name="Normal 3 7" xfId="1947"/>
    <cellStyle name="Normal 3 7 10" xfId="1948"/>
    <cellStyle name="Normal 3 7 11" xfId="1949"/>
    <cellStyle name="Normal 3 7 12" xfId="1950"/>
    <cellStyle name="Normal 3 7 13" xfId="1951"/>
    <cellStyle name="Normal 3 7 14" xfId="1952"/>
    <cellStyle name="Normal 3 7 15" xfId="1953"/>
    <cellStyle name="Normal 3 7 16" xfId="1954"/>
    <cellStyle name="Normal 3 7 17" xfId="1955"/>
    <cellStyle name="Normal 3 7 18" xfId="1956"/>
    <cellStyle name="Normal 3 7 19" xfId="1957"/>
    <cellStyle name="Normal 3 7 2" xfId="1958"/>
    <cellStyle name="Normal 3 7 20" xfId="1959"/>
    <cellStyle name="Normal 3 7 21" xfId="1960"/>
    <cellStyle name="Normal 3 7 22" xfId="1961"/>
    <cellStyle name="Normal 3 7 23" xfId="1962"/>
    <cellStyle name="Normal 3 7 3" xfId="1963"/>
    <cellStyle name="Normal 3 7 4" xfId="1964"/>
    <cellStyle name="Normal 3 7 5" xfId="1965"/>
    <cellStyle name="Normal 3 7 6" xfId="1966"/>
    <cellStyle name="Normal 3 7 7" xfId="1967"/>
    <cellStyle name="Normal 3 7 8" xfId="1968"/>
    <cellStyle name="Normal 3 7 9" xfId="1969"/>
    <cellStyle name="Normal 3 8" xfId="1970"/>
    <cellStyle name="Normal 3 8 10" xfId="1971"/>
    <cellStyle name="Normal 3 8 11" xfId="1972"/>
    <cellStyle name="Normal 3 8 12" xfId="1973"/>
    <cellStyle name="Normal 3 8 13" xfId="1974"/>
    <cellStyle name="Normal 3 8 14" xfId="1975"/>
    <cellStyle name="Normal 3 8 15" xfId="1976"/>
    <cellStyle name="Normal 3 8 16" xfId="1977"/>
    <cellStyle name="Normal 3 8 17" xfId="1978"/>
    <cellStyle name="Normal 3 8 18" xfId="1979"/>
    <cellStyle name="Normal 3 8 19" xfId="1980"/>
    <cellStyle name="Normal 3 8 2" xfId="1981"/>
    <cellStyle name="Normal 3 8 20" xfId="1982"/>
    <cellStyle name="Normal 3 8 21" xfId="1983"/>
    <cellStyle name="Normal 3 8 22" xfId="1984"/>
    <cellStyle name="Normal 3 8 23" xfId="1985"/>
    <cellStyle name="Normal 3 8 3" xfId="1986"/>
    <cellStyle name="Normal 3 8 4" xfId="1987"/>
    <cellStyle name="Normal 3 8 5" xfId="1988"/>
    <cellStyle name="Normal 3 8 6" xfId="1989"/>
    <cellStyle name="Normal 3 8 7" xfId="1990"/>
    <cellStyle name="Normal 3 8 8" xfId="1991"/>
    <cellStyle name="Normal 3 8 9" xfId="1992"/>
    <cellStyle name="Normal 3 9" xfId="1993"/>
    <cellStyle name="Normal 3 9 10" xfId="1994"/>
    <cellStyle name="Normal 3 9 11" xfId="1995"/>
    <cellStyle name="Normal 3 9 12" xfId="1996"/>
    <cellStyle name="Normal 3 9 13" xfId="1997"/>
    <cellStyle name="Normal 3 9 14" xfId="1998"/>
    <cellStyle name="Normal 3 9 15" xfId="1999"/>
    <cellStyle name="Normal 3 9 16" xfId="2000"/>
    <cellStyle name="Normal 3 9 17" xfId="2001"/>
    <cellStyle name="Normal 3 9 18" xfId="2002"/>
    <cellStyle name="Normal 3 9 19" xfId="2003"/>
    <cellStyle name="Normal 3 9 2" xfId="2004"/>
    <cellStyle name="Normal 3 9 20" xfId="2005"/>
    <cellStyle name="Normal 3 9 21" xfId="2006"/>
    <cellStyle name="Normal 3 9 22" xfId="2007"/>
    <cellStyle name="Normal 3 9 23" xfId="2008"/>
    <cellStyle name="Normal 3 9 3" xfId="2009"/>
    <cellStyle name="Normal 3 9 4" xfId="2010"/>
    <cellStyle name="Normal 3 9 5" xfId="2011"/>
    <cellStyle name="Normal 3 9 6" xfId="2012"/>
    <cellStyle name="Normal 3 9 7" xfId="2013"/>
    <cellStyle name="Normal 3 9 8" xfId="2014"/>
    <cellStyle name="Normal 3 9 9" xfId="2015"/>
    <cellStyle name="Normal 4" xfId="97"/>
    <cellStyle name="Normal 4 2" xfId="98"/>
    <cellStyle name="Normal 4 2 2" xfId="99"/>
    <cellStyle name="Normal 4 3" xfId="100"/>
    <cellStyle name="Normal 4 3 2" xfId="132"/>
    <cellStyle name="Normal 4 3 3" xfId="2016"/>
    <cellStyle name="Normal 4 4" xfId="101"/>
    <cellStyle name="Normal 4 5" xfId="2017"/>
    <cellStyle name="Normal 5" xfId="102"/>
    <cellStyle name="Normal 5 10" xfId="2018"/>
    <cellStyle name="Normal 5 11" xfId="2019"/>
    <cellStyle name="Normal 5 12" xfId="2020"/>
    <cellStyle name="Normal 5 13" xfId="2021"/>
    <cellStyle name="Normal 5 14" xfId="2022"/>
    <cellStyle name="Normal 5 15" xfId="2023"/>
    <cellStyle name="Normal 5 16" xfId="2024"/>
    <cellStyle name="Normal 5 17" xfId="2025"/>
    <cellStyle name="Normal 5 18" xfId="2026"/>
    <cellStyle name="Normal 5 19" xfId="2027"/>
    <cellStyle name="Normal 5 2" xfId="103"/>
    <cellStyle name="Normal 5 2 10" xfId="2028"/>
    <cellStyle name="Normal 5 2 11" xfId="2029"/>
    <cellStyle name="Normal 5 2 12" xfId="2030"/>
    <cellStyle name="Normal 5 2 13" xfId="2031"/>
    <cellStyle name="Normal 5 2 14" xfId="2032"/>
    <cellStyle name="Normal 5 2 15" xfId="2033"/>
    <cellStyle name="Normal 5 2 16" xfId="2034"/>
    <cellStyle name="Normal 5 2 17" xfId="2035"/>
    <cellStyle name="Normal 5 2 18" xfId="2036"/>
    <cellStyle name="Normal 5 2 19" xfId="2037"/>
    <cellStyle name="Normal 5 2 2" xfId="2038"/>
    <cellStyle name="Normal 5 2 20" xfId="2039"/>
    <cellStyle name="Normal 5 2 21" xfId="2040"/>
    <cellStyle name="Normal 5 2 22" xfId="2041"/>
    <cellStyle name="Normal 5 2 23" xfId="2042"/>
    <cellStyle name="Normal 5 2 24" xfId="2043"/>
    <cellStyle name="Normal 5 2 3" xfId="2044"/>
    <cellStyle name="Normal 5 2 4" xfId="2045"/>
    <cellStyle name="Normal 5 2 5" xfId="2046"/>
    <cellStyle name="Normal 5 2 6" xfId="2047"/>
    <cellStyle name="Normal 5 2 7" xfId="2048"/>
    <cellStyle name="Normal 5 2 8" xfId="2049"/>
    <cellStyle name="Normal 5 2 9" xfId="2050"/>
    <cellStyle name="Normal 5 20" xfId="2051"/>
    <cellStyle name="Normal 5 21" xfId="2052"/>
    <cellStyle name="Normal 5 22" xfId="2053"/>
    <cellStyle name="Normal 5 23" xfId="2054"/>
    <cellStyle name="Normal 5 24" xfId="2055"/>
    <cellStyle name="Normal 5 25" xfId="2056"/>
    <cellStyle name="Normal 5 3" xfId="104"/>
    <cellStyle name="Normal 5 4" xfId="2057"/>
    <cellStyle name="Normal 5 5" xfId="2058"/>
    <cellStyle name="Normal 5 6" xfId="2059"/>
    <cellStyle name="Normal 5 7" xfId="2060"/>
    <cellStyle name="Normal 5 8" xfId="2061"/>
    <cellStyle name="Normal 5 9" xfId="2062"/>
    <cellStyle name="Normal 6" xfId="105"/>
    <cellStyle name="Normal 6 2" xfId="2063"/>
    <cellStyle name="Normal 7" xfId="106"/>
    <cellStyle name="Normal 7 10" xfId="2064"/>
    <cellStyle name="Normal 7 11" xfId="2065"/>
    <cellStyle name="Normal 7 12" xfId="2066"/>
    <cellStyle name="Normal 7 13" xfId="2067"/>
    <cellStyle name="Normal 7 14" xfId="2068"/>
    <cellStyle name="Normal 7 15" xfId="2069"/>
    <cellStyle name="Normal 7 16" xfId="2070"/>
    <cellStyle name="Normal 7 17" xfId="2071"/>
    <cellStyle name="Normal 7 18" xfId="2072"/>
    <cellStyle name="Normal 7 19" xfId="2073"/>
    <cellStyle name="Normal 7 2" xfId="107"/>
    <cellStyle name="Normal 7 2 10" xfId="2074"/>
    <cellStyle name="Normal 7 2 11" xfId="2075"/>
    <cellStyle name="Normal 7 2 12" xfId="2076"/>
    <cellStyle name="Normal 7 2 13" xfId="2077"/>
    <cellStyle name="Normal 7 2 14" xfId="2078"/>
    <cellStyle name="Normal 7 2 15" xfId="2079"/>
    <cellStyle name="Normal 7 2 16" xfId="2080"/>
    <cellStyle name="Normal 7 2 17" xfId="2081"/>
    <cellStyle name="Normal 7 2 18" xfId="2082"/>
    <cellStyle name="Normal 7 2 19" xfId="2083"/>
    <cellStyle name="Normal 7 2 2" xfId="2084"/>
    <cellStyle name="Normal 7 2 20" xfId="2085"/>
    <cellStyle name="Normal 7 2 21" xfId="2086"/>
    <cellStyle name="Normal 7 2 22" xfId="2087"/>
    <cellStyle name="Normal 7 2 23" xfId="2088"/>
    <cellStyle name="Normal 7 2 24" xfId="2089"/>
    <cellStyle name="Normal 7 2 3" xfId="2090"/>
    <cellStyle name="Normal 7 2 4" xfId="2091"/>
    <cellStyle name="Normal 7 2 5" xfId="2092"/>
    <cellStyle name="Normal 7 2 6" xfId="2093"/>
    <cellStyle name="Normal 7 2 7" xfId="2094"/>
    <cellStyle name="Normal 7 2 8" xfId="2095"/>
    <cellStyle name="Normal 7 2 9" xfId="2096"/>
    <cellStyle name="Normal 7 20" xfId="2097"/>
    <cellStyle name="Normal 7 21" xfId="2098"/>
    <cellStyle name="Normal 7 22" xfId="2099"/>
    <cellStyle name="Normal 7 23" xfId="2100"/>
    <cellStyle name="Normal 7 24" xfId="2101"/>
    <cellStyle name="Normal 7 25" xfId="2102"/>
    <cellStyle name="Normal 7 3" xfId="2103"/>
    <cellStyle name="Normal 7 4" xfId="2104"/>
    <cellStyle name="Normal 7 5" xfId="2105"/>
    <cellStyle name="Normal 7 6" xfId="2106"/>
    <cellStyle name="Normal 7 7" xfId="2107"/>
    <cellStyle name="Normal 7 8" xfId="2108"/>
    <cellStyle name="Normal 7 9" xfId="2109"/>
    <cellStyle name="Normal 8" xfId="108"/>
    <cellStyle name="Normal 8 2" xfId="109"/>
    <cellStyle name="Normal 8 3" xfId="2110"/>
    <cellStyle name="Normal 9" xfId="110"/>
    <cellStyle name="Normal 9 2" xfId="111"/>
    <cellStyle name="Normal 9 3" xfId="2111"/>
    <cellStyle name="Normal_EStarWASHERResTiersFY07v1_3_postJan07" xfId="9"/>
    <cellStyle name="Normal_EStarWASHERResTiersFY07v1_3_postJan07 2" xfId="135"/>
    <cellStyle name="Normal_MTDUCT" xfId="3"/>
    <cellStyle name="Normal_PC-LPDPackage-6P-D14" xfId="2"/>
    <cellStyle name="Normal_PC-PackRTOptimize-D1-6p-D2" xfId="7"/>
    <cellStyle name="Normal_ProCostFinAssumptions_Sector" xfId="4"/>
    <cellStyle name="Note 2" xfId="112"/>
    <cellStyle name="Note 2 2" xfId="2112"/>
    <cellStyle name="Note 3" xfId="2113"/>
    <cellStyle name="Output 2" xfId="113"/>
    <cellStyle name="Output 2 2" xfId="2114"/>
    <cellStyle name="Percent" xfId="8" builtinId="5"/>
    <cellStyle name="Percent 2" xfId="12"/>
    <cellStyle name="Percent 2 2" xfId="114"/>
    <cellStyle name="Percent 2 2 2" xfId="115"/>
    <cellStyle name="Percent 2 2 2 2" xfId="116"/>
    <cellStyle name="Percent 2 2 3" xfId="117"/>
    <cellStyle name="Percent 2 3" xfId="2115"/>
    <cellStyle name="Percent 2 3 2" xfId="2116"/>
    <cellStyle name="Percent 2 4" xfId="2117"/>
    <cellStyle name="Percent 3" xfId="118"/>
    <cellStyle name="Percent 3 2" xfId="119"/>
    <cellStyle name="Percent 3 2 2" xfId="120"/>
    <cellStyle name="Percent 3 3" xfId="121"/>
    <cellStyle name="Percent 3 4" xfId="122"/>
    <cellStyle name="Percent 4" xfId="123"/>
    <cellStyle name="Percent 4 2" xfId="124"/>
    <cellStyle name="Percent 4 3" xfId="2118"/>
    <cellStyle name="Percent 5" xfId="125"/>
    <cellStyle name="Percent 5 2" xfId="2119"/>
    <cellStyle name="Percent 6" xfId="2120"/>
    <cellStyle name="Percent 6 2" xfId="2121"/>
    <cellStyle name="Percent 7" xfId="2122"/>
    <cellStyle name="Sheet Title" xfId="2123"/>
    <cellStyle name="Style 1" xfId="2124"/>
    <cellStyle name="Title 2" xfId="126"/>
    <cellStyle name="Title 2 2" xfId="2125"/>
    <cellStyle name="Total 2" xfId="127"/>
    <cellStyle name="Total 2 2" xfId="2126"/>
    <cellStyle name="Warning Text 2" xfId="128"/>
    <cellStyle name="표준_ENERGY CONSUMP" xfId="129"/>
    <cellStyle name="常规_海外市场服务网站资料操作BOM" xfId="13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33" Type="http://schemas.openxmlformats.org/officeDocument/2006/relationships/externalLink" Target="externalLinks/externalLink10.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6.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externalLink" Target="externalLinks/externalLink9.xml"/><Relationship Id="rId37" Type="http://schemas.openxmlformats.org/officeDocument/2006/relationships/externalLink" Target="externalLinks/externalLink14.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5.xml"/><Relationship Id="rId36" Type="http://schemas.openxmlformats.org/officeDocument/2006/relationships/externalLink" Target="externalLinks/externalLink1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4.xml"/><Relationship Id="rId30" Type="http://schemas.openxmlformats.org/officeDocument/2006/relationships/externalLink" Target="externalLinks/externalLink7.xml"/><Relationship Id="rId35" Type="http://schemas.openxmlformats.org/officeDocument/2006/relationships/externalLink" Target="externalLinks/externalLink12.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autoTitleDeleted val="1"/>
    <c:plotArea>
      <c:layout/>
      <c:scatterChart>
        <c:scatterStyle val="lineMarker"/>
        <c:ser>
          <c:idx val="0"/>
          <c:order val="0"/>
          <c:spPr>
            <a:ln w="28575">
              <a:noFill/>
            </a:ln>
          </c:spPr>
          <c:xVal>
            <c:numLit>
              <c:formatCode>General</c:formatCode>
              <c:ptCount val="32"/>
              <c:pt idx="0">
                <c:v>5</c:v>
              </c:pt>
              <c:pt idx="1">
                <c:v>6</c:v>
              </c:pt>
              <c:pt idx="2">
                <c:v>6</c:v>
              </c:pt>
              <c:pt idx="3">
                <c:v>6</c:v>
              </c:pt>
              <c:pt idx="4">
                <c:v>6</c:v>
              </c:pt>
              <c:pt idx="5">
                <c:v>6</c:v>
              </c:pt>
              <c:pt idx="6">
                <c:v>6</c:v>
              </c:pt>
              <c:pt idx="7">
                <c:v>6</c:v>
              </c:pt>
              <c:pt idx="8">
                <c:v>6</c:v>
              </c:pt>
              <c:pt idx="9">
                <c:v>10</c:v>
              </c:pt>
              <c:pt idx="10">
                <c:v>10</c:v>
              </c:pt>
              <c:pt idx="11">
                <c:v>10</c:v>
              </c:pt>
              <c:pt idx="12">
                <c:v>10</c:v>
              </c:pt>
              <c:pt idx="13">
                <c:v>10</c:v>
              </c:pt>
              <c:pt idx="14">
                <c:v>12</c:v>
              </c:pt>
              <c:pt idx="15">
                <c:v>14</c:v>
              </c:pt>
              <c:pt idx="16">
                <c:v>14</c:v>
              </c:pt>
              <c:pt idx="17">
                <c:v>20</c:v>
              </c:pt>
              <c:pt idx="18">
                <c:v>20</c:v>
              </c:pt>
              <c:pt idx="19">
                <c:v>20</c:v>
              </c:pt>
              <c:pt idx="20">
                <c:v>20</c:v>
              </c:pt>
              <c:pt idx="21">
                <c:v>20</c:v>
              </c:pt>
              <c:pt idx="22">
                <c:v>20</c:v>
              </c:pt>
              <c:pt idx="23">
                <c:v>20</c:v>
              </c:pt>
              <c:pt idx="24">
                <c:v>20</c:v>
              </c:pt>
              <c:pt idx="25">
                <c:v>20</c:v>
              </c:pt>
              <c:pt idx="26">
                <c:v>20</c:v>
              </c:pt>
              <c:pt idx="27">
                <c:v>20</c:v>
              </c:pt>
              <c:pt idx="28">
                <c:v>20</c:v>
              </c:pt>
              <c:pt idx="29">
                <c:v>20</c:v>
              </c:pt>
              <c:pt idx="30">
                <c:v>20</c:v>
              </c:pt>
              <c:pt idx="31">
                <c:v>20</c:v>
              </c:pt>
            </c:numLit>
          </c:xVal>
          <c:yVal>
            <c:numLit>
              <c:formatCode>"$"#,##0_);[Red]\("$"#,##0\)</c:formatCode>
              <c:ptCount val="32"/>
              <c:pt idx="0">
                <c:v>8013</c:v>
              </c:pt>
              <c:pt idx="1">
                <c:v>9100</c:v>
              </c:pt>
              <c:pt idx="2">
                <c:v>10360</c:v>
              </c:pt>
              <c:pt idx="3">
                <c:v>10500</c:v>
              </c:pt>
              <c:pt idx="4">
                <c:v>7600</c:v>
              </c:pt>
              <c:pt idx="5">
                <c:v>8854</c:v>
              </c:pt>
              <c:pt idx="6">
                <c:v>4725</c:v>
              </c:pt>
              <c:pt idx="7">
                <c:v>8996</c:v>
              </c:pt>
              <c:pt idx="8">
                <c:v>8965</c:v>
              </c:pt>
              <c:pt idx="9">
                <c:v>12450</c:v>
              </c:pt>
              <c:pt idx="10">
                <c:v>9975</c:v>
              </c:pt>
              <c:pt idx="11">
                <c:v>7065</c:v>
              </c:pt>
              <c:pt idx="12">
                <c:v>12191</c:v>
              </c:pt>
              <c:pt idx="13">
                <c:v>12585</c:v>
              </c:pt>
              <c:pt idx="14">
                <c:v>7545</c:v>
              </c:pt>
              <c:pt idx="15">
                <c:v>8532</c:v>
              </c:pt>
              <c:pt idx="16">
                <c:v>12740</c:v>
              </c:pt>
              <c:pt idx="17">
                <c:v>17992</c:v>
              </c:pt>
              <c:pt idx="18">
                <c:v>15000</c:v>
              </c:pt>
              <c:pt idx="19">
                <c:v>16500</c:v>
              </c:pt>
              <c:pt idx="20">
                <c:v>16600</c:v>
              </c:pt>
              <c:pt idx="21">
                <c:v>13620</c:v>
              </c:pt>
              <c:pt idx="22">
                <c:v>16724</c:v>
              </c:pt>
              <c:pt idx="23">
                <c:v>9805</c:v>
              </c:pt>
              <c:pt idx="24">
                <c:v>13950</c:v>
              </c:pt>
              <c:pt idx="25">
                <c:v>14330</c:v>
              </c:pt>
              <c:pt idx="26">
                <c:v>16200</c:v>
              </c:pt>
              <c:pt idx="27">
                <c:v>15740</c:v>
              </c:pt>
              <c:pt idx="28">
                <c:v>13495</c:v>
              </c:pt>
              <c:pt idx="29">
                <c:v>20622</c:v>
              </c:pt>
              <c:pt idx="30">
                <c:v>11395</c:v>
              </c:pt>
              <c:pt idx="31">
                <c:v>16430</c:v>
              </c:pt>
            </c:numLit>
          </c:yVal>
        </c:ser>
        <c:axId val="205803520"/>
        <c:axId val="205805440"/>
      </c:scatterChart>
      <c:valAx>
        <c:axId val="205803520"/>
        <c:scaling>
          <c:orientation val="minMax"/>
        </c:scaling>
        <c:axPos val="b"/>
        <c:title>
          <c:tx>
            <c:rich>
              <a:bodyPr/>
              <a:lstStyle/>
              <a:p>
                <a:pPr>
                  <a:defRPr/>
                </a:pPr>
                <a:r>
                  <a:rPr lang="en-US"/>
                  <a:t>Pan Count</a:t>
                </a:r>
              </a:p>
            </c:rich>
          </c:tx>
        </c:title>
        <c:numFmt formatCode="General" sourceLinked="1"/>
        <c:majorTickMark val="none"/>
        <c:tickLblPos val="nextTo"/>
        <c:crossAx val="205805440"/>
        <c:crosses val="autoZero"/>
        <c:crossBetween val="midCat"/>
      </c:valAx>
      <c:valAx>
        <c:axId val="205805440"/>
        <c:scaling>
          <c:orientation val="minMax"/>
        </c:scaling>
        <c:axPos val="l"/>
        <c:majorGridlines/>
        <c:title>
          <c:tx>
            <c:rich>
              <a:bodyPr/>
              <a:lstStyle/>
              <a:p>
                <a:pPr>
                  <a:defRPr/>
                </a:pPr>
                <a:r>
                  <a:rPr lang="en-US"/>
                  <a:t>Cost</a:t>
                </a:r>
              </a:p>
            </c:rich>
          </c:tx>
        </c:title>
        <c:numFmt formatCode="&quot;$&quot;#,##0_);[Red]\(&quot;$&quot;#,##0\)" sourceLinked="1"/>
        <c:majorTickMark val="none"/>
        <c:tickLblPos val="nextTo"/>
        <c:crossAx val="205803520"/>
        <c:crosses val="autoZero"/>
        <c:crossBetween val="midCat"/>
      </c:valAx>
    </c:plotArea>
    <c:plotVisOnly val="1"/>
  </c:chart>
  <c:printSettings>
    <c:headerFooter/>
    <c:pageMargins b="0.75000000000000588" l="0.70000000000000062" r="0.70000000000000062" t="0.75000000000000588" header="0.30000000000000032" footer="0.30000000000000032"/>
    <c:pageSetup/>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11</xdr:row>
      <xdr:rowOff>123825</xdr:rowOff>
    </xdr:from>
    <xdr:to>
      <xdr:col>14</xdr:col>
      <xdr:colOff>95250</xdr:colOff>
      <xdr:row>21</xdr:row>
      <xdr:rowOff>152400</xdr:rowOff>
    </xdr:to>
    <xdr:pic>
      <xdr:nvPicPr>
        <xdr:cNvPr id="22529" name="Picture 1"/>
        <xdr:cNvPicPr>
          <a:picLocks noChangeAspect="1" noChangeArrowheads="1"/>
        </xdr:cNvPicPr>
      </xdr:nvPicPr>
      <xdr:blipFill>
        <a:blip xmlns:r="http://schemas.openxmlformats.org/officeDocument/2006/relationships" r:embed="rId1" cstate="print"/>
        <a:srcRect l="5451" t="52682" r="68941" b="30122"/>
        <a:stretch>
          <a:fillRect/>
        </a:stretch>
      </xdr:blipFill>
      <xdr:spPr bwMode="auto">
        <a:xfrm>
          <a:off x="457200" y="1905000"/>
          <a:ext cx="8724900" cy="1647825"/>
        </a:xfrm>
        <a:prstGeom prst="rect">
          <a:avLst/>
        </a:prstGeom>
        <a:noFill/>
        <a:ln w="1">
          <a:noFill/>
          <a:miter lim="800000"/>
          <a:headEnd/>
          <a:tailEnd type="none" w="med" len="med"/>
        </a:ln>
        <a:effectLst/>
      </xdr:spPr>
    </xdr:pic>
    <xdr:clientData/>
  </xdr:twoCellAnchor>
  <xdr:twoCellAnchor editAs="oneCell">
    <xdr:from>
      <xdr:col>0</xdr:col>
      <xdr:colOff>171450</xdr:colOff>
      <xdr:row>31</xdr:row>
      <xdr:rowOff>28575</xdr:rowOff>
    </xdr:from>
    <xdr:to>
      <xdr:col>15</xdr:col>
      <xdr:colOff>66675</xdr:colOff>
      <xdr:row>79</xdr:row>
      <xdr:rowOff>95250</xdr:rowOff>
    </xdr:to>
    <xdr:pic>
      <xdr:nvPicPr>
        <xdr:cNvPr id="22530" name="Picture 2"/>
        <xdr:cNvPicPr>
          <a:picLocks noChangeAspect="1" noChangeArrowheads="1"/>
        </xdr:cNvPicPr>
      </xdr:nvPicPr>
      <xdr:blipFill>
        <a:blip xmlns:r="http://schemas.openxmlformats.org/officeDocument/2006/relationships" r:embed="rId2" cstate="print"/>
        <a:srcRect l="4245" t="12407" r="69531" b="11389"/>
        <a:stretch>
          <a:fillRect/>
        </a:stretch>
      </xdr:blipFill>
      <xdr:spPr bwMode="auto">
        <a:xfrm>
          <a:off x="171450" y="5048250"/>
          <a:ext cx="9591675" cy="7839075"/>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209550</xdr:colOff>
      <xdr:row>9</xdr:row>
      <xdr:rowOff>219074</xdr:rowOff>
    </xdr:from>
    <xdr:to>
      <xdr:col>11</xdr:col>
      <xdr:colOff>142875</xdr:colOff>
      <xdr:row>28</xdr:row>
      <xdr:rowOff>85724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5</xdr:col>
      <xdr:colOff>295275</xdr:colOff>
      <xdr:row>9</xdr:row>
      <xdr:rowOff>95250</xdr:rowOff>
    </xdr:from>
    <xdr:to>
      <xdr:col>5</xdr:col>
      <xdr:colOff>295275</xdr:colOff>
      <xdr:row>109</xdr:row>
      <xdr:rowOff>152400</xdr:rowOff>
    </xdr:to>
    <xdr:cxnSp macro="">
      <xdr:nvCxnSpPr>
        <xdr:cNvPr id="2" name="Straight Arrow Connector 1"/>
        <xdr:cNvCxnSpPr/>
      </xdr:nvCxnSpPr>
      <xdr:spPr bwMode="auto">
        <a:xfrm>
          <a:off x="6429375" y="1952625"/>
          <a:ext cx="0" cy="20059650"/>
        </a:xfrm>
        <a:prstGeom prst="straightConnector1">
          <a:avLst/>
        </a:prstGeom>
        <a:solidFill>
          <a:srgbClr val="FFFFFF"/>
        </a:solidFill>
        <a:ln w="9525" cap="flat" cmpd="sng" algn="ctr">
          <a:solidFill>
            <a:srgbClr val="000000"/>
          </a:solidFill>
          <a:prstDash val="solid"/>
          <a:round/>
          <a:headEnd type="none" w="med" len="med"/>
          <a:tailEnd type="arrow"/>
        </a:ln>
        <a:effectLst/>
      </xdr:spPr>
    </xdr:cxnSp>
    <xdr:clientData/>
  </xdr:twoCellAnchor>
  <xdr:twoCellAnchor>
    <xdr:from>
      <xdr:col>5</xdr:col>
      <xdr:colOff>304800</xdr:colOff>
      <xdr:row>111</xdr:row>
      <xdr:rowOff>85725</xdr:rowOff>
    </xdr:from>
    <xdr:to>
      <xdr:col>5</xdr:col>
      <xdr:colOff>304800</xdr:colOff>
      <xdr:row>156</xdr:row>
      <xdr:rowOff>0</xdr:rowOff>
    </xdr:to>
    <xdr:cxnSp macro="">
      <xdr:nvCxnSpPr>
        <xdr:cNvPr id="3" name="Straight Arrow Connector 2"/>
        <xdr:cNvCxnSpPr/>
      </xdr:nvCxnSpPr>
      <xdr:spPr bwMode="auto">
        <a:xfrm>
          <a:off x="6438900" y="22355175"/>
          <a:ext cx="0" cy="8915400"/>
        </a:xfrm>
        <a:prstGeom prst="straightConnector1">
          <a:avLst/>
        </a:prstGeom>
        <a:solidFill>
          <a:srgbClr val="FFFFFF"/>
        </a:solidFill>
        <a:ln w="9525" cap="flat" cmpd="sng" algn="ctr">
          <a:solidFill>
            <a:srgbClr val="000000"/>
          </a:solidFill>
          <a:prstDash val="solid"/>
          <a:round/>
          <a:headEnd type="none" w="med" len="med"/>
          <a:tailEnd type="arrow"/>
        </a:ln>
        <a:effec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mit\AppData\Roaming\Microsoft\Excel\Cooking\ComCookingSteamer_v2_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oking/ComCookingFryer_v2_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mit\AppData\Roaming\Microsoft\Excel\Cooking\ComCookingConvectionOven_v2_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smit\AppData\Roaming\Microsoft\Excel\Cooking\ComCookingCombinationOven_v2_0.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Christian\Google%20Drive\Christian\RTF\Measures\Com%20Clothes%20Washers\Final%20Workbook\Versions%20Post%20April%20Meeting\ComClothesWasher_v2.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smit\AppData\Local\Microsoft\Windows\Temporary%20Internet%20Files\Content.Outlook\NP9J6S84\7thPPComDHWEfficientTank.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OM-WHTanks-7P_v1.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oneil.COUNCIL\AppData\Local\Microsoft\Windows\Temporary%20Internet%20Files\Content.Outlook\CWVRIHAS\Files%20from%20RTF\ComDHWEfficientTank_v1_3%2010.30.2013.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Current\12962%20-%20RTF%20UES%20Measure%20Review\AgStockWateringTank\Delivered%20to%20SBW%202012%2008%2001\AgStockWateringTank_v1_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NO/RTF/Measure%20Development/Com/Cooking/Cooking-HOU_Calcs-v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Cooking/ComCookingHotFoodCabinet_v2_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Cooking/ComCookingSteamer_v2_0.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ummary"/>
      <sheetName val="Checklist"/>
      <sheetName val="MeasureTable"/>
      <sheetName val="ProData"/>
      <sheetName val="Measure_InputOutput"/>
      <sheetName val="LookupTable"/>
      <sheetName val="SavingsData&amp;Analysis"/>
      <sheetName val="CostData&amp;Analysis"/>
      <sheetName val="ValidationLists"/>
      <sheetName val="ProCost 6th Plan Inputs"/>
      <sheetName val="Levelized Cost Note"/>
      <sheetName val="Problems"/>
    </sheetNames>
    <sheetDataSet>
      <sheetData sheetId="0"/>
      <sheetData sheetId="1">
        <row r="6">
          <cell r="I6" t="str">
            <v>Unit Energy Savings</v>
          </cell>
        </row>
      </sheetData>
      <sheetData sheetId="2"/>
      <sheetData sheetId="3">
        <row r="5">
          <cell r="F5" t="str">
            <v>6P MidC Final (with carbon)</v>
          </cell>
        </row>
      </sheetData>
      <sheetData sheetId="4"/>
      <sheetData sheetId="5">
        <row r="1">
          <cell r="A1">
            <v>1</v>
          </cell>
        </row>
      </sheetData>
      <sheetData sheetId="6"/>
      <sheetData sheetId="7"/>
      <sheetData sheetId="8">
        <row r="2">
          <cell r="A2" t="str">
            <v>Program Tracking Data</v>
          </cell>
          <cell r="G2" t="str">
            <v>Pre-Conditions</v>
          </cell>
        </row>
        <row r="3">
          <cell r="G3" t="str">
            <v>Current Practice</v>
          </cell>
        </row>
        <row r="4">
          <cell r="G4" t="str">
            <v>Pre-Conditions and Current Practice</v>
          </cell>
        </row>
      </sheetData>
      <sheetData sheetId="9">
        <row r="1">
          <cell r="A1">
            <v>1</v>
          </cell>
        </row>
      </sheetData>
      <sheetData sheetId="10"/>
      <sheetData sheetId="1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ummary"/>
      <sheetName val="Checklist"/>
      <sheetName val="MeasureTable"/>
      <sheetName val="ProData"/>
      <sheetName val="Measure_InputOutput"/>
      <sheetName val="LookupTable"/>
      <sheetName val="ValidationLists"/>
      <sheetName val="SavingsData&amp;Analysis"/>
      <sheetName val="ENERGY STAR QPL"/>
      <sheetName val="CostData&amp;Analysis"/>
      <sheetName val="ProCost 6th Plan Inputs"/>
      <sheetName val="Levelized Cost Note"/>
      <sheetName val="Problems"/>
      <sheetName val="ComCookingFryer_v2_0"/>
    </sheetNames>
    <definedNames>
      <definedName name="ListLinks"/>
    </definedNames>
    <sheetDataSet>
      <sheetData sheetId="0"/>
      <sheetData sheetId="1">
        <row r="6">
          <cell r="I6" t="str">
            <v>Unit Energy Savings</v>
          </cell>
        </row>
        <row r="7">
          <cell r="I7" t="str">
            <v>Small Saver</v>
          </cell>
        </row>
        <row r="8">
          <cell r="I8" t="str">
            <v>Calibrated Engineering</v>
          </cell>
        </row>
        <row r="9">
          <cell r="I9" t="str">
            <v>Yes</v>
          </cell>
        </row>
      </sheetData>
      <sheetData sheetId="2">
        <row r="8">
          <cell r="A8" t="str">
            <v>Commercial</v>
          </cell>
        </row>
      </sheetData>
      <sheetData sheetId="3">
        <row r="5">
          <cell r="F5" t="str">
            <v>6P MidC Final (with carbon)</v>
          </cell>
        </row>
        <row r="6">
          <cell r="F6" t="str">
            <v>Conservation Load Shapes</v>
          </cell>
        </row>
        <row r="7">
          <cell r="F7" t="str">
            <v>6P_Gas_Final</v>
          </cell>
        </row>
        <row r="8">
          <cell r="F8" t="str">
            <v>Conservation Load Shapes</v>
          </cell>
        </row>
        <row r="9">
          <cell r="F9" t="str">
            <v>6P CO2 lbs per kWh Hcap</v>
          </cell>
        </row>
        <row r="10">
          <cell r="F10" t="str">
            <v>CO2 lbs per therm</v>
          </cell>
        </row>
        <row r="11">
          <cell r="F11" t="str">
            <v>Zero Dollars per ton CO2</v>
          </cell>
        </row>
        <row r="12">
          <cell r="F12" t="str">
            <v>LineLossShapes</v>
          </cell>
        </row>
      </sheetData>
      <sheetData sheetId="4"/>
      <sheetData sheetId="5">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A2" t="str">
            <v>Original Measure Name</v>
          </cell>
          <cell r="B2" t="str">
            <v>Sector</v>
          </cell>
          <cell r="C2" t="str">
            <v>Category</v>
          </cell>
          <cell r="D2" t="str">
            <v>Subcategory</v>
          </cell>
          <cell r="E2" t="str">
            <v>Technology, Measure or Practice</v>
          </cell>
          <cell r="F2" t="str">
            <v>UnitType</v>
          </cell>
          <cell r="G2" t="str">
            <v>Building Type</v>
          </cell>
          <cell r="H2" t="str">
            <v>Vintage</v>
          </cell>
          <cell r="I2" t="str">
            <v>Other 1</v>
          </cell>
          <cell r="J2" t="str">
            <v>Other 2</v>
          </cell>
          <cell r="K2" t="str">
            <v>Delivery Mechanism or Program</v>
          </cell>
          <cell r="L2" t="str">
            <v>ID_Mechanism</v>
          </cell>
          <cell r="M2" t="str">
            <v>Application</v>
          </cell>
          <cell r="N2" t="str">
            <v>ID_Application</v>
          </cell>
          <cell r="O2" t="str">
            <v>Lost Opportunity?</v>
          </cell>
          <cell r="P2" t="str">
            <v>Location</v>
          </cell>
          <cell r="Q2" t="str">
            <v>ID_ClimateZone</v>
          </cell>
          <cell r="R2" t="str">
            <v>Basis of Savings</v>
          </cell>
          <cell r="S2" t="str">
            <v>ID_Basis</v>
          </cell>
          <cell r="T2" t="str">
            <v>End User Benefits</v>
          </cell>
          <cell r="U2" t="str">
            <v>Societal Benefits</v>
          </cell>
          <cell r="V2" t="str">
            <v>Related Programs/Activities</v>
          </cell>
          <cell r="W2" t="str">
            <v>Comments</v>
          </cell>
          <cell r="X2" t="str">
            <v>Credit/ Reimbursement</v>
          </cell>
          <cell r="Y2" t="str">
            <v>Reference No</v>
          </cell>
        </row>
        <row r="3">
          <cell r="A3" t="str">
            <v>Efficient Electric Fryer</v>
          </cell>
          <cell r="B3" t="str">
            <v>Commercial</v>
          </cell>
          <cell r="C3" t="str">
            <v>Equipment</v>
          </cell>
          <cell r="D3" t="str">
            <v>Cooking</v>
          </cell>
          <cell r="E3" t="str">
            <v>New Electric Fryer</v>
          </cell>
          <cell r="F3">
            <v>0</v>
          </cell>
          <cell r="G3" t="str">
            <v>All Building Types</v>
          </cell>
          <cell r="H3" t="str">
            <v>New and Existing Construction</v>
          </cell>
          <cell r="I3" t="str">
            <v>Meets ENERGYSTAR v2.0 requirements</v>
          </cell>
          <cell r="J3">
            <v>0</v>
          </cell>
          <cell r="K3" t="str">
            <v xml:space="preserve">Consumer, Distributor or Manufacturer rebate </v>
          </cell>
          <cell r="L3">
            <v>0</v>
          </cell>
          <cell r="M3" t="str">
            <v>Model must be new and listed as meeting ENERGYSTAR v2.0 requirements.</v>
          </cell>
          <cell r="N3">
            <v>0</v>
          </cell>
          <cell r="O3" t="str">
            <v>Yes</v>
          </cell>
          <cell r="P3" t="str">
            <v>Regionwide</v>
          </cell>
          <cell r="Q3">
            <v>0</v>
          </cell>
          <cell r="R3" t="str">
            <v>Deemed</v>
          </cell>
          <cell r="S3">
            <v>0</v>
          </cell>
          <cell r="T3">
            <v>0</v>
          </cell>
          <cell r="U3">
            <v>0</v>
          </cell>
          <cell r="V3">
            <v>0</v>
          </cell>
          <cell r="W3">
            <v>0</v>
          </cell>
          <cell r="X3">
            <v>0</v>
          </cell>
          <cell r="Y3" t="str">
            <v>CEQ00113</v>
          </cell>
        </row>
      </sheetData>
      <sheetData sheetId="6">
        <row r="2">
          <cell r="A2" t="str">
            <v>Program Tracking Data</v>
          </cell>
          <cell r="B2" t="str">
            <v>Savings</v>
          </cell>
          <cell r="C2" t="str">
            <v>Unit Energy Savings</v>
          </cell>
          <cell r="D2" t="str">
            <v>Proven</v>
          </cell>
          <cell r="E2" t="str">
            <v>Statistical</v>
          </cell>
          <cell r="F2" t="str">
            <v>Yes</v>
          </cell>
          <cell r="G2" t="str">
            <v>Pre-Conditions</v>
          </cell>
        </row>
        <row r="3">
          <cell r="A3" t="str">
            <v>In-Store Retail</v>
          </cell>
          <cell r="B3" t="str">
            <v>Cost</v>
          </cell>
          <cell r="C3" t="str">
            <v>Standard Protocol</v>
          </cell>
          <cell r="D3" t="str">
            <v>Provisional</v>
          </cell>
          <cell r="E3" t="str">
            <v>Meta-Statistical</v>
          </cell>
          <cell r="F3" t="str">
            <v>No</v>
          </cell>
          <cell r="G3" t="str">
            <v>Current Practice</v>
          </cell>
        </row>
        <row r="4">
          <cell r="A4" t="str">
            <v>Contractor and Project Invoices</v>
          </cell>
          <cell r="B4" t="str">
            <v>Lifetime</v>
          </cell>
          <cell r="C4" t="str">
            <v>Custom</v>
          </cell>
          <cell r="D4" t="str">
            <v>Small Saver</v>
          </cell>
          <cell r="E4" t="str">
            <v>Calibrated Engineering</v>
          </cell>
          <cell r="F4" t="str">
            <v>NA</v>
          </cell>
          <cell r="G4" t="str">
            <v>Pre-Conditions and Current Practice</v>
          </cell>
        </row>
        <row r="5">
          <cell r="A5" t="str">
            <v>Contractor Price Sheets</v>
          </cell>
          <cell r="B5" t="str">
            <v>Small and Rural</v>
          </cell>
          <cell r="C5" t="str">
            <v>Program Impact Evaluation</v>
          </cell>
          <cell r="D5" t="str">
            <v>Planning</v>
          </cell>
          <cell r="E5" t="str">
            <v>All</v>
          </cell>
        </row>
        <row r="6">
          <cell r="A6" t="str">
            <v>Online Retail</v>
          </cell>
          <cell r="B6" t="str">
            <v>ProCost</v>
          </cell>
          <cell r="C6" t="str">
            <v>All</v>
          </cell>
          <cell r="D6" t="str">
            <v>All</v>
          </cell>
        </row>
        <row r="7">
          <cell r="A7" t="str">
            <v>DOE / Other Standard Setting Process</v>
          </cell>
          <cell r="B7" t="str">
            <v>Roadmap</v>
          </cell>
        </row>
        <row r="8">
          <cell r="A8" t="str">
            <v>Contractor Interview</v>
          </cell>
          <cell r="B8" t="str">
            <v>All</v>
          </cell>
        </row>
        <row r="9">
          <cell r="A9" t="str">
            <v>Distributor Interview</v>
          </cell>
        </row>
        <row r="10">
          <cell r="A10" t="str">
            <v>Market Actor Interviews</v>
          </cell>
        </row>
        <row r="11">
          <cell r="A11" t="str">
            <v>Maintenance Staff Interviews</v>
          </cell>
        </row>
        <row r="12">
          <cell r="A12" t="str">
            <v>Professional Judgment</v>
          </cell>
        </row>
      </sheetData>
      <sheetData sheetId="7"/>
      <sheetData sheetId="8"/>
      <sheetData sheetId="9"/>
      <sheetData sheetId="10">
        <row r="1">
          <cell r="A1">
            <v>1</v>
          </cell>
          <cell r="B1">
            <v>2</v>
          </cell>
          <cell r="C1">
            <v>3</v>
          </cell>
          <cell r="D1">
            <v>4</v>
          </cell>
          <cell r="E1">
            <v>5</v>
          </cell>
          <cell r="F1">
            <v>6</v>
          </cell>
          <cell r="G1">
            <v>7</v>
          </cell>
          <cell r="H1">
            <v>8</v>
          </cell>
          <cell r="I1">
            <v>9</v>
          </cell>
          <cell r="J1">
            <v>10</v>
          </cell>
          <cell r="K1">
            <v>11</v>
          </cell>
        </row>
        <row r="2">
          <cell r="A2" t="str">
            <v>Residential Sector ProCost Input Assumptions</v>
          </cell>
          <cell r="B2">
            <v>0.52</v>
          </cell>
        </row>
        <row r="3">
          <cell r="A3" t="str">
            <v>Sponsor Parameters</v>
          </cell>
          <cell r="B3" t="str">
            <v>Customer</v>
          </cell>
          <cell r="C3" t="str">
            <v>Wholesale Electric</v>
          </cell>
          <cell r="D3" t="str">
            <v>Retail Electric</v>
          </cell>
          <cell r="E3" t="str">
            <v>Natural Gas</v>
          </cell>
          <cell r="I3" t="str">
            <v>Program Parameters</v>
          </cell>
          <cell r="J3" t="str">
            <v>Program</v>
          </cell>
        </row>
        <row r="4">
          <cell r="A4" t="str">
            <v>Real After-Tax Cost of Capital</v>
          </cell>
          <cell r="B4">
            <v>3.9E-2</v>
          </cell>
          <cell r="C4">
            <v>4.3999999999999997E-2</v>
          </cell>
          <cell r="D4">
            <v>4.9000000000000002E-2</v>
          </cell>
          <cell r="E4">
            <v>0.05</v>
          </cell>
          <cell r="I4" t="str">
            <v>Program Life (yrs)</v>
          </cell>
          <cell r="J4">
            <v>20</v>
          </cell>
        </row>
        <row r="5">
          <cell r="A5" t="str">
            <v>Financial Life (years)</v>
          </cell>
          <cell r="B5">
            <v>15</v>
          </cell>
          <cell r="C5">
            <v>1</v>
          </cell>
          <cell r="D5">
            <v>1</v>
          </cell>
          <cell r="E5">
            <v>1</v>
          </cell>
          <cell r="I5" t="str">
            <v>Program Start Date</v>
          </cell>
          <cell r="J5">
            <v>2010</v>
          </cell>
        </row>
        <row r="6">
          <cell r="A6" t="str">
            <v xml:space="preserve">Sponsor Share of Initial Capital Cost </v>
          </cell>
          <cell r="B6">
            <v>0.35</v>
          </cell>
          <cell r="C6">
            <v>0.2</v>
          </cell>
          <cell r="D6">
            <v>0.45</v>
          </cell>
          <cell r="E6">
            <v>0</v>
          </cell>
          <cell r="I6" t="str">
            <v>Present Value Time Zero</v>
          </cell>
          <cell r="J6">
            <v>2010</v>
          </cell>
        </row>
        <row r="7">
          <cell r="A7" t="str">
            <v>Sponsor Share of Annual O&amp;M</v>
          </cell>
          <cell r="B7">
            <v>1</v>
          </cell>
          <cell r="C7">
            <v>0</v>
          </cell>
          <cell r="D7">
            <v>0</v>
          </cell>
          <cell r="E7">
            <v>0</v>
          </cell>
          <cell r="I7" t="str">
            <v>Input Cost Reference Year</v>
          </cell>
          <cell r="J7">
            <v>2006</v>
          </cell>
        </row>
        <row r="8">
          <cell r="A8" t="str">
            <v>Sponsor Share of Periodic Replacement Cost</v>
          </cell>
          <cell r="B8">
            <v>1</v>
          </cell>
          <cell r="C8">
            <v>0</v>
          </cell>
          <cell r="D8">
            <v>0</v>
          </cell>
          <cell r="E8">
            <v>0</v>
          </cell>
          <cell r="I8" t="str">
            <v>Real Discount Rate</v>
          </cell>
          <cell r="J8">
            <v>0.05</v>
          </cell>
        </row>
        <row r="9">
          <cell r="A9" t="str">
            <v>Sponsor Share of Administrative Cost</v>
          </cell>
          <cell r="B9">
            <v>0</v>
          </cell>
          <cell r="C9">
            <v>0.5</v>
          </cell>
          <cell r="D9">
            <v>0.5</v>
          </cell>
          <cell r="E9">
            <v>0</v>
          </cell>
          <cell r="I9" t="str">
            <v>Capital Real Escalation Rate</v>
          </cell>
          <cell r="J9">
            <v>0</v>
          </cell>
        </row>
        <row r="10">
          <cell r="A10" t="str">
            <v>Last Year of Non-Customer O&amp;M &amp; Period Replacement</v>
          </cell>
          <cell r="B10">
            <v>0</v>
          </cell>
          <cell r="C10">
            <v>20</v>
          </cell>
          <cell r="D10">
            <v>0</v>
          </cell>
          <cell r="E10">
            <v>0</v>
          </cell>
          <cell r="I10" t="str">
            <v>Admin Cost (As % of Initial Capital Cost)</v>
          </cell>
          <cell r="J10">
            <v>0.2</v>
          </cell>
        </row>
        <row r="11">
          <cell r="A11">
            <v>0</v>
          </cell>
          <cell r="B11">
            <v>0</v>
          </cell>
          <cell r="C11">
            <v>0</v>
          </cell>
          <cell r="D11">
            <v>0</v>
          </cell>
          <cell r="E11">
            <v>0</v>
          </cell>
          <cell r="I11" t="str">
            <v>Regional Act Conservation Credit (%)</v>
          </cell>
          <cell r="J11">
            <v>0.1</v>
          </cell>
        </row>
        <row r="12">
          <cell r="A12" t="str">
            <v>Commercial Sector ProCost Assumptions</v>
          </cell>
          <cell r="B12">
            <v>0.33</v>
          </cell>
          <cell r="I12" t="str">
            <v>Report Annual Carbon Saved for Year</v>
          </cell>
          <cell r="J12">
            <v>2020</v>
          </cell>
        </row>
        <row r="13">
          <cell r="A13" t="str">
            <v>Sponsor Parameters</v>
          </cell>
          <cell r="B13" t="str">
            <v>Customer</v>
          </cell>
          <cell r="C13" t="str">
            <v>Wholesale Electric</v>
          </cell>
          <cell r="D13" t="str">
            <v>Retail Electric</v>
          </cell>
          <cell r="E13" t="str">
            <v>Natural Gas</v>
          </cell>
        </row>
        <row r="14">
          <cell r="A14" t="str">
            <v>Real After-Tax Cost of Capital</v>
          </cell>
          <cell r="B14">
            <v>6.7000000000000004E-2</v>
          </cell>
          <cell r="C14">
            <v>4.3999999999999997E-2</v>
          </cell>
          <cell r="D14">
            <v>4.9000000000000002E-2</v>
          </cell>
          <cell r="E14">
            <v>0.05</v>
          </cell>
          <cell r="I14" t="str">
            <v>Utility System Parameters</v>
          </cell>
          <cell r="J14" t="str">
            <v>Electric</v>
          </cell>
          <cell r="K14" t="str">
            <v>Gas</v>
          </cell>
        </row>
        <row r="15">
          <cell r="A15" t="str">
            <v>Financial Life (years)</v>
          </cell>
          <cell r="B15">
            <v>20</v>
          </cell>
          <cell r="C15">
            <v>1</v>
          </cell>
          <cell r="D15">
            <v>1</v>
          </cell>
          <cell r="E15">
            <v>1</v>
          </cell>
          <cell r="I15" t="str">
            <v>Bulk System T&amp;D Loss Factor by Time Segment</v>
          </cell>
          <cell r="J15" t="str">
            <v>WECCTrans</v>
          </cell>
          <cell r="K15" t="str">
            <v>Flat1.0</v>
          </cell>
        </row>
        <row r="16">
          <cell r="A16" t="str">
            <v xml:space="preserve">Sponsor Share of Initial Capital Cost </v>
          </cell>
          <cell r="B16">
            <v>0.35</v>
          </cell>
          <cell r="C16">
            <v>0.1</v>
          </cell>
          <cell r="D16">
            <v>0.55000000000000004</v>
          </cell>
          <cell r="E16">
            <v>0</v>
          </cell>
          <cell r="I16" t="str">
            <v>Bulk System T&amp;D Credit ($/kw-yr)($/dailytherm-yr)</v>
          </cell>
          <cell r="J16">
            <v>0</v>
          </cell>
          <cell r="K16">
            <v>0</v>
          </cell>
        </row>
        <row r="17">
          <cell r="A17" t="str">
            <v>Sponsor Share of Annual O&amp;M</v>
          </cell>
          <cell r="B17">
            <v>1</v>
          </cell>
          <cell r="C17">
            <v>0</v>
          </cell>
          <cell r="D17">
            <v>0</v>
          </cell>
          <cell r="E17">
            <v>0</v>
          </cell>
          <cell r="I17" t="str">
            <v>Local System Dist Loss Factor by Time Segment</v>
          </cell>
          <cell r="J17" t="str">
            <v>Flat5.0</v>
          </cell>
          <cell r="K17" t="str">
            <v>NoLoss</v>
          </cell>
        </row>
        <row r="18">
          <cell r="A18" t="str">
            <v>Sponsor Share of Periodic Replacement Cost</v>
          </cell>
          <cell r="B18">
            <v>1</v>
          </cell>
          <cell r="C18">
            <v>0</v>
          </cell>
          <cell r="D18">
            <v>0</v>
          </cell>
          <cell r="E18">
            <v>0</v>
          </cell>
          <cell r="I18" t="str">
            <v>Local System Dist Credit ($/kw-yr)($/dailytherm-yr)</v>
          </cell>
          <cell r="J18">
            <v>23</v>
          </cell>
          <cell r="K18">
            <v>0</v>
          </cell>
        </row>
        <row r="19">
          <cell r="A19" t="str">
            <v>Sponsor Share of Admin Cost</v>
          </cell>
          <cell r="B19">
            <v>0</v>
          </cell>
          <cell r="C19">
            <v>0.5</v>
          </cell>
          <cell r="D19">
            <v>0.5</v>
          </cell>
          <cell r="E19">
            <v>0</v>
          </cell>
          <cell r="I19" t="str">
            <v>Risk-Mitigation Credit (mills/kWh)(mills/therm)(SC)</v>
          </cell>
          <cell r="J19">
            <v>0</v>
          </cell>
          <cell r="K19">
            <v>0</v>
          </cell>
        </row>
        <row r="20">
          <cell r="A20" t="str">
            <v>Last Year of Non-Customer O&amp;M &amp; Period Replacement</v>
          </cell>
          <cell r="B20">
            <v>0</v>
          </cell>
          <cell r="C20">
            <v>20</v>
          </cell>
          <cell r="D20">
            <v>0</v>
          </cell>
          <cell r="E20">
            <v>0</v>
          </cell>
          <cell r="I20" t="str">
            <v>Risk-Mitigation Credit (mills/kWh)(mills/therm)(LO)</v>
          </cell>
          <cell r="J20">
            <v>58</v>
          </cell>
          <cell r="K20">
            <v>0</v>
          </cell>
        </row>
        <row r="21">
          <cell r="I21" t="str">
            <v>Risk-Mitigation Credit (mills/kWh)(mills/therm)(NLO)</v>
          </cell>
          <cell r="J21">
            <v>43</v>
          </cell>
          <cell r="K21">
            <v>0</v>
          </cell>
        </row>
        <row r="22">
          <cell r="A22" t="str">
            <v>Industrial Sector ProCost Assumptions</v>
          </cell>
          <cell r="B22">
            <v>0.13</v>
          </cell>
        </row>
        <row r="23">
          <cell r="A23" t="str">
            <v>Sponsor Parameters</v>
          </cell>
          <cell r="B23" t="str">
            <v>Customer</v>
          </cell>
          <cell r="C23" t="str">
            <v>Wholesale Electric</v>
          </cell>
          <cell r="D23" t="str">
            <v>Retail Electric</v>
          </cell>
          <cell r="E23" t="str">
            <v>Natural Gas</v>
          </cell>
          <cell r="I23" t="str">
            <v>Price Deflator Year 2000 to Year 2006$</v>
          </cell>
        </row>
        <row r="24">
          <cell r="A24" t="str">
            <v>Real After-Tax Cost of Capital</v>
          </cell>
          <cell r="B24">
            <v>7.5999999999999998E-2</v>
          </cell>
          <cell r="C24">
            <v>4.3999999999999997E-2</v>
          </cell>
          <cell r="D24">
            <v>4.9000000000000002E-2</v>
          </cell>
          <cell r="E24">
            <v>0.05</v>
          </cell>
          <cell r="I24">
            <v>1.16567</v>
          </cell>
        </row>
        <row r="25">
          <cell r="A25" t="str">
            <v>Financial Life (years)</v>
          </cell>
          <cell r="B25">
            <v>20</v>
          </cell>
          <cell r="C25">
            <v>1</v>
          </cell>
          <cell r="D25">
            <v>1</v>
          </cell>
          <cell r="E25">
            <v>1</v>
          </cell>
        </row>
        <row r="26">
          <cell r="A26" t="str">
            <v xml:space="preserve">Sponsor Share of Initial Capital Cost </v>
          </cell>
          <cell r="B26">
            <v>0.35</v>
          </cell>
          <cell r="C26">
            <v>0.1</v>
          </cell>
          <cell r="D26">
            <v>0.55000000000000004</v>
          </cell>
          <cell r="E26">
            <v>0</v>
          </cell>
        </row>
        <row r="27">
          <cell r="A27" t="str">
            <v>Sponsor Share of Annual O&amp;M</v>
          </cell>
          <cell r="B27">
            <v>1</v>
          </cell>
          <cell r="C27">
            <v>0</v>
          </cell>
          <cell r="D27">
            <v>0</v>
          </cell>
          <cell r="E27">
            <v>0</v>
          </cell>
        </row>
        <row r="28">
          <cell r="A28" t="str">
            <v>Sponsor Share of Periodic Replacement Cost</v>
          </cell>
          <cell r="B28">
            <v>1</v>
          </cell>
          <cell r="C28">
            <v>0</v>
          </cell>
          <cell r="D28">
            <v>0</v>
          </cell>
          <cell r="E28">
            <v>0</v>
          </cell>
        </row>
        <row r="29">
          <cell r="A29" t="str">
            <v>Sponsor Share of Admin Cost</v>
          </cell>
          <cell r="B29">
            <v>0</v>
          </cell>
          <cell r="C29">
            <v>0.5</v>
          </cell>
          <cell r="D29">
            <v>0.5</v>
          </cell>
          <cell r="E29">
            <v>0</v>
          </cell>
        </row>
        <row r="30">
          <cell r="A30" t="str">
            <v>Last Year of Non-Customer O&amp;M &amp; Period Replacement</v>
          </cell>
          <cell r="B30">
            <v>0</v>
          </cell>
          <cell r="C30">
            <v>20</v>
          </cell>
          <cell r="D30">
            <v>0</v>
          </cell>
          <cell r="E30">
            <v>0</v>
          </cell>
        </row>
        <row r="32">
          <cell r="A32" t="str">
            <v>Agricultural Sector ProCost Assumptions</v>
          </cell>
          <cell r="B32">
            <v>0.02</v>
          </cell>
        </row>
        <row r="33">
          <cell r="A33" t="str">
            <v>Sponsor Parameters</v>
          </cell>
          <cell r="B33" t="str">
            <v>Customer</v>
          </cell>
          <cell r="C33" t="str">
            <v>Wholesale Electric</v>
          </cell>
          <cell r="D33" t="str">
            <v>Retail Electric</v>
          </cell>
          <cell r="E33" t="str">
            <v>Natural Gas</v>
          </cell>
          <cell r="I33" t="str">
            <v>MC_AND_LOADSHAPE_6P.xls worksheet tab names</v>
          </cell>
        </row>
        <row r="34">
          <cell r="A34" t="str">
            <v>Real After-Tax Cost of Capital</v>
          </cell>
          <cell r="B34">
            <v>7.5999999999999998E-2</v>
          </cell>
          <cell r="C34">
            <v>4.3999999999999997E-2</v>
          </cell>
          <cell r="D34">
            <v>4.9000000000000002E-2</v>
          </cell>
          <cell r="E34">
            <v>0.05</v>
          </cell>
          <cell r="I34" t="str">
            <v>6P MidC Final (with carbon)</v>
          </cell>
        </row>
        <row r="35">
          <cell r="A35" t="str">
            <v>Financial Life (years)</v>
          </cell>
          <cell r="B35">
            <v>5</v>
          </cell>
          <cell r="C35">
            <v>1</v>
          </cell>
          <cell r="D35">
            <v>1</v>
          </cell>
          <cell r="E35">
            <v>1</v>
          </cell>
          <cell r="I35" t="str">
            <v>Conservation Load Shapes</v>
          </cell>
        </row>
        <row r="36">
          <cell r="A36" t="str">
            <v xml:space="preserve">Sponsor Share of Initial Capital Cost </v>
          </cell>
          <cell r="B36">
            <v>0.35</v>
          </cell>
          <cell r="C36">
            <v>0.1</v>
          </cell>
          <cell r="D36">
            <v>0.55000000000000004</v>
          </cell>
          <cell r="E36">
            <v>0</v>
          </cell>
          <cell r="I36" t="str">
            <v>6P_Gas_Final</v>
          </cell>
        </row>
        <row r="37">
          <cell r="A37" t="str">
            <v>Sponsor Share of Annual O&amp;M</v>
          </cell>
          <cell r="B37">
            <v>1</v>
          </cell>
          <cell r="C37">
            <v>0</v>
          </cell>
          <cell r="D37">
            <v>0</v>
          </cell>
          <cell r="E37">
            <v>0</v>
          </cell>
          <cell r="I37" t="str">
            <v>Conservation Load Shapes</v>
          </cell>
        </row>
        <row r="38">
          <cell r="A38" t="str">
            <v>Sponsor Share of Periodic Replacement Cost</v>
          </cell>
          <cell r="B38">
            <v>1</v>
          </cell>
          <cell r="C38">
            <v>0</v>
          </cell>
          <cell r="D38">
            <v>0</v>
          </cell>
          <cell r="E38">
            <v>0</v>
          </cell>
          <cell r="I38" t="str">
            <v>6P CO2 lbs per kWh Hcap</v>
          </cell>
        </row>
        <row r="39">
          <cell r="A39" t="str">
            <v>Sponsor Share of Admin Cost</v>
          </cell>
          <cell r="B39">
            <v>0</v>
          </cell>
          <cell r="C39">
            <v>0.5</v>
          </cell>
          <cell r="D39">
            <v>0.5</v>
          </cell>
          <cell r="E39">
            <v>0</v>
          </cell>
          <cell r="I39" t="str">
            <v>CO2 lbs per therm</v>
          </cell>
        </row>
        <row r="40">
          <cell r="A40" t="str">
            <v>Last Year of Non-Customer O&amp;M &amp; Period Replacement</v>
          </cell>
          <cell r="B40">
            <v>0</v>
          </cell>
          <cell r="C40">
            <v>20</v>
          </cell>
          <cell r="D40">
            <v>0</v>
          </cell>
          <cell r="E40">
            <v>0</v>
          </cell>
          <cell r="I40" t="str">
            <v>Zero Dollars per ton CO2</v>
          </cell>
        </row>
        <row r="41">
          <cell r="I41" t="str">
            <v>LineLossShapes</v>
          </cell>
        </row>
        <row r="42">
          <cell r="A42" t="str">
            <v>Melded ProCost Assumptions (weighted by savings potential)</v>
          </cell>
        </row>
        <row r="43">
          <cell r="A43" t="str">
            <v>Sponsor Parameters</v>
          </cell>
          <cell r="B43" t="str">
            <v>Customer</v>
          </cell>
          <cell r="C43" t="str">
            <v>Wholesale Electric</v>
          </cell>
          <cell r="D43" t="str">
            <v>Retail Electric</v>
          </cell>
          <cell r="E43" t="str">
            <v>Natural Gas</v>
          </cell>
        </row>
        <row r="44">
          <cell r="A44" t="str">
            <v>Real After-Tax Cost of Capital</v>
          </cell>
          <cell r="B44">
            <v>5.3789999999999998E-2</v>
          </cell>
          <cell r="C44">
            <v>4.4000000000000004E-2</v>
          </cell>
          <cell r="D44">
            <v>4.9000000000000009E-2</v>
          </cell>
          <cell r="E44">
            <v>0.05</v>
          </cell>
        </row>
        <row r="45">
          <cell r="A45" t="str">
            <v>Financial Life (years)</v>
          </cell>
          <cell r="B45">
            <v>17.100000000000005</v>
          </cell>
          <cell r="C45">
            <v>1</v>
          </cell>
          <cell r="D45">
            <v>1</v>
          </cell>
          <cell r="E45">
            <v>1</v>
          </cell>
        </row>
        <row r="46">
          <cell r="A46" t="str">
            <v xml:space="preserve">Sponsor Share of Initial Capital Cost </v>
          </cell>
          <cell r="B46">
            <v>0.35</v>
          </cell>
          <cell r="C46">
            <v>0.1</v>
          </cell>
          <cell r="D46">
            <v>0.55000000000000004</v>
          </cell>
          <cell r="E46">
            <v>0</v>
          </cell>
        </row>
        <row r="47">
          <cell r="A47" t="str">
            <v>Sponsor Share of Annual O&amp;M</v>
          </cell>
          <cell r="B47">
            <v>1</v>
          </cell>
          <cell r="C47">
            <v>0</v>
          </cell>
          <cell r="D47">
            <v>0</v>
          </cell>
          <cell r="E47">
            <v>0</v>
          </cell>
        </row>
        <row r="48">
          <cell r="A48" t="str">
            <v>Sponsor Share of Periodic Replacement Cost</v>
          </cell>
          <cell r="B48">
            <v>1</v>
          </cell>
          <cell r="C48">
            <v>0</v>
          </cell>
          <cell r="D48">
            <v>0</v>
          </cell>
          <cell r="E48">
            <v>0</v>
          </cell>
        </row>
        <row r="49">
          <cell r="A49" t="str">
            <v>Sponsor Share of Admin Cost</v>
          </cell>
          <cell r="B49">
            <v>0</v>
          </cell>
          <cell r="C49">
            <v>0.5</v>
          </cell>
          <cell r="D49">
            <v>0.5</v>
          </cell>
          <cell r="E49">
            <v>0</v>
          </cell>
        </row>
        <row r="50">
          <cell r="A50" t="str">
            <v>Last Year of Non-Customer O&amp;M &amp; Period Replacement</v>
          </cell>
          <cell r="B50">
            <v>0</v>
          </cell>
          <cell r="C50">
            <v>20</v>
          </cell>
          <cell r="D50">
            <v>0</v>
          </cell>
          <cell r="E50">
            <v>0</v>
          </cell>
        </row>
        <row r="58">
          <cell r="G58" t="str">
            <v>'Measure_InputOutput'!A40:DA46</v>
          </cell>
        </row>
      </sheetData>
      <sheetData sheetId="11"/>
      <sheetData sheetId="12"/>
      <sheetData sheetId="13"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Summary"/>
      <sheetName val="Checklist"/>
      <sheetName val="MeasureTable"/>
      <sheetName val="ProData"/>
      <sheetName val="Measure_InputOutput"/>
      <sheetName val="LookupTable"/>
      <sheetName val="ValidationLists"/>
      <sheetName val="SavingsData&amp;Analysis"/>
      <sheetName val="FSTC Qualifying Equipment"/>
      <sheetName val="CostData&amp;Analysis"/>
      <sheetName val="ProCost 6th Plan Inputs"/>
      <sheetName val="Levelized Cost Note"/>
      <sheetName val="Problems"/>
    </sheetNames>
    <sheetDataSet>
      <sheetData sheetId="0"/>
      <sheetData sheetId="1">
        <row r="6">
          <cell r="I6" t="str">
            <v>Unit Energy Savings</v>
          </cell>
        </row>
      </sheetData>
      <sheetData sheetId="2">
        <row r="8">
          <cell r="A8" t="str">
            <v>Commercial</v>
          </cell>
        </row>
        <row r="9">
          <cell r="A9" t="str">
            <v>Commercial</v>
          </cell>
        </row>
      </sheetData>
      <sheetData sheetId="3">
        <row r="5">
          <cell r="F5" t="str">
            <v>6P MidC Final (with carbon)</v>
          </cell>
        </row>
      </sheetData>
      <sheetData sheetId="4"/>
      <sheetData sheetId="5">
        <row r="1">
          <cell r="A1">
            <v>1</v>
          </cell>
        </row>
      </sheetData>
      <sheetData sheetId="6">
        <row r="2">
          <cell r="A2" t="str">
            <v>Program Tracking Data</v>
          </cell>
          <cell r="G2" t="str">
            <v>Pre-Conditions</v>
          </cell>
        </row>
        <row r="3">
          <cell r="G3" t="str">
            <v>Current Practice</v>
          </cell>
        </row>
        <row r="4">
          <cell r="G4" t="str">
            <v>Pre-Conditions and Current Practice</v>
          </cell>
        </row>
      </sheetData>
      <sheetData sheetId="7"/>
      <sheetData sheetId="8"/>
      <sheetData sheetId="9"/>
      <sheetData sheetId="10">
        <row r="1">
          <cell r="A1">
            <v>1</v>
          </cell>
        </row>
      </sheetData>
      <sheetData sheetId="11"/>
      <sheetData sheetId="12"/>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Summary"/>
      <sheetName val="Checklist"/>
      <sheetName val="MeasureTable"/>
      <sheetName val="ProData"/>
      <sheetName val="Measure_InputOutput"/>
      <sheetName val="LookupTable"/>
      <sheetName val="ValidationLists"/>
      <sheetName val="SavingsData&amp;Analysis"/>
      <sheetName val="CostData&amp;Analysis"/>
      <sheetName val="ProCost 6th Plan Inputs"/>
      <sheetName val="Levelized Cost Note"/>
      <sheetName val="Problems"/>
    </sheetNames>
    <sheetDataSet>
      <sheetData sheetId="0"/>
      <sheetData sheetId="1">
        <row r="6">
          <cell r="I6" t="str">
            <v>Unit Energy Savings</v>
          </cell>
        </row>
      </sheetData>
      <sheetData sheetId="2">
        <row r="8">
          <cell r="A8" t="str">
            <v>Commercial</v>
          </cell>
        </row>
        <row r="9">
          <cell r="A9" t="str">
            <v>Commercial</v>
          </cell>
        </row>
      </sheetData>
      <sheetData sheetId="3">
        <row r="5">
          <cell r="F5" t="str">
            <v>6P MidC Final (with carbon)</v>
          </cell>
        </row>
      </sheetData>
      <sheetData sheetId="4"/>
      <sheetData sheetId="5">
        <row r="1">
          <cell r="A1">
            <v>1</v>
          </cell>
        </row>
      </sheetData>
      <sheetData sheetId="6">
        <row r="2">
          <cell r="A2" t="str">
            <v>Program Tracking Data</v>
          </cell>
          <cell r="G2" t="str">
            <v>Pre-Conditions</v>
          </cell>
        </row>
        <row r="3">
          <cell r="G3" t="str">
            <v>Current Practice</v>
          </cell>
        </row>
        <row r="4">
          <cell r="G4" t="str">
            <v>Pre-Conditions and Current Practice</v>
          </cell>
        </row>
      </sheetData>
      <sheetData sheetId="7"/>
      <sheetData sheetId="8"/>
      <sheetData sheetId="9">
        <row r="1">
          <cell r="A1">
            <v>1</v>
          </cell>
        </row>
      </sheetData>
      <sheetData sheetId="10"/>
      <sheetData sheetId="1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s>
    <definedNames>
      <definedName name="ACHIEV" refersTo="='ACHIEV'!$B$19:$Y$119"/>
      <definedName name="APPLIC" refersTo="='APPLIC'!$B$12:$X$112"/>
      <definedName name="TURN" refersTo="='TURN'!$B$12:$U$95" sheetId="6"/>
    </definedNames>
    <sheetDataSet>
      <sheetData sheetId="0" refreshError="1"/>
      <sheetData sheetId="1">
        <row r="15">
          <cell r="D15" t="str">
            <v>Laptop-NR</v>
          </cell>
        </row>
        <row r="18">
          <cell r="D18" t="str">
            <v>Monitor-NR</v>
          </cell>
        </row>
        <row r="19">
          <cell r="D19" t="str">
            <v>Desktop-NR</v>
          </cell>
        </row>
        <row r="21">
          <cell r="D21" t="str">
            <v>Cooking Equipment-NR</v>
          </cell>
        </row>
        <row r="40">
          <cell r="D40" t="str">
            <v>Demand Control Ventilation-Retro</v>
          </cell>
        </row>
        <row r="43">
          <cell r="D43" t="str">
            <v>DCV Parking Garage-Retro</v>
          </cell>
        </row>
      </sheetData>
      <sheetData sheetId="2">
        <row r="4">
          <cell r="H4">
            <v>2035</v>
          </cell>
        </row>
        <row r="12">
          <cell r="B12" t="str">
            <v>Compressed Air-Retro</v>
          </cell>
        </row>
        <row r="13">
          <cell r="B13" t="str">
            <v>Compressed Air-NR</v>
          </cell>
        </row>
      </sheetData>
      <sheetData sheetId="3">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X36">
            <v>0</v>
          </cell>
          <cell r="Y36">
            <v>0</v>
          </cell>
        </row>
        <row r="37">
          <cell r="B37" t="str">
            <v>Economizer-Retro</v>
          </cell>
          <cell r="C37">
            <v>0.37773742662640791</v>
          </cell>
          <cell r="D37">
            <v>0.23826646440482974</v>
          </cell>
          <cell r="E37">
            <v>5.5518884697354179E-2</v>
          </cell>
          <cell r="F37">
            <v>0.35309381104934129</v>
          </cell>
          <cell r="G37">
            <v>0.19907568268653997</v>
          </cell>
          <cell r="H37">
            <v>0.15513670187653161</v>
          </cell>
          <cell r="I37">
            <v>1.0197910929940514E-2</v>
          </cell>
          <cell r="J37">
            <v>0.28088324172086482</v>
          </cell>
          <cell r="K37">
            <v>0.28088324172086482</v>
          </cell>
          <cell r="L37">
            <v>0.11124903795477889</v>
          </cell>
          <cell r="M37">
            <v>0.31360984414443888</v>
          </cell>
          <cell r="N37">
            <v>0.15264480663133839</v>
          </cell>
          <cell r="O37">
            <v>0.24652213025227437</v>
          </cell>
          <cell r="P37">
            <v>7.8175735111402314E-2</v>
          </cell>
          <cell r="Q37">
            <v>0.34124133606352913</v>
          </cell>
          <cell r="R37">
            <v>5.9048454739110051E-2</v>
          </cell>
          <cell r="S37">
            <v>0.29894926354357898</v>
          </cell>
          <cell r="T37">
            <v>0.31491070071894045</v>
          </cell>
          <cell r="X37">
            <v>0.62956237771067991</v>
          </cell>
          <cell r="Y37">
            <v>0.31768861920643965</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X94">
            <v>1</v>
          </cell>
          <cell r="Y94">
            <v>1</v>
          </cell>
        </row>
      </sheetData>
      <sheetData sheetId="4" refreshError="1"/>
      <sheetData sheetId="5" refreshError="1"/>
      <sheetData sheetId="6">
        <row r="12">
          <cell r="B12" t="str">
            <v>Compressed Air-Retro</v>
          </cell>
        </row>
        <row r="13">
          <cell r="B13" t="str">
            <v>Compressed Air-NR</v>
          </cell>
        </row>
        <row r="14">
          <cell r="B14" t="str">
            <v>Network PC Power Management-Retro</v>
          </cell>
        </row>
        <row r="15">
          <cell r="B15" t="str">
            <v>Laptop-NR</v>
          </cell>
          <cell r="U15">
            <v>0.25</v>
          </cell>
        </row>
        <row r="16">
          <cell r="B16" t="str">
            <v>Smart Plug Power Strips-Retro</v>
          </cell>
          <cell r="U16">
            <v>0.2</v>
          </cell>
        </row>
        <row r="17">
          <cell r="B17" t="str">
            <v>Data Centers-NR</v>
          </cell>
          <cell r="U17">
            <v>0.2</v>
          </cell>
        </row>
        <row r="18">
          <cell r="B18" t="str">
            <v>Monitor-NR</v>
          </cell>
          <cell r="U18">
            <v>0.2</v>
          </cell>
        </row>
        <row r="19">
          <cell r="B19" t="str">
            <v>Desktop-NR</v>
          </cell>
          <cell r="U19">
            <v>0.25</v>
          </cell>
        </row>
        <row r="20">
          <cell r="B20" t="str">
            <v>Pre-Rinse Spray Valve-Retro</v>
          </cell>
          <cell r="U20">
            <v>0.2</v>
          </cell>
        </row>
        <row r="21">
          <cell r="B21" t="str">
            <v>Cooking Equipment-NR</v>
          </cell>
          <cell r="U21">
            <v>0.08</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row>
        <row r="25">
          <cell r="B25" t="str">
            <v>Glass-NR</v>
          </cell>
        </row>
        <row r="26">
          <cell r="B26" t="str">
            <v>Glass-Retro</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row>
        <row r="30">
          <cell r="B30" t="str">
            <v>Variable Speed Chiller-New</v>
          </cell>
        </row>
        <row r="31">
          <cell r="B31" t="str">
            <v>Variable Speed Chiller-NR</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row>
        <row r="35">
          <cell r="B35" t="str">
            <v>Evaporative Assist Cooling-New</v>
          </cell>
        </row>
        <row r="36">
          <cell r="B36" t="str">
            <v>Evaporative Assist Cooling-NR</v>
          </cell>
        </row>
        <row r="37">
          <cell r="B37" t="str">
            <v>Economizer-Retro</v>
          </cell>
        </row>
        <row r="38">
          <cell r="B38" t="str">
            <v>Demand Control Ventilation-New</v>
          </cell>
        </row>
        <row r="39">
          <cell r="B39" t="str">
            <v>Demand Control Ventilation-NR</v>
          </cell>
        </row>
        <row r="40">
          <cell r="B40" t="str">
            <v>Demand Control Ventilation-Retro</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row>
        <row r="42">
          <cell r="B42" t="str">
            <v>DCV Restaurant Hood-Retro</v>
          </cell>
        </row>
        <row r="43">
          <cell r="B43" t="str">
            <v>DCV Parking Garage-Retro</v>
          </cell>
        </row>
        <row r="44">
          <cell r="B44" t="str">
            <v>Weatherization - School-Retro</v>
          </cell>
        </row>
        <row r="45">
          <cell r="B45" t="str">
            <v>Energy Recovery Ventilator-NR</v>
          </cell>
          <cell r="U45">
            <v>0.25</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row>
        <row r="55">
          <cell r="B55" t="str">
            <v>VRF-Retro</v>
          </cell>
        </row>
        <row r="56">
          <cell r="B56" t="str">
            <v>Evaporator Roof Top HVAC-Retro</v>
          </cell>
        </row>
        <row r="57">
          <cell r="B57" t="str">
            <v>Secondary Glazing Systems-Retro</v>
          </cell>
        </row>
        <row r="58">
          <cell r="B58" t="str">
            <v>LPD Package-New</v>
          </cell>
        </row>
        <row r="59">
          <cell r="B59" t="str">
            <v>LPD Package-NR</v>
          </cell>
        </row>
        <row r="60">
          <cell r="B60" t="str">
            <v>LPD Package-Retro</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V65" t="str">
            <v>Fixture or Ballast Replacement Cycle</v>
          </cell>
        </row>
        <row r="66">
          <cell r="B66" t="str">
            <v>Exterior Building Lighting-New</v>
          </cell>
          <cell r="U66">
            <v>0.2</v>
          </cell>
          <cell r="V66" t="str">
            <v xml:space="preserve">5-year cycle (lamp cycle) for luminiares requiring bucket truck.  </v>
          </cell>
        </row>
        <row r="67">
          <cell r="B67" t="str">
            <v>Exterior Building Lighting-NR</v>
          </cell>
          <cell r="U67">
            <v>0.2</v>
          </cell>
          <cell r="V67" t="str">
            <v>20-Year Fixture Life from CBSA REN RATE</v>
          </cell>
        </row>
        <row r="68">
          <cell r="B68" t="str">
            <v>Street and Roadway Lighting-New</v>
          </cell>
          <cell r="U68">
            <v>0.2</v>
          </cell>
          <cell r="V68" t="str">
            <v>Five year cycle for streetlight relamp (DOE &amp; Tarioffs)</v>
          </cell>
        </row>
        <row r="69">
          <cell r="B69" t="str">
            <v>Street and Roadway Lighting-NR</v>
          </cell>
          <cell r="U69">
            <v>0.2</v>
          </cell>
          <cell r="V69" t="str">
            <v>Five year cycle for streetlight relamp (DOE &amp; Tarioffs)</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row>
        <row r="94">
          <cell r="B94" t="str">
            <v>Low Power LF Lamps-NR</v>
          </cell>
        </row>
      </sheetData>
      <sheetData sheetId="7">
        <row r="11">
          <cell r="C11" t="str">
            <v>LO1Slow</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row>
        <row r="41">
          <cell r="A41" t="str">
            <v>HVAC</v>
          </cell>
          <cell r="B41" t="str">
            <v>Commercial EM-Retro</v>
          </cell>
          <cell r="C41" t="str">
            <v>Retro12Med</v>
          </cell>
          <cell r="D41">
            <v>0.10937459468255628</v>
          </cell>
          <cell r="E41">
            <v>0.10937459468255628</v>
          </cell>
          <cell r="F41">
            <v>0.10937459468255628</v>
          </cell>
          <cell r="G41">
            <v>0.10937459468255628</v>
          </cell>
          <cell r="H41">
            <v>0.10937459468255628</v>
          </cell>
          <cell r="I41">
            <v>9.8437135214300656E-2</v>
          </cell>
          <cell r="J41">
            <v>7.874970817144053E-2</v>
          </cell>
          <cell r="K41">
            <v>6.2999766537152418E-2</v>
          </cell>
          <cell r="L41">
            <v>5.0399813229721938E-2</v>
          </cell>
          <cell r="M41">
            <v>4.0319850583777551E-2</v>
          </cell>
          <cell r="N41">
            <v>3.225588046702204E-2</v>
          </cell>
          <cell r="O41">
            <v>2.5804704373617631E-2</v>
          </cell>
          <cell r="P41">
            <v>2.0643763498894106E-2</v>
          </cell>
          <cell r="Q41">
            <v>1.6515010799115284E-2</v>
          </cell>
          <cell r="R41">
            <v>1.3212008639292228E-2</v>
          </cell>
          <cell r="S41">
            <v>1.0569606911433781E-2</v>
          </cell>
          <cell r="T41">
            <v>7.2092823794611682E-5</v>
          </cell>
          <cell r="U41">
            <v>2.5747437069512102E-5</v>
          </cell>
          <cell r="V41">
            <v>8.7775353646568632E-6</v>
          </cell>
          <cell r="W41">
            <v>2.8622397928446119E-6</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row>
        <row r="44">
          <cell r="A44" t="str">
            <v>HVAC</v>
          </cell>
          <cell r="B44" t="str">
            <v>Economizer-Retro</v>
          </cell>
          <cell r="C44" t="str">
            <v>Retro12Med</v>
          </cell>
          <cell r="D44">
            <v>0.10937459468255628</v>
          </cell>
          <cell r="E44">
            <v>0.10937459468255628</v>
          </cell>
          <cell r="F44">
            <v>0.10937459468255628</v>
          </cell>
          <cell r="G44">
            <v>0.10937459468255628</v>
          </cell>
          <cell r="H44">
            <v>0.10937459468255628</v>
          </cell>
          <cell r="I44">
            <v>9.8437135214300656E-2</v>
          </cell>
          <cell r="J44">
            <v>7.874970817144053E-2</v>
          </cell>
          <cell r="K44">
            <v>6.2999766537152418E-2</v>
          </cell>
          <cell r="L44">
            <v>5.0399813229721938E-2</v>
          </cell>
          <cell r="M44">
            <v>4.0319850583777551E-2</v>
          </cell>
          <cell r="N44">
            <v>3.225588046702204E-2</v>
          </cell>
          <cell r="O44">
            <v>2.5804704373617631E-2</v>
          </cell>
          <cell r="P44">
            <v>2.0643763498894106E-2</v>
          </cell>
          <cell r="Q44">
            <v>1.6515010799115284E-2</v>
          </cell>
          <cell r="R44">
            <v>1.3212008639292228E-2</v>
          </cell>
          <cell r="S44">
            <v>1.0569606911433781E-2</v>
          </cell>
          <cell r="T44">
            <v>7.2092823794611682E-5</v>
          </cell>
          <cell r="U44">
            <v>2.5747437069512102E-5</v>
          </cell>
          <cell r="V44">
            <v>8.7775353646568632E-6</v>
          </cell>
          <cell r="W44">
            <v>2.8622397928446119E-6</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row>
        <row r="47">
          <cell r="A47" t="str">
            <v>HVAC</v>
          </cell>
          <cell r="B47" t="str">
            <v>Demand Control Ventilation-Retro</v>
          </cell>
          <cell r="C47" t="str">
            <v>Retro12Med</v>
          </cell>
          <cell r="D47">
            <v>0.10937459468255628</v>
          </cell>
          <cell r="E47">
            <v>0.10937459468255628</v>
          </cell>
          <cell r="F47">
            <v>0.10937459468255628</v>
          </cell>
          <cell r="G47">
            <v>0.10937459468255628</v>
          </cell>
          <cell r="H47">
            <v>0.10937459468255628</v>
          </cell>
          <cell r="I47">
            <v>9.8437135214300656E-2</v>
          </cell>
          <cell r="J47">
            <v>7.874970817144053E-2</v>
          </cell>
          <cell r="K47">
            <v>6.2999766537152418E-2</v>
          </cell>
          <cell r="L47">
            <v>5.0399813229721938E-2</v>
          </cell>
          <cell r="M47">
            <v>4.0319850583777551E-2</v>
          </cell>
          <cell r="N47">
            <v>3.225588046702204E-2</v>
          </cell>
          <cell r="O47">
            <v>2.5804704373617631E-2</v>
          </cell>
          <cell r="P47">
            <v>2.0643763498894106E-2</v>
          </cell>
          <cell r="Q47">
            <v>1.6515010799115284E-2</v>
          </cell>
          <cell r="R47">
            <v>1.3212008639292228E-2</v>
          </cell>
          <cell r="S47">
            <v>1.0569606911433781E-2</v>
          </cell>
          <cell r="T47">
            <v>7.2092823794611682E-5</v>
          </cell>
          <cell r="U47">
            <v>2.5747437069512102E-5</v>
          </cell>
          <cell r="V47">
            <v>8.7775353646568632E-6</v>
          </cell>
          <cell r="W47">
            <v>2.8622397928446119E-6</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row>
      </sheetData>
      <sheetData sheetId="8" refreshError="1"/>
      <sheetData sheetId="9" refreshError="1"/>
      <sheetData sheetId="10" refreshError="1"/>
      <sheetData sheetId="11">
        <row r="13">
          <cell r="B13" t="str">
            <v>FORECAST</v>
          </cell>
        </row>
        <row r="14">
          <cell r="B14" t="str">
            <v>POST2013</v>
          </cell>
          <cell r="C14" t="str">
            <v>Office</v>
          </cell>
          <cell r="F14" t="str">
            <v>Retail</v>
          </cell>
          <cell r="J14" t="str">
            <v>School</v>
          </cell>
          <cell r="L14" t="str">
            <v>Warehouse</v>
          </cell>
          <cell r="M14" t="str">
            <v>Grocery</v>
          </cell>
          <cell r="O14" t="str">
            <v>Restaurant</v>
          </cell>
          <cell r="P14" t="str">
            <v>Lodging</v>
          </cell>
          <cell r="Q14" t="str">
            <v>Health</v>
          </cell>
          <cell r="S14" t="str">
            <v>Assembly</v>
          </cell>
          <cell r="T14" t="str">
            <v>Other</v>
          </cell>
        </row>
        <row r="15">
          <cell r="B15" t="str">
            <v>FloorA%ACT</v>
          </cell>
          <cell r="C15">
            <v>0.23374291413554329</v>
          </cell>
          <cell r="F15">
            <v>0.16379453573805774</v>
          </cell>
          <cell r="J15">
            <v>8.8639553331737689E-2</v>
          </cell>
          <cell r="L15">
            <v>9.6266945662747766E-2</v>
          </cell>
          <cell r="M15">
            <v>2.0434554153352484E-2</v>
          </cell>
          <cell r="O15">
            <v>1.255060122823257E-2</v>
          </cell>
          <cell r="P15">
            <v>5.5794347273117245E-2</v>
          </cell>
          <cell r="Q15">
            <v>7.398534349162611E-2</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F23">
            <v>0.86075287434919978</v>
          </cell>
          <cell r="J23">
            <v>0.87263881668019661</v>
          </cell>
          <cell r="L23">
            <v>0.18162271351024481</v>
          </cell>
          <cell r="M23">
            <v>0.897277257424139</v>
          </cell>
          <cell r="O23">
            <v>0.99999997512427186</v>
          </cell>
          <cell r="P23">
            <v>0.94438859080377269</v>
          </cell>
          <cell r="Q23">
            <v>0.89616933002437993</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F25">
            <v>0.78455381811533043</v>
          </cell>
          <cell r="J25">
            <v>0.36953195539995587</v>
          </cell>
          <cell r="L25">
            <v>0.35</v>
          </cell>
          <cell r="M25">
            <v>0.90000000000000013</v>
          </cell>
          <cell r="O25">
            <v>0.95</v>
          </cell>
          <cell r="P25">
            <v>0.5</v>
          </cell>
          <cell r="Q25">
            <v>0.45832204515370584</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row>
        <row r="27">
          <cell r="B27" t="str">
            <v>BuiltUp%ACT</v>
          </cell>
          <cell r="C27">
            <v>0.52249684792760431</v>
          </cell>
          <cell r="F27">
            <v>6.2181060258327321E-2</v>
          </cell>
          <cell r="J27">
            <v>0.75664862673331257</v>
          </cell>
          <cell r="L27">
            <v>0.10310000000000001</v>
          </cell>
          <cell r="M27">
            <v>0.11560000000000001</v>
          </cell>
          <cell r="O27">
            <v>0.11560000000000001</v>
          </cell>
          <cell r="P27">
            <v>0.32380000000000003</v>
          </cell>
          <cell r="Q27">
            <v>0.83345440239005475</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F29">
            <v>2.3808219851502894E-3</v>
          </cell>
          <cell r="J29">
            <v>0.30214896654996692</v>
          </cell>
          <cell r="L29">
            <v>0</v>
          </cell>
          <cell r="M29">
            <v>0</v>
          </cell>
          <cell r="O29">
            <v>0</v>
          </cell>
          <cell r="P29">
            <v>0</v>
          </cell>
          <cell r="Q29">
            <v>0.42833559096925883</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61">
          <cell r="C61" t="str">
            <v>Office</v>
          </cell>
          <cell r="D61" t="str">
            <v>Office</v>
          </cell>
          <cell r="E61" t="str">
            <v>Office</v>
          </cell>
          <cell r="F61" t="str">
            <v>Retail/Service</v>
          </cell>
          <cell r="G61" t="str">
            <v>Retail/Service</v>
          </cell>
          <cell r="H61" t="str">
            <v>Retail/Service</v>
          </cell>
          <cell r="I61" t="str">
            <v>Retail/Service</v>
          </cell>
          <cell r="M61" t="str">
            <v>Grocery</v>
          </cell>
          <cell r="N61" t="str">
            <v>Grocery</v>
          </cell>
        </row>
        <row r="62">
          <cell r="B62" t="str">
            <v>_PRE2013</v>
          </cell>
          <cell r="C62" t="str">
            <v>Office</v>
          </cell>
          <cell r="F62" t="str">
            <v>Retail/Service</v>
          </cell>
          <cell r="J62" t="str">
            <v>School</v>
          </cell>
          <cell r="L62" t="str">
            <v>Warehouse</v>
          </cell>
          <cell r="M62" t="str">
            <v>Grocery</v>
          </cell>
          <cell r="O62" t="str">
            <v>Restaurant</v>
          </cell>
          <cell r="P62" t="str">
            <v>Lodging</v>
          </cell>
          <cell r="Q62" t="str">
            <v>Health</v>
          </cell>
          <cell r="S62" t="str">
            <v>Assembly</v>
          </cell>
          <cell r="T62" t="str">
            <v>Other</v>
          </cell>
        </row>
        <row r="63">
          <cell r="B63" t="str">
            <v>FloorA%ACT</v>
          </cell>
          <cell r="C63">
            <v>0.21925891959556321</v>
          </cell>
          <cell r="F63">
            <v>0.170463671983236</v>
          </cell>
          <cell r="J63">
            <v>0.11027533939050128</v>
          </cell>
          <cell r="L63">
            <v>0.13203580856943528</v>
          </cell>
          <cell r="M63">
            <v>2.3026138677721724E-2</v>
          </cell>
          <cell r="O63">
            <v>1.5835296654172451E-2</v>
          </cell>
          <cell r="P63">
            <v>5.1068065124091046E-2</v>
          </cell>
          <cell r="Q63">
            <v>6.8347557000163706E-2</v>
          </cell>
          <cell r="S63">
            <v>0.11013494038183547</v>
          </cell>
          <cell r="T63">
            <v>9.9554262623279946E-2</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row>
        <row r="71">
          <cell r="B71" t="str">
            <v>CoolSat%ACT</v>
          </cell>
          <cell r="C71">
            <v>0.84338963005455969</v>
          </cell>
          <cell r="F71">
            <v>0.74176230846303148</v>
          </cell>
          <cell r="J71">
            <v>0.7142495586900468</v>
          </cell>
          <cell r="L71">
            <v>0.23</v>
          </cell>
          <cell r="M71">
            <v>0.8973671844904727</v>
          </cell>
          <cell r="O71">
            <v>0.96</v>
          </cell>
          <cell r="P71">
            <v>0.88</v>
          </cell>
          <cell r="Q71">
            <v>0.88824220129049314</v>
          </cell>
          <cell r="S71">
            <v>0.77184416415983825</v>
          </cell>
          <cell r="T71">
            <v>0.71310077098671132</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row>
        <row r="73">
          <cell r="B73" t="str">
            <v>PackRT%ACT</v>
          </cell>
          <cell r="C73">
            <v>0.48584254414953354</v>
          </cell>
          <cell r="F73">
            <v>0.63256057960735712</v>
          </cell>
          <cell r="J73">
            <v>0.33750430289294164</v>
          </cell>
          <cell r="L73">
            <v>0.31046750131883327</v>
          </cell>
          <cell r="M73">
            <v>0.90000000000000013</v>
          </cell>
          <cell r="O73">
            <v>0.76718515286285394</v>
          </cell>
          <cell r="P73">
            <v>0.41303161997673743</v>
          </cell>
          <cell r="Q73">
            <v>0.49902981576861571</v>
          </cell>
          <cell r="S73">
            <v>0.5</v>
          </cell>
          <cell r="T73">
            <v>0.49999999999999994</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row>
        <row r="75">
          <cell r="B75" t="str">
            <v>BuiltUp%ACT</v>
          </cell>
          <cell r="C75">
            <v>0.32107129566956238</v>
          </cell>
          <cell r="F75">
            <v>5.0679867043271966E-2</v>
          </cell>
          <cell r="J75">
            <v>0.45710103517657202</v>
          </cell>
          <cell r="L75">
            <v>5.6541361272701172E-2</v>
          </cell>
          <cell r="M75">
            <v>8.7372210868686184E-2</v>
          </cell>
          <cell r="O75">
            <v>5.746308592387158E-2</v>
          </cell>
          <cell r="P75">
            <v>0.3949582335084047</v>
          </cell>
          <cell r="Q75">
            <v>0.5613264299674231</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row>
        <row r="77">
          <cell r="B77" t="str">
            <v>VAV%ACT</v>
          </cell>
          <cell r="C77">
            <v>0.35</v>
          </cell>
          <cell r="F77">
            <v>0.01</v>
          </cell>
          <cell r="J77">
            <v>0.11</v>
          </cell>
          <cell r="L77">
            <v>0</v>
          </cell>
          <cell r="M77">
            <v>0</v>
          </cell>
          <cell r="O77">
            <v>0</v>
          </cell>
          <cell r="P77">
            <v>0.04</v>
          </cell>
          <cell r="Q77">
            <v>0.21527670664708273</v>
          </cell>
          <cell r="S77">
            <v>0.17</v>
          </cell>
          <cell r="T77">
            <v>0.2</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row>
        <row r="89">
          <cell r="B89" t="str">
            <v>RTEcono%TYP</v>
          </cell>
          <cell r="C89">
            <v>0.62956237771067991</v>
          </cell>
          <cell r="D89">
            <v>0.31768861920643965</v>
          </cell>
          <cell r="E89">
            <v>7.4025179596472243E-2</v>
          </cell>
          <cell r="F89">
            <v>0.58848968508223554</v>
          </cell>
          <cell r="G89">
            <v>0.26543424358205331</v>
          </cell>
          <cell r="H89">
            <v>0.20684893583537547</v>
          </cell>
          <cell r="I89">
            <v>1.359721457325402E-2</v>
          </cell>
          <cell r="J89">
            <v>0.46813873620144136</v>
          </cell>
          <cell r="K89">
            <v>0.46813873620144136</v>
          </cell>
          <cell r="L89">
            <v>0.14833205060637186</v>
          </cell>
          <cell r="M89">
            <v>0.52268307357406485</v>
          </cell>
          <cell r="N89">
            <v>0.20352640884178452</v>
          </cell>
          <cell r="O89">
            <v>0.32869617366969917</v>
          </cell>
          <cell r="P89">
            <v>0.10423431348186975</v>
          </cell>
          <cell r="Q89">
            <v>0.56873556010588189</v>
          </cell>
          <cell r="R89">
            <v>7.8731272985480064E-2</v>
          </cell>
          <cell r="S89">
            <v>0.39859901805810533</v>
          </cell>
          <cell r="T89">
            <v>0.41988093429192064</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Summary"/>
      <sheetName val="Checklist"/>
      <sheetName val="ValidationLists"/>
      <sheetName val="MeasureTable"/>
      <sheetName val="ProData"/>
      <sheetName val="Measure_InputOutput"/>
      <sheetName val="Latest Fed &amp; EStar Standards"/>
      <sheetName val="Latest CEC Database Extract"/>
      <sheetName val="CEC Data Summary"/>
      <sheetName val="SavingsData&amp;Analysis"/>
      <sheetName val="Supplemental Analysis Data"/>
      <sheetName val="CostData&amp;Analysis"/>
      <sheetName val="Lifetime"/>
      <sheetName val="Presentation"/>
      <sheetName val="LookupTable"/>
      <sheetName val="ProCost 6th Plan Inputs"/>
      <sheetName val="Levelized Cost Note"/>
      <sheetName val="Problems"/>
    </sheetNames>
    <sheetDataSet>
      <sheetData sheetId="0"/>
      <sheetData sheetId="1">
        <row r="6">
          <cell r="I6" t="str">
            <v>Unit Energy Savings</v>
          </cell>
        </row>
      </sheetData>
      <sheetData sheetId="2">
        <row r="2">
          <cell r="A2" t="str">
            <v>Program Tracking Data</v>
          </cell>
        </row>
      </sheetData>
      <sheetData sheetId="3"/>
      <sheetData sheetId="4">
        <row r="5">
          <cell r="F5" t="str">
            <v>6P MidC Final (with carbon)</v>
          </cell>
        </row>
      </sheetData>
      <sheetData sheetId="5"/>
      <sheetData sheetId="6"/>
      <sheetData sheetId="7"/>
      <sheetData sheetId="8"/>
      <sheetData sheetId="9">
        <row r="25">
          <cell r="P25">
            <v>0</v>
          </cell>
          <cell r="Q25">
            <v>319.50599849999981</v>
          </cell>
          <cell r="R25">
            <v>430.31646609580184</v>
          </cell>
          <cell r="S25">
            <v>12.21330849626159</v>
          </cell>
          <cell r="T25">
            <v>19.582267983799632</v>
          </cell>
          <cell r="W25">
            <v>78.060337723880593</v>
          </cell>
        </row>
      </sheetData>
      <sheetData sheetId="10">
        <row r="72">
          <cell r="F72">
            <v>1</v>
          </cell>
        </row>
        <row r="73">
          <cell r="F73">
            <v>8.3148999999999997</v>
          </cell>
        </row>
        <row r="74">
          <cell r="F74">
            <v>3413</v>
          </cell>
        </row>
        <row r="75">
          <cell r="F75">
            <v>80</v>
          </cell>
        </row>
        <row r="84">
          <cell r="G84">
            <v>1.1200000000000001</v>
          </cell>
        </row>
        <row r="86">
          <cell r="B86">
            <v>0.4</v>
          </cell>
          <cell r="C86">
            <v>3</v>
          </cell>
        </row>
        <row r="87">
          <cell r="B87">
            <v>0.85</v>
          </cell>
          <cell r="C87">
            <v>3.5</v>
          </cell>
        </row>
        <row r="88">
          <cell r="B88">
            <v>0.95</v>
          </cell>
          <cell r="C88">
            <v>3.9</v>
          </cell>
          <cell r="F88">
            <v>0.52</v>
          </cell>
        </row>
        <row r="89">
          <cell r="B89">
            <v>1.05</v>
          </cell>
          <cell r="C89">
            <v>4.3</v>
          </cell>
          <cell r="F89">
            <v>0.5</v>
          </cell>
        </row>
        <row r="90">
          <cell r="B90">
            <v>1.1499999999999999</v>
          </cell>
          <cell r="C90">
            <v>4.7</v>
          </cell>
          <cell r="F90">
            <v>0.84</v>
          </cell>
        </row>
        <row r="91">
          <cell r="B91">
            <v>1.25</v>
          </cell>
          <cell r="C91">
            <v>5.0999999999999996</v>
          </cell>
        </row>
        <row r="92">
          <cell r="B92">
            <v>1.35</v>
          </cell>
          <cell r="C92">
            <v>5.5</v>
          </cell>
        </row>
        <row r="93">
          <cell r="B93">
            <v>1.45</v>
          </cell>
          <cell r="C93">
            <v>5.9</v>
          </cell>
        </row>
        <row r="94">
          <cell r="B94">
            <v>1.55</v>
          </cell>
          <cell r="C94">
            <v>6.4</v>
          </cell>
        </row>
        <row r="95">
          <cell r="B95">
            <v>1.65</v>
          </cell>
          <cell r="C95">
            <v>6.8</v>
          </cell>
        </row>
        <row r="96">
          <cell r="B96">
            <v>1.75</v>
          </cell>
          <cell r="C96">
            <v>7.2</v>
          </cell>
        </row>
        <row r="97">
          <cell r="B97">
            <v>1.85</v>
          </cell>
          <cell r="C97">
            <v>7.6</v>
          </cell>
        </row>
        <row r="98">
          <cell r="B98">
            <v>1.95</v>
          </cell>
          <cell r="C98">
            <v>8</v>
          </cell>
        </row>
        <row r="99">
          <cell r="B99">
            <v>2.0499999999999998</v>
          </cell>
          <cell r="C99">
            <v>8.4</v>
          </cell>
        </row>
        <row r="100">
          <cell r="B100">
            <v>2.15</v>
          </cell>
          <cell r="C100">
            <v>8.8000000000000007</v>
          </cell>
        </row>
        <row r="101">
          <cell r="B101">
            <v>2.25</v>
          </cell>
          <cell r="C101">
            <v>9.1999999999999993</v>
          </cell>
        </row>
        <row r="102">
          <cell r="B102">
            <v>2.35</v>
          </cell>
          <cell r="C102">
            <v>9.6</v>
          </cell>
        </row>
        <row r="103">
          <cell r="B103">
            <v>2.4500000000000002</v>
          </cell>
          <cell r="C103">
            <v>10</v>
          </cell>
        </row>
        <row r="104">
          <cell r="B104">
            <v>2.5499999999999998</v>
          </cell>
          <cell r="C104">
            <v>10.5</v>
          </cell>
        </row>
        <row r="105">
          <cell r="B105">
            <v>2.65</v>
          </cell>
          <cell r="C105">
            <v>10.9</v>
          </cell>
        </row>
        <row r="106">
          <cell r="B106">
            <v>2.75</v>
          </cell>
          <cell r="C106">
            <v>11.3</v>
          </cell>
        </row>
        <row r="107">
          <cell r="B107">
            <v>2.85</v>
          </cell>
          <cell r="C107">
            <v>11.7</v>
          </cell>
        </row>
        <row r="108">
          <cell r="B108">
            <v>2.95</v>
          </cell>
          <cell r="C108">
            <v>12.1</v>
          </cell>
        </row>
        <row r="109">
          <cell r="B109">
            <v>3.05</v>
          </cell>
          <cell r="C109">
            <v>12.5</v>
          </cell>
        </row>
        <row r="110">
          <cell r="B110">
            <v>3.15</v>
          </cell>
          <cell r="C110">
            <v>12.9</v>
          </cell>
        </row>
        <row r="111">
          <cell r="B111">
            <v>3.25</v>
          </cell>
          <cell r="C111">
            <v>13.3</v>
          </cell>
        </row>
        <row r="112">
          <cell r="B112">
            <v>3.35</v>
          </cell>
          <cell r="C112">
            <v>13.7</v>
          </cell>
        </row>
        <row r="113">
          <cell r="B113">
            <v>3.45</v>
          </cell>
          <cell r="C113">
            <v>14.1</v>
          </cell>
        </row>
        <row r="114">
          <cell r="B114">
            <v>3.55</v>
          </cell>
          <cell r="C114">
            <v>14.6</v>
          </cell>
        </row>
        <row r="115">
          <cell r="B115">
            <v>3.65</v>
          </cell>
          <cell r="C115">
            <v>15</v>
          </cell>
        </row>
        <row r="116">
          <cell r="B116">
            <v>3.75</v>
          </cell>
          <cell r="C116">
            <v>15.4</v>
          </cell>
        </row>
      </sheetData>
      <sheetData sheetId="11"/>
      <sheetData sheetId="12">
        <row r="19">
          <cell r="I19">
            <v>7.1</v>
          </cell>
        </row>
      </sheetData>
      <sheetData sheetId="13">
        <row r="4">
          <cell r="C4" t="str">
            <v>Electric DHW &amp; Dryer</v>
          </cell>
        </row>
      </sheetData>
      <sheetData sheetId="14">
        <row r="1">
          <cell r="A1">
            <v>1</v>
          </cell>
        </row>
      </sheetData>
      <sheetData sheetId="15">
        <row r="1">
          <cell r="A1">
            <v>1</v>
          </cell>
        </row>
      </sheetData>
      <sheetData sheetId="16"/>
      <sheetData sheetId="17"/>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Summary"/>
      <sheetName val="CBSAData"/>
      <sheetName val="SummaryRUL"/>
      <sheetName val="Checklist"/>
      <sheetName val="MeasureTable"/>
      <sheetName val="ProData"/>
      <sheetName val="Measure_InputOutput"/>
      <sheetName val="LookupTable"/>
      <sheetName val="Measure Cases"/>
      <sheetName val="ValidationLists"/>
      <sheetName val="Federal Standards"/>
      <sheetName val="SBC Res Data"/>
      <sheetName val="AHRI Comm Data"/>
      <sheetName val="Presentation"/>
      <sheetName val="Constants and Assumptions"/>
      <sheetName val="References"/>
      <sheetName val="EF to Standby Loss"/>
      <sheetName val="ProCost 6th Plan Inputs"/>
      <sheetName val="Levelized Cost Note"/>
      <sheetName val="Problems"/>
    </sheetNames>
    <sheetDataSet>
      <sheetData sheetId="0" refreshError="1"/>
      <sheetData sheetId="1" refreshError="1"/>
      <sheetData sheetId="2" refreshError="1"/>
      <sheetData sheetId="3">
        <row r="6">
          <cell r="I6" t="e">
            <v>#REF!</v>
          </cell>
        </row>
        <row r="7">
          <cell r="I7" t="e">
            <v>#REF!</v>
          </cell>
        </row>
        <row r="8">
          <cell r="I8" t="e">
            <v>#REF!</v>
          </cell>
        </row>
        <row r="9">
          <cell r="I9" t="str">
            <v>Yes</v>
          </cell>
        </row>
      </sheetData>
      <sheetData sheetId="4" refreshError="1"/>
      <sheetData sheetId="5"/>
      <sheetData sheetId="6" refreshError="1"/>
      <sheetData sheetId="7"/>
      <sheetData sheetId="8" refreshError="1"/>
      <sheetData sheetId="9">
        <row r="2">
          <cell r="B2" t="str">
            <v>Savings</v>
          </cell>
          <cell r="C2" t="str">
            <v>Unit Energy Savings</v>
          </cell>
          <cell r="D2" t="str">
            <v>Proven</v>
          </cell>
          <cell r="E2" t="str">
            <v>Statistical</v>
          </cell>
          <cell r="F2" t="str">
            <v>Yes</v>
          </cell>
        </row>
        <row r="3">
          <cell r="B3" t="str">
            <v>Cost</v>
          </cell>
          <cell r="C3" t="str">
            <v>Standard Protocol</v>
          </cell>
          <cell r="D3" t="str">
            <v>Provisional</v>
          </cell>
          <cell r="E3" t="str">
            <v>Meta-Statistical</v>
          </cell>
          <cell r="F3" t="str">
            <v>No</v>
          </cell>
        </row>
        <row r="4">
          <cell r="B4" t="str">
            <v>Lifetime</v>
          </cell>
          <cell r="C4" t="str">
            <v>Custom</v>
          </cell>
          <cell r="D4" t="str">
            <v>Small Saver</v>
          </cell>
          <cell r="E4" t="str">
            <v>Calibrated Engineering</v>
          </cell>
          <cell r="F4" t="str">
            <v>NA</v>
          </cell>
        </row>
        <row r="5">
          <cell r="B5" t="str">
            <v>Small and Rural</v>
          </cell>
          <cell r="C5" t="str">
            <v>Program Impact Evaluation</v>
          </cell>
          <cell r="D5" t="str">
            <v>Planning</v>
          </cell>
          <cell r="E5" t="str">
            <v>All</v>
          </cell>
        </row>
        <row r="6">
          <cell r="B6" t="str">
            <v>ProCost</v>
          </cell>
          <cell r="C6" t="str">
            <v>All</v>
          </cell>
          <cell r="D6" t="str">
            <v>All</v>
          </cell>
        </row>
        <row r="7">
          <cell r="B7" t="str">
            <v>Roadmap</v>
          </cell>
        </row>
        <row r="8">
          <cell r="B8" t="str">
            <v>All</v>
          </cell>
        </row>
      </sheetData>
      <sheetData sheetId="10" refreshError="1"/>
      <sheetData sheetId="11"/>
      <sheetData sheetId="12"/>
      <sheetData sheetId="13" refreshError="1"/>
      <sheetData sheetId="14" refreshError="1"/>
      <sheetData sheetId="15" refreshError="1"/>
      <sheetData sheetId="16" refreshError="1"/>
      <sheetData sheetId="17">
        <row r="58">
          <cell r="G58" t="str">
            <v>'Measure_InputOutput'!A50:DA61</v>
          </cell>
        </row>
      </sheetData>
      <sheetData sheetId="18" refreshError="1"/>
      <sheetData sheetId="19"/>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7PSourceSummary"/>
      <sheetName val="forRPM"/>
      <sheetName val="SC-New"/>
      <sheetName val="SC-NR"/>
      <sheetName val="M_Input_Retro_Out"/>
      <sheetName val="M_Input_NR"/>
      <sheetName val="MMap"/>
      <sheetName val="Savings &amp; Cost"/>
      <sheetName val="Summary"/>
      <sheetName val="CBSAData"/>
      <sheetName val="MeasureTable"/>
      <sheetName val="ProData"/>
      <sheetName val="Measure_InputOutput"/>
      <sheetName val="LookupTable"/>
      <sheetName val="Measure Cases"/>
      <sheetName val="Federal Standards"/>
      <sheetName val="SBC Res Data"/>
      <sheetName val="AHRI Comm Data"/>
      <sheetName val="Presentation"/>
      <sheetName val="Constants and Assumptions"/>
      <sheetName val="References"/>
      <sheetName val="EF to Standby Loss"/>
      <sheetName val="ProCost 6th Plan Inputs"/>
      <sheetName val="Levelized Cost Note"/>
      <sheetName val="Problems"/>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A2" t="str">
            <v>Original Measure Name</v>
          </cell>
          <cell r="B2" t="str">
            <v>Sector</v>
          </cell>
          <cell r="C2" t="str">
            <v>Category</v>
          </cell>
          <cell r="D2" t="str">
            <v>Subcategory</v>
          </cell>
          <cell r="E2" t="str">
            <v>Technology, Measure or Practice</v>
          </cell>
          <cell r="F2" t="str">
            <v>UnitType</v>
          </cell>
          <cell r="G2" t="str">
            <v>Building Type</v>
          </cell>
          <cell r="H2" t="str">
            <v>Vintage</v>
          </cell>
          <cell r="I2" t="str">
            <v>Other 1</v>
          </cell>
          <cell r="J2" t="str">
            <v>Other 2</v>
          </cell>
          <cell r="K2" t="str">
            <v>Delivery Mechanism or Program</v>
          </cell>
          <cell r="L2" t="str">
            <v>ID_Mechanism</v>
          </cell>
          <cell r="M2" t="str">
            <v>Application</v>
          </cell>
          <cell r="N2" t="str">
            <v>ID_Application</v>
          </cell>
          <cell r="O2" t="str">
            <v>Lost Opportunity?</v>
          </cell>
          <cell r="P2" t="str">
            <v>Location</v>
          </cell>
          <cell r="Q2" t="str">
            <v>ID_ClimateZone</v>
          </cell>
          <cell r="R2" t="str">
            <v>Basis of Savings</v>
          </cell>
          <cell r="S2" t="str">
            <v>ID_Basis</v>
          </cell>
          <cell r="T2" t="str">
            <v>End User Benefits</v>
          </cell>
          <cell r="U2" t="str">
            <v>Societal Benefits</v>
          </cell>
          <cell r="V2" t="str">
            <v>Related Programs/Activities</v>
          </cell>
          <cell r="W2" t="str">
            <v>Comments</v>
          </cell>
          <cell r="X2" t="str">
            <v>Credit/ Reimbursement</v>
          </cell>
          <cell r="Y2" t="str">
            <v>Reference No</v>
          </cell>
        </row>
        <row r="3">
          <cell r="A3" t="str">
            <v>Commercial-type Water Heater (&gt;= 25 gallons, &lt;35 gallons)</v>
          </cell>
          <cell r="B3" t="str">
            <v>Commercial</v>
          </cell>
          <cell r="C3" t="str">
            <v>Water Heating</v>
          </cell>
          <cell r="D3" t="str">
            <v>Efficient Tanks</v>
          </cell>
          <cell r="E3" t="str">
            <v>Efficient Water Heater</v>
          </cell>
          <cell r="G3" t="str">
            <v>All Commercial Building Types</v>
          </cell>
          <cell r="H3" t="str">
            <v>New and Existing Construction</v>
          </cell>
          <cell r="I3" t="str">
            <v>25 to 34.9 gallon rated capacity</v>
          </cell>
          <cell r="J3" t="str">
            <v>Standby loss of 157 or lower</v>
          </cell>
          <cell r="K3" t="str">
            <v>Manufacturer, Dealer or Consumer Rebate and Direct Installations.</v>
          </cell>
          <cell r="M3" t="str">
            <v>Commercial Water Heating</v>
          </cell>
          <cell r="O3" t="str">
            <v>Yes</v>
          </cell>
          <cell r="P3" t="str">
            <v>Regionwide</v>
          </cell>
          <cell r="R3" t="str">
            <v>Deemed</v>
          </cell>
        </row>
        <row r="4">
          <cell r="A4" t="str">
            <v>Commercial-type Water Heater (&gt;= 35 gallons, &lt;45 gallons)</v>
          </cell>
          <cell r="B4" t="str">
            <v>Commercial</v>
          </cell>
          <cell r="C4" t="str">
            <v>Water Heating</v>
          </cell>
          <cell r="D4" t="str">
            <v>Efficient Tanks</v>
          </cell>
          <cell r="E4" t="str">
            <v>Efficient Water Heater</v>
          </cell>
          <cell r="G4" t="str">
            <v>All Commercial Building Types</v>
          </cell>
          <cell r="H4" t="str">
            <v>New and Existing Construction</v>
          </cell>
          <cell r="I4" t="str">
            <v>35 to 44.9 gallon rated capacity</v>
          </cell>
          <cell r="J4" t="str">
            <v>Standby loss of 185 or lower</v>
          </cell>
          <cell r="K4" t="str">
            <v>Manufacturer, Dealer or Consumer Rebate and Direct Installations.</v>
          </cell>
          <cell r="M4" t="str">
            <v>Commercial Water Heating</v>
          </cell>
          <cell r="O4" t="str">
            <v>Yes</v>
          </cell>
          <cell r="P4" t="str">
            <v>Regionwide</v>
          </cell>
          <cell r="R4" t="str">
            <v>Deemed</v>
          </cell>
        </row>
        <row r="5">
          <cell r="A5" t="str">
            <v>Commercial-type Water Heater (&gt;= 45 gallons, &lt;55 gallons)</v>
          </cell>
          <cell r="B5" t="str">
            <v>Commercial</v>
          </cell>
          <cell r="C5" t="str">
            <v>Water Heating</v>
          </cell>
          <cell r="D5" t="str">
            <v>Efficient Tanks</v>
          </cell>
          <cell r="E5" t="str">
            <v>Efficient Water Heater</v>
          </cell>
          <cell r="G5" t="str">
            <v>All Commercial Building Types</v>
          </cell>
          <cell r="H5" t="str">
            <v>New and Existing Construction</v>
          </cell>
          <cell r="I5" t="str">
            <v>45 to 54.9 gallon rated capacity</v>
          </cell>
          <cell r="J5" t="str">
            <v>Standby loss of 201 or lower</v>
          </cell>
          <cell r="K5" t="str">
            <v>Manufacturer, Dealer or Consumer Rebate and Direct Installations.</v>
          </cell>
          <cell r="M5" t="str">
            <v>Commercial Water Heating</v>
          </cell>
          <cell r="O5" t="str">
            <v>Yes</v>
          </cell>
          <cell r="P5" t="str">
            <v>Regionwide</v>
          </cell>
          <cell r="R5" t="str">
            <v>Deemed</v>
          </cell>
        </row>
        <row r="6">
          <cell r="A6" t="str">
            <v>Commercial-type Water Heater (&gt;= 55 gallons, &lt;75 gallons)</v>
          </cell>
          <cell r="B6" t="str">
            <v>Commercial</v>
          </cell>
          <cell r="C6" t="str">
            <v>Water Heating</v>
          </cell>
          <cell r="D6" t="str">
            <v>Efficient Tanks</v>
          </cell>
          <cell r="E6" t="str">
            <v>Efficient Water Heater</v>
          </cell>
          <cell r="G6" t="str">
            <v>All Commercial Building Types</v>
          </cell>
          <cell r="H6" t="str">
            <v>New and Existing Construction</v>
          </cell>
          <cell r="I6" t="str">
            <v>55 to 74.9 gallon rated capacity</v>
          </cell>
          <cell r="J6" t="str">
            <v>Standby loss of 238 or lower</v>
          </cell>
          <cell r="K6" t="str">
            <v>Manufacturer, Dealer or Consumer Rebate and Direct Installations.</v>
          </cell>
          <cell r="M6" t="str">
            <v>Commercial Water Heating</v>
          </cell>
          <cell r="O6" t="str">
            <v>Yes</v>
          </cell>
          <cell r="P6" t="str">
            <v>Regionwide</v>
          </cell>
          <cell r="R6" t="str">
            <v>Deemed</v>
          </cell>
        </row>
        <row r="7">
          <cell r="A7" t="str">
            <v>Commercial-type Water Heater (&gt;= 75 gallons, &lt;100 gallons)</v>
          </cell>
          <cell r="B7" t="str">
            <v>Commercial</v>
          </cell>
          <cell r="C7" t="str">
            <v>Water Heating</v>
          </cell>
          <cell r="D7" t="str">
            <v>Efficient Tanks</v>
          </cell>
          <cell r="E7" t="str">
            <v>Efficient Water Heater</v>
          </cell>
          <cell r="G7" t="str">
            <v>All Commercial Building Types</v>
          </cell>
          <cell r="H7" t="str">
            <v>New and Existing Construction</v>
          </cell>
          <cell r="I7" t="str">
            <v>75 to 99.9 gallon rated capacity</v>
          </cell>
          <cell r="J7" t="str">
            <v>Standby loss of 249 or lower</v>
          </cell>
          <cell r="K7" t="str">
            <v>Manufacturer, Dealer or Consumer Rebate and Direct Installations.</v>
          </cell>
          <cell r="M7" t="str">
            <v>Commercial Water Heating</v>
          </cell>
          <cell r="O7" t="str">
            <v>Yes</v>
          </cell>
          <cell r="P7" t="str">
            <v>Regionwide</v>
          </cell>
          <cell r="R7" t="str">
            <v>Deemed</v>
          </cell>
        </row>
        <row r="8">
          <cell r="A8" t="str">
            <v>Commercial-type Water Heater (&gt;= 100 gallons, &lt;120 gallons)</v>
          </cell>
          <cell r="B8" t="str">
            <v>Commercial</v>
          </cell>
          <cell r="C8" t="str">
            <v>Water Heating</v>
          </cell>
          <cell r="D8" t="str">
            <v>Efficient Tanks</v>
          </cell>
          <cell r="E8" t="str">
            <v>Efficient Water Heater</v>
          </cell>
          <cell r="G8" t="str">
            <v>All Commercial Building Types</v>
          </cell>
          <cell r="H8" t="str">
            <v>New and Existing Construction</v>
          </cell>
          <cell r="I8" t="str">
            <v>100 to 119.9 gallon rated capacity</v>
          </cell>
          <cell r="J8" t="str">
            <v>Standby loss of 287 or lower</v>
          </cell>
          <cell r="K8" t="str">
            <v>Manufacturer, Dealer or Consumer Rebate and Direct Installations.</v>
          </cell>
          <cell r="M8" t="str">
            <v>Commercial Water Heating</v>
          </cell>
          <cell r="O8" t="str">
            <v>Yes</v>
          </cell>
          <cell r="P8" t="str">
            <v>Regionwide</v>
          </cell>
          <cell r="R8" t="str">
            <v>Deemed</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1">
          <cell r="A1">
            <v>1</v>
          </cell>
          <cell r="B1">
            <v>2</v>
          </cell>
          <cell r="C1">
            <v>3</v>
          </cell>
          <cell r="D1">
            <v>4</v>
          </cell>
          <cell r="E1">
            <v>5</v>
          </cell>
          <cell r="F1">
            <v>6</v>
          </cell>
          <cell r="G1">
            <v>7</v>
          </cell>
          <cell r="H1">
            <v>8</v>
          </cell>
          <cell r="I1">
            <v>9</v>
          </cell>
          <cell r="J1">
            <v>10</v>
          </cell>
          <cell r="K1">
            <v>11</v>
          </cell>
        </row>
        <row r="2">
          <cell r="A2" t="str">
            <v>Residential Sector ProCost Input Assumptions</v>
          </cell>
          <cell r="B2">
            <v>0.52</v>
          </cell>
        </row>
        <row r="3">
          <cell r="A3" t="str">
            <v>Sponsor Parameters</v>
          </cell>
          <cell r="B3" t="str">
            <v>Customer</v>
          </cell>
          <cell r="C3" t="str">
            <v>Wholesale Electric</v>
          </cell>
          <cell r="D3" t="str">
            <v>Retail Electric</v>
          </cell>
          <cell r="E3" t="str">
            <v>Natural Gas</v>
          </cell>
          <cell r="I3" t="str">
            <v>Program Parameters</v>
          </cell>
          <cell r="J3" t="str">
            <v>Program</v>
          </cell>
        </row>
        <row r="4">
          <cell r="A4" t="str">
            <v>Real After-Tax Cost of Capital</v>
          </cell>
          <cell r="B4">
            <v>3.9E-2</v>
          </cell>
          <cell r="C4">
            <v>4.3999999999999997E-2</v>
          </cell>
          <cell r="D4">
            <v>4.9000000000000002E-2</v>
          </cell>
          <cell r="E4">
            <v>0.05</v>
          </cell>
          <cell r="I4" t="str">
            <v>Program Life (yrs)</v>
          </cell>
          <cell r="J4">
            <v>20</v>
          </cell>
        </row>
        <row r="5">
          <cell r="A5" t="str">
            <v>Financial Life (years)</v>
          </cell>
          <cell r="B5">
            <v>15</v>
          </cell>
          <cell r="C5">
            <v>1</v>
          </cell>
          <cell r="D5">
            <v>1</v>
          </cell>
          <cell r="E5">
            <v>1</v>
          </cell>
          <cell r="I5" t="str">
            <v>Program Start Date</v>
          </cell>
          <cell r="J5">
            <v>2010</v>
          </cell>
        </row>
        <row r="6">
          <cell r="A6" t="str">
            <v xml:space="preserve">Sponsor Share of Initial Capital Cost </v>
          </cell>
          <cell r="B6">
            <v>0.35</v>
          </cell>
          <cell r="C6">
            <v>0.2</v>
          </cell>
          <cell r="D6">
            <v>0.45</v>
          </cell>
          <cell r="E6">
            <v>0</v>
          </cell>
          <cell r="I6" t="str">
            <v>Present Value Time Zero</v>
          </cell>
          <cell r="J6">
            <v>2010</v>
          </cell>
        </row>
        <row r="7">
          <cell r="A7" t="str">
            <v>Sponsor Share of Annual O&amp;M</v>
          </cell>
          <cell r="B7">
            <v>1</v>
          </cell>
          <cell r="C7">
            <v>0</v>
          </cell>
          <cell r="D7">
            <v>0</v>
          </cell>
          <cell r="E7">
            <v>0</v>
          </cell>
          <cell r="I7" t="str">
            <v>Input Cost Reference Year</v>
          </cell>
          <cell r="J7">
            <v>2006</v>
          </cell>
        </row>
        <row r="8">
          <cell r="A8" t="str">
            <v>Sponsor Share of Periodic Replacement Cost</v>
          </cell>
          <cell r="B8">
            <v>1</v>
          </cell>
          <cell r="C8">
            <v>0</v>
          </cell>
          <cell r="D8">
            <v>0</v>
          </cell>
          <cell r="E8">
            <v>0</v>
          </cell>
          <cell r="I8" t="str">
            <v>Real Discount Rate</v>
          </cell>
          <cell r="J8">
            <v>0.05</v>
          </cell>
        </row>
        <row r="9">
          <cell r="A9" t="str">
            <v>Sponsor Share of Administrative Cost</v>
          </cell>
          <cell r="B9">
            <v>0</v>
          </cell>
          <cell r="C9">
            <v>0.5</v>
          </cell>
          <cell r="D9">
            <v>0.5</v>
          </cell>
          <cell r="E9">
            <v>0</v>
          </cell>
          <cell r="I9" t="str">
            <v>Capital Real Escalation Rate</v>
          </cell>
          <cell r="J9">
            <v>0</v>
          </cell>
        </row>
        <row r="10">
          <cell r="A10" t="str">
            <v>Last Year of Non-Customer O&amp;M &amp; Period Replacement</v>
          </cell>
          <cell r="C10">
            <v>20</v>
          </cell>
          <cell r="I10" t="str">
            <v>Admin Cost (As % of Initial Capital Cost)</v>
          </cell>
          <cell r="J10">
            <v>0.2</v>
          </cell>
        </row>
        <row r="11">
          <cell r="I11" t="str">
            <v>Regional Act Conservation Credit (%)</v>
          </cell>
          <cell r="J11">
            <v>0.1</v>
          </cell>
        </row>
        <row r="12">
          <cell r="A12" t="str">
            <v>Commercial Sector ProCost Assumptions</v>
          </cell>
          <cell r="B12">
            <v>0.33</v>
          </cell>
          <cell r="I12" t="str">
            <v>Report Annual Carbon Saved for Year</v>
          </cell>
          <cell r="J12">
            <v>2020</v>
          </cell>
        </row>
        <row r="13">
          <cell r="A13" t="str">
            <v>Sponsor Parameters</v>
          </cell>
          <cell r="B13" t="str">
            <v>Customer</v>
          </cell>
          <cell r="C13" t="str">
            <v>Wholesale Electric</v>
          </cell>
          <cell r="D13" t="str">
            <v>Retail Electric</v>
          </cell>
          <cell r="E13" t="str">
            <v>Natural Gas</v>
          </cell>
        </row>
        <row r="14">
          <cell r="A14" t="str">
            <v>Real After-Tax Cost of Capital</v>
          </cell>
          <cell r="B14">
            <v>6.7000000000000004E-2</v>
          </cell>
          <cell r="C14">
            <v>4.3999999999999997E-2</v>
          </cell>
          <cell r="D14">
            <v>4.9000000000000002E-2</v>
          </cell>
          <cell r="E14">
            <v>0.05</v>
          </cell>
          <cell r="I14" t="str">
            <v>Utility System Parameters</v>
          </cell>
          <cell r="J14" t="str">
            <v>Electric</v>
          </cell>
          <cell r="K14" t="str">
            <v>Gas</v>
          </cell>
        </row>
        <row r="15">
          <cell r="A15" t="str">
            <v>Financial Life (years)</v>
          </cell>
          <cell r="B15">
            <v>20</v>
          </cell>
          <cell r="C15">
            <v>1</v>
          </cell>
          <cell r="D15">
            <v>1</v>
          </cell>
          <cell r="E15">
            <v>1</v>
          </cell>
          <cell r="I15" t="str">
            <v>Bulk System T&amp;D Loss Factor by Time Segment</v>
          </cell>
          <cell r="J15" t="str">
            <v>WECCTrans</v>
          </cell>
          <cell r="K15" t="str">
            <v>Flat1.0</v>
          </cell>
        </row>
        <row r="16">
          <cell r="A16" t="str">
            <v xml:space="preserve">Sponsor Share of Initial Capital Cost </v>
          </cell>
          <cell r="B16">
            <v>0.35</v>
          </cell>
          <cell r="C16">
            <v>0.1</v>
          </cell>
          <cell r="D16">
            <v>0.55000000000000004</v>
          </cell>
          <cell r="E16">
            <v>0</v>
          </cell>
          <cell r="I16" t="str">
            <v>Bulk System T&amp;D Credit ($/kw-yr)($/dailytherm-yr)</v>
          </cell>
          <cell r="J16">
            <v>0</v>
          </cell>
          <cell r="K16">
            <v>0</v>
          </cell>
        </row>
        <row r="17">
          <cell r="A17" t="str">
            <v>Sponsor Share of Annual O&amp;M</v>
          </cell>
          <cell r="B17">
            <v>1</v>
          </cell>
          <cell r="C17">
            <v>0</v>
          </cell>
          <cell r="D17">
            <v>0</v>
          </cell>
          <cell r="E17">
            <v>0</v>
          </cell>
          <cell r="I17" t="str">
            <v>Local System Dist Loss Factor by Time Segment</v>
          </cell>
          <cell r="J17" t="str">
            <v>Flat5.0</v>
          </cell>
          <cell r="K17" t="str">
            <v>NoLoss</v>
          </cell>
        </row>
        <row r="18">
          <cell r="A18" t="str">
            <v>Sponsor Share of Periodic Replacement Cost</v>
          </cell>
          <cell r="B18">
            <v>1</v>
          </cell>
          <cell r="C18">
            <v>0</v>
          </cell>
          <cell r="D18">
            <v>0</v>
          </cell>
          <cell r="E18">
            <v>0</v>
          </cell>
          <cell r="I18" t="str">
            <v>Local System Dist Credit ($/kw-yr)($/dailytherm-yr)</v>
          </cell>
          <cell r="J18">
            <v>23</v>
          </cell>
          <cell r="K18">
            <v>0</v>
          </cell>
        </row>
        <row r="19">
          <cell r="A19" t="str">
            <v>Sponsor Share of Admin Cost</v>
          </cell>
          <cell r="B19">
            <v>0</v>
          </cell>
          <cell r="C19">
            <v>0.5</v>
          </cell>
          <cell r="D19">
            <v>0.5</v>
          </cell>
          <cell r="E19">
            <v>0</v>
          </cell>
          <cell r="I19" t="str">
            <v>Risk-Mitigation Credit (mills/kWh)(mills/therm)(SC)</v>
          </cell>
          <cell r="J19">
            <v>0</v>
          </cell>
          <cell r="K19">
            <v>0</v>
          </cell>
        </row>
        <row r="20">
          <cell r="A20" t="str">
            <v>Last Year of Non-Customer O&amp;M &amp; Period Replacement</v>
          </cell>
          <cell r="C20">
            <v>20</v>
          </cell>
          <cell r="I20" t="str">
            <v>Risk-Mitigation Credit (mills/kWh)(mills/therm)(LO)</v>
          </cell>
          <cell r="J20">
            <v>58</v>
          </cell>
          <cell r="K20">
            <v>0</v>
          </cell>
        </row>
        <row r="21">
          <cell r="I21" t="str">
            <v>Risk-Mitigation Credit (mills/kWh)(mills/therm)(NLO)</v>
          </cell>
          <cell r="J21">
            <v>43</v>
          </cell>
          <cell r="K21">
            <v>0</v>
          </cell>
        </row>
        <row r="22">
          <cell r="A22" t="str">
            <v>Industrial Sector ProCost Assumptions</v>
          </cell>
          <cell r="B22">
            <v>0.13</v>
          </cell>
        </row>
        <row r="23">
          <cell r="A23" t="str">
            <v>Sponsor Parameters</v>
          </cell>
          <cell r="B23" t="str">
            <v>Customer</v>
          </cell>
          <cell r="C23" t="str">
            <v>Wholesale Electric</v>
          </cell>
          <cell r="D23" t="str">
            <v>Retail Electric</v>
          </cell>
          <cell r="E23" t="str">
            <v>Natural Gas</v>
          </cell>
          <cell r="I23" t="str">
            <v>Price Deflator Year 2000 to Year 2006$</v>
          </cell>
        </row>
        <row r="24">
          <cell r="A24" t="str">
            <v>Real After-Tax Cost of Capital</v>
          </cell>
          <cell r="B24">
            <v>7.5999999999999998E-2</v>
          </cell>
          <cell r="C24">
            <v>4.3999999999999997E-2</v>
          </cell>
          <cell r="D24">
            <v>4.9000000000000002E-2</v>
          </cell>
          <cell r="E24">
            <v>0.05</v>
          </cell>
          <cell r="I24">
            <v>1.16567</v>
          </cell>
        </row>
        <row r="25">
          <cell r="A25" t="str">
            <v>Financial Life (years)</v>
          </cell>
          <cell r="B25">
            <v>20</v>
          </cell>
          <cell r="C25">
            <v>1</v>
          </cell>
          <cell r="D25">
            <v>1</v>
          </cell>
          <cell r="E25">
            <v>1</v>
          </cell>
        </row>
        <row r="26">
          <cell r="A26" t="str">
            <v xml:space="preserve">Sponsor Share of Initial Capital Cost </v>
          </cell>
          <cell r="B26">
            <v>0.35</v>
          </cell>
          <cell r="C26">
            <v>0.1</v>
          </cell>
          <cell r="D26">
            <v>0.55000000000000004</v>
          </cell>
          <cell r="E26">
            <v>0</v>
          </cell>
        </row>
        <row r="27">
          <cell r="A27" t="str">
            <v>Sponsor Share of Annual O&amp;M</v>
          </cell>
          <cell r="B27">
            <v>1</v>
          </cell>
          <cell r="C27">
            <v>0</v>
          </cell>
          <cell r="D27">
            <v>0</v>
          </cell>
          <cell r="E27">
            <v>0</v>
          </cell>
        </row>
        <row r="28">
          <cell r="A28" t="str">
            <v>Sponsor Share of Periodic Replacement Cost</v>
          </cell>
          <cell r="B28">
            <v>1</v>
          </cell>
          <cell r="C28">
            <v>0</v>
          </cell>
          <cell r="D28">
            <v>0</v>
          </cell>
          <cell r="E28">
            <v>0</v>
          </cell>
        </row>
        <row r="29">
          <cell r="A29" t="str">
            <v>Sponsor Share of Admin Cost</v>
          </cell>
          <cell r="B29">
            <v>0</v>
          </cell>
          <cell r="C29">
            <v>0.5</v>
          </cell>
          <cell r="D29">
            <v>0.5</v>
          </cell>
          <cell r="E29">
            <v>0</v>
          </cell>
        </row>
        <row r="30">
          <cell r="A30" t="str">
            <v>Last Year of Non-Customer O&amp;M &amp; Period Replacement</v>
          </cell>
          <cell r="C30">
            <v>20</v>
          </cell>
        </row>
        <row r="32">
          <cell r="A32" t="str">
            <v>Agricultural Sector ProCost Assumptions</v>
          </cell>
          <cell r="B32">
            <v>0.02</v>
          </cell>
        </row>
        <row r="33">
          <cell r="A33" t="str">
            <v>Sponsor Parameters</v>
          </cell>
          <cell r="B33" t="str">
            <v>Customer</v>
          </cell>
          <cell r="C33" t="str">
            <v>Wholesale Electric</v>
          </cell>
          <cell r="D33" t="str">
            <v>Retail Electric</v>
          </cell>
          <cell r="E33" t="str">
            <v>Natural Gas</v>
          </cell>
          <cell r="I33" t="str">
            <v>MC_AND_LOADSHAPE_6P.xls worksheet tab names</v>
          </cell>
        </row>
        <row r="34">
          <cell r="A34" t="str">
            <v>Real After-Tax Cost of Capital</v>
          </cell>
          <cell r="B34">
            <v>7.5999999999999998E-2</v>
          </cell>
          <cell r="C34">
            <v>4.3999999999999997E-2</v>
          </cell>
          <cell r="D34">
            <v>4.9000000000000002E-2</v>
          </cell>
          <cell r="E34">
            <v>0.05</v>
          </cell>
          <cell r="I34" t="str">
            <v>6P MidC Final (with carbon)</v>
          </cell>
        </row>
        <row r="35">
          <cell r="A35" t="str">
            <v>Financial Life (years)</v>
          </cell>
          <cell r="B35">
            <v>5</v>
          </cell>
          <cell r="C35">
            <v>1</v>
          </cell>
          <cell r="D35">
            <v>1</v>
          </cell>
          <cell r="E35">
            <v>1</v>
          </cell>
          <cell r="I35" t="str">
            <v>Conservation Load Shapes</v>
          </cell>
        </row>
        <row r="36">
          <cell r="A36" t="str">
            <v xml:space="preserve">Sponsor Share of Initial Capital Cost </v>
          </cell>
          <cell r="B36">
            <v>0.35</v>
          </cell>
          <cell r="C36">
            <v>0.1</v>
          </cell>
          <cell r="D36">
            <v>0.55000000000000004</v>
          </cell>
          <cell r="E36">
            <v>0</v>
          </cell>
          <cell r="I36" t="str">
            <v>6P_Gas_Final</v>
          </cell>
        </row>
        <row r="37">
          <cell r="A37" t="str">
            <v>Sponsor Share of Annual O&amp;M</v>
          </cell>
          <cell r="B37">
            <v>1</v>
          </cell>
          <cell r="C37">
            <v>0</v>
          </cell>
          <cell r="D37">
            <v>0</v>
          </cell>
          <cell r="E37">
            <v>0</v>
          </cell>
          <cell r="I37" t="str">
            <v>Conservation Load Shapes</v>
          </cell>
        </row>
        <row r="38">
          <cell r="A38" t="str">
            <v>Sponsor Share of Periodic Replacement Cost</v>
          </cell>
          <cell r="B38">
            <v>1</v>
          </cell>
          <cell r="C38">
            <v>0</v>
          </cell>
          <cell r="D38">
            <v>0</v>
          </cell>
          <cell r="E38">
            <v>0</v>
          </cell>
          <cell r="I38" t="str">
            <v>6P CO2 lbs per kWh Hcap</v>
          </cell>
        </row>
        <row r="39">
          <cell r="A39" t="str">
            <v>Sponsor Share of Admin Cost</v>
          </cell>
          <cell r="B39">
            <v>0</v>
          </cell>
          <cell r="C39">
            <v>0.5</v>
          </cell>
          <cell r="D39">
            <v>0.5</v>
          </cell>
          <cell r="E39">
            <v>0</v>
          </cell>
          <cell r="I39" t="str">
            <v>CO2 lbs per therm</v>
          </cell>
        </row>
        <row r="40">
          <cell r="A40" t="str">
            <v>Last Year of Non-Customer O&amp;M &amp; Period Replacement</v>
          </cell>
          <cell r="C40">
            <v>20</v>
          </cell>
          <cell r="I40" t="str">
            <v>Zero Dollars per ton CO2</v>
          </cell>
        </row>
        <row r="41">
          <cell r="I41" t="str">
            <v>LineLossShapes</v>
          </cell>
        </row>
        <row r="42">
          <cell r="A42" t="str">
            <v>Melded ProCost Assumptions (weighted by savings potential)</v>
          </cell>
        </row>
        <row r="43">
          <cell r="A43" t="str">
            <v>Sponsor Parameters</v>
          </cell>
          <cell r="B43" t="str">
            <v>Customer</v>
          </cell>
          <cell r="C43" t="str">
            <v>Wholesale Electric</v>
          </cell>
          <cell r="D43" t="str">
            <v>Retail Electric</v>
          </cell>
          <cell r="E43" t="str">
            <v>Natural Gas</v>
          </cell>
        </row>
        <row r="44">
          <cell r="A44" t="str">
            <v>Real After-Tax Cost of Capital</v>
          </cell>
          <cell r="B44">
            <v>5.3789999999999998E-2</v>
          </cell>
          <cell r="C44">
            <v>4.4000000000000004E-2</v>
          </cell>
          <cell r="D44">
            <v>4.9000000000000009E-2</v>
          </cell>
          <cell r="E44">
            <v>0.05</v>
          </cell>
        </row>
        <row r="45">
          <cell r="A45" t="str">
            <v>Financial Life (years)</v>
          </cell>
          <cell r="B45">
            <v>17.100000000000005</v>
          </cell>
          <cell r="C45">
            <v>1</v>
          </cell>
          <cell r="D45">
            <v>1</v>
          </cell>
          <cell r="E45">
            <v>1</v>
          </cell>
        </row>
        <row r="46">
          <cell r="A46" t="str">
            <v xml:space="preserve">Sponsor Share of Initial Capital Cost </v>
          </cell>
          <cell r="B46">
            <v>0.35</v>
          </cell>
          <cell r="C46">
            <v>0.1</v>
          </cell>
          <cell r="D46">
            <v>0.55000000000000004</v>
          </cell>
          <cell r="E46">
            <v>0</v>
          </cell>
        </row>
        <row r="47">
          <cell r="A47" t="str">
            <v>Sponsor Share of Annual O&amp;M</v>
          </cell>
          <cell r="B47">
            <v>1</v>
          </cell>
          <cell r="C47">
            <v>0</v>
          </cell>
          <cell r="D47">
            <v>0</v>
          </cell>
          <cell r="E47">
            <v>0</v>
          </cell>
        </row>
        <row r="48">
          <cell r="A48" t="str">
            <v>Sponsor Share of Periodic Replacement Cost</v>
          </cell>
          <cell r="B48">
            <v>1</v>
          </cell>
          <cell r="C48">
            <v>0</v>
          </cell>
          <cell r="D48">
            <v>0</v>
          </cell>
          <cell r="E48">
            <v>0</v>
          </cell>
        </row>
        <row r="49">
          <cell r="A49" t="str">
            <v>Sponsor Share of Admin Cost</v>
          </cell>
          <cell r="B49">
            <v>0</v>
          </cell>
          <cell r="C49">
            <v>0.5</v>
          </cell>
          <cell r="D49">
            <v>0.5</v>
          </cell>
          <cell r="E49">
            <v>0</v>
          </cell>
        </row>
        <row r="50">
          <cell r="A50" t="str">
            <v>Last Year of Non-Customer O&amp;M &amp; Period Replacement</v>
          </cell>
          <cell r="C50">
            <v>20</v>
          </cell>
        </row>
      </sheetData>
      <sheetData sheetId="23" refreshError="1"/>
      <sheetData sheetId="24"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Summary"/>
      <sheetName val="MeasureTable"/>
      <sheetName val="ProData"/>
      <sheetName val="WaterHeaters"/>
      <sheetName val="Measure Cases"/>
      <sheetName val="Federal Standards"/>
      <sheetName val="EF to Standby Loss"/>
      <sheetName val="AHRI Res Data"/>
      <sheetName val="SBC Res Data"/>
      <sheetName val="AHRI Comm Data"/>
      <sheetName val="CBSA analysis for interactions"/>
      <sheetName val="6th plan lighting Interactions"/>
      <sheetName val="Constants and Assumptions"/>
      <sheetName val="References"/>
      <sheetName val="PTR and 6th Plan Res Savings"/>
      <sheetName val="OutputLookup Cross Walk"/>
      <sheetName val="LookupTable"/>
      <sheetName val="Bug List"/>
    </sheetNames>
    <sheetDataSet>
      <sheetData sheetId="0"/>
      <sheetData sheetId="1"/>
      <sheetData sheetId="2">
        <row r="5">
          <cell r="F5" t="str">
            <v>6P MidC Final (with carbon)</v>
          </cell>
        </row>
      </sheetData>
      <sheetData sheetId="3">
        <row r="67">
          <cell r="A67" t="str">
            <v>Residential-type Water Heater (&gt;= 100 gallons, &lt;120 gallons)</v>
          </cell>
          <cell r="C67">
            <v>15</v>
          </cell>
          <cell r="D67">
            <v>167.33474731445312</v>
          </cell>
          <cell r="E67">
            <v>0</v>
          </cell>
          <cell r="F67">
            <v>58.69219970703125</v>
          </cell>
          <cell r="G67">
            <v>0</v>
          </cell>
          <cell r="H67">
            <v>0</v>
          </cell>
          <cell r="J67">
            <v>1</v>
          </cell>
          <cell r="K67">
            <v>0.60000002384185791</v>
          </cell>
          <cell r="L67">
            <v>182.51541137695312</v>
          </cell>
          <cell r="M67">
            <v>1.2501056306064129E-2</v>
          </cell>
          <cell r="N67">
            <v>2.0835092291235924E-2</v>
          </cell>
          <cell r="O67">
            <v>0</v>
          </cell>
          <cell r="P67">
            <v>0</v>
          </cell>
          <cell r="Q67">
            <v>0</v>
          </cell>
          <cell r="R67">
            <v>5.8356819152832031</v>
          </cell>
          <cell r="S67">
            <v>32.249969482421875</v>
          </cell>
          <cell r="T67">
            <v>0</v>
          </cell>
          <cell r="U67">
            <v>23.604267120361328</v>
          </cell>
          <cell r="V67">
            <v>5.8692202568054199</v>
          </cell>
          <cell r="W67">
            <v>5.8692202568054199</v>
          </cell>
          <cell r="X67">
            <v>0</v>
          </cell>
          <cell r="Y67">
            <v>0</v>
          </cell>
          <cell r="Z67">
            <v>0</v>
          </cell>
          <cell r="AA67">
            <v>0</v>
          </cell>
          <cell r="AB67">
            <v>0</v>
          </cell>
          <cell r="AC67">
            <v>0</v>
          </cell>
          <cell r="AD67">
            <v>0</v>
          </cell>
          <cell r="AE67">
            <v>0</v>
          </cell>
          <cell r="AF67">
            <v>0</v>
          </cell>
          <cell r="AG67">
            <v>0</v>
          </cell>
          <cell r="AH67">
            <v>11.704902648925781</v>
          </cell>
          <cell r="AI67">
            <v>38.119190216064453</v>
          </cell>
          <cell r="AJ67">
            <v>0</v>
          </cell>
          <cell r="AK67">
            <v>23.604267120361328</v>
          </cell>
          <cell r="AL67">
            <v>73.428359985351562</v>
          </cell>
          <cell r="AM67">
            <v>98.752738952636719</v>
          </cell>
          <cell r="AN67">
            <v>0</v>
          </cell>
          <cell r="AO67">
            <v>20.863073348999023</v>
          </cell>
          <cell r="AP67">
            <v>109.87799072265625</v>
          </cell>
          <cell r="AQ67">
            <v>229.49380493164062</v>
          </cell>
          <cell r="AR67">
            <v>11.704902648925781</v>
          </cell>
          <cell r="AS67">
            <v>19.606639991536223</v>
          </cell>
          <cell r="AT67">
            <v>98.752738952636719</v>
          </cell>
          <cell r="AU67">
            <v>4.9740076065063477</v>
          </cell>
          <cell r="AV67">
            <v>21.3604736328125</v>
          </cell>
          <cell r="AW67">
            <v>109.87799072265625</v>
          </cell>
          <cell r="AX67">
            <v>234.9652099609375</v>
          </cell>
          <cell r="AY67">
            <v>38.119190216064453</v>
          </cell>
          <cell r="AZ67">
            <v>6.1639613150752854</v>
          </cell>
          <cell r="BA67">
            <v>98.752738952636719</v>
          </cell>
          <cell r="BB67">
            <v>4.9740076065063477</v>
          </cell>
          <cell r="BC67">
            <v>21.3604736328125</v>
          </cell>
          <cell r="BD67">
            <v>109.87799072265625</v>
          </cell>
          <cell r="BE67">
            <v>234.9652099609375</v>
          </cell>
          <cell r="BF67">
            <v>49.824092864990234</v>
          </cell>
          <cell r="BG67">
            <v>-45.600830078125</v>
          </cell>
          <cell r="BH67">
            <v>4.7158955015745532</v>
          </cell>
          <cell r="BI67">
            <v>6.1785306930541992</v>
          </cell>
          <cell r="BJ67">
            <v>20.12153434753418</v>
          </cell>
          <cell r="BK67">
            <v>0</v>
          </cell>
          <cell r="BL67">
            <v>12.459710121154785</v>
          </cell>
          <cell r="BM67">
            <v>38.759773254394531</v>
          </cell>
          <cell r="BN67">
            <v>98.752738952636719</v>
          </cell>
          <cell r="BO67">
            <v>0</v>
          </cell>
          <cell r="BP67">
            <v>4.9740076065063477</v>
          </cell>
          <cell r="BQ67">
            <v>0</v>
          </cell>
          <cell r="BR67">
            <v>0</v>
          </cell>
          <cell r="BS67">
            <v>0</v>
          </cell>
          <cell r="BT67">
            <v>109.87799072265625</v>
          </cell>
          <cell r="BU67">
            <v>0</v>
          </cell>
          <cell r="BV67">
            <v>0</v>
          </cell>
          <cell r="BW67">
            <v>21.3604736328125</v>
          </cell>
          <cell r="BX67">
            <v>61.689918518066406</v>
          </cell>
          <cell r="BY67">
            <v>11.73844051361084</v>
          </cell>
          <cell r="BZ67">
            <v>0</v>
          </cell>
          <cell r="CA67">
            <v>0</v>
          </cell>
          <cell r="CB67">
            <v>234.9652099609375</v>
          </cell>
          <cell r="CC67">
            <v>73.428359985351562</v>
          </cell>
          <cell r="CD67">
            <v>3.1999245797287532</v>
          </cell>
          <cell r="CE67">
            <v>-33.141120910644531</v>
          </cell>
          <cell r="CF67">
            <v>1.0657090071218009</v>
          </cell>
          <cell r="CG67">
            <v>0</v>
          </cell>
          <cell r="CH67">
            <v>1.0657090071218009</v>
          </cell>
          <cell r="CI67">
            <v>6.8092628406144592E-2</v>
          </cell>
          <cell r="CJ67">
            <v>0</v>
          </cell>
          <cell r="CK67">
            <v>6.8092628406144592E-2</v>
          </cell>
          <cell r="CM67">
            <v>0</v>
          </cell>
          <cell r="CO67">
            <v>0</v>
          </cell>
          <cell r="CP67">
            <v>0</v>
          </cell>
          <cell r="CQ67">
            <v>0</v>
          </cell>
          <cell r="CR67">
            <v>0</v>
          </cell>
          <cell r="CS67">
            <v>0</v>
          </cell>
          <cell r="CT67">
            <v>0</v>
          </cell>
          <cell r="CU67">
            <v>0</v>
          </cell>
          <cell r="CV67">
            <v>9999</v>
          </cell>
          <cell r="CW67">
            <v>9999</v>
          </cell>
        </row>
        <row r="68">
          <cell r="A68" t="str">
            <v>Commercial-type Water Heater (&gt;= 100 gallons, &lt;120 gallons)</v>
          </cell>
          <cell r="C68">
            <v>15</v>
          </cell>
          <cell r="D68">
            <v>101.65425872802734</v>
          </cell>
          <cell r="E68">
            <v>0</v>
          </cell>
          <cell r="F68">
            <v>37.254600524902344</v>
          </cell>
          <cell r="G68">
            <v>0</v>
          </cell>
          <cell r="H68">
            <v>0</v>
          </cell>
          <cell r="J68">
            <v>1</v>
          </cell>
          <cell r="K68">
            <v>0.60000002384185791</v>
          </cell>
          <cell r="L68">
            <v>110.87637329101562</v>
          </cell>
          <cell r="M68">
            <v>7.5942720286548138E-3</v>
          </cell>
          <cell r="N68">
            <v>1.2657119892537594E-2</v>
          </cell>
          <cell r="O68">
            <v>0</v>
          </cell>
          <cell r="P68">
            <v>0</v>
          </cell>
          <cell r="Q68">
            <v>0</v>
          </cell>
          <cell r="R68">
            <v>3.704171895980835</v>
          </cell>
          <cell r="S68">
            <v>20.470516204833984</v>
          </cell>
          <cell r="T68">
            <v>0</v>
          </cell>
          <cell r="U68">
            <v>14.982698440551758</v>
          </cell>
          <cell r="V68">
            <v>3.7254600524902344</v>
          </cell>
          <cell r="W68">
            <v>3.7254600524902344</v>
          </cell>
          <cell r="X68">
            <v>0</v>
          </cell>
          <cell r="Y68">
            <v>0</v>
          </cell>
          <cell r="Z68">
            <v>0</v>
          </cell>
          <cell r="AA68">
            <v>0</v>
          </cell>
          <cell r="AB68">
            <v>0</v>
          </cell>
          <cell r="AC68">
            <v>0</v>
          </cell>
          <cell r="AD68">
            <v>0</v>
          </cell>
          <cell r="AE68">
            <v>0</v>
          </cell>
          <cell r="AF68">
            <v>0</v>
          </cell>
          <cell r="AG68">
            <v>0</v>
          </cell>
          <cell r="AH68">
            <v>7.4296321868896484</v>
          </cell>
          <cell r="AI68">
            <v>24.195976257324219</v>
          </cell>
          <cell r="AJ68">
            <v>0</v>
          </cell>
          <cell r="AK68">
            <v>14.982698440551758</v>
          </cell>
          <cell r="AL68">
            <v>46.608306884765625</v>
          </cell>
          <cell r="AM68">
            <v>59.991348266601563</v>
          </cell>
          <cell r="AN68">
            <v>0</v>
          </cell>
          <cell r="AO68">
            <v>12.674118041992187</v>
          </cell>
          <cell r="AP68">
            <v>66.749832153320313</v>
          </cell>
          <cell r="AQ68">
            <v>139.41529846191406</v>
          </cell>
          <cell r="AR68">
            <v>7.4296321868896484</v>
          </cell>
          <cell r="AS68">
            <v>18.764765122800476</v>
          </cell>
          <cell r="AT68">
            <v>59.991348266601563</v>
          </cell>
          <cell r="AU68">
            <v>3.0216622352600098</v>
          </cell>
          <cell r="AV68">
            <v>12.976284027099609</v>
          </cell>
          <cell r="AW68">
            <v>66.749832153320313</v>
          </cell>
          <cell r="AX68">
            <v>142.73912048339844</v>
          </cell>
          <cell r="AY68">
            <v>24.195976257324219</v>
          </cell>
          <cell r="AZ68">
            <v>5.8992918973076689</v>
          </cell>
          <cell r="BA68">
            <v>59.991348266601563</v>
          </cell>
          <cell r="BB68">
            <v>3.0216622352600098</v>
          </cell>
          <cell r="BC68">
            <v>12.976284027099609</v>
          </cell>
          <cell r="BD68">
            <v>66.749832153320313</v>
          </cell>
          <cell r="BE68">
            <v>142.73912048339844</v>
          </cell>
          <cell r="BF68">
            <v>31.625608444213867</v>
          </cell>
          <cell r="BG68">
            <v>-44.420890808105469</v>
          </cell>
          <cell r="BH68">
            <v>4.5134033708836316</v>
          </cell>
          <cell r="BI68">
            <v>6.4557290077209473</v>
          </cell>
          <cell r="BJ68">
            <v>21.024280548095703</v>
          </cell>
          <cell r="BK68">
            <v>0</v>
          </cell>
          <cell r="BL68">
            <v>13.018711090087891</v>
          </cell>
          <cell r="BM68">
            <v>40.498722076416016</v>
          </cell>
          <cell r="BN68">
            <v>59.991348266601563</v>
          </cell>
          <cell r="BO68">
            <v>0</v>
          </cell>
          <cell r="BP68">
            <v>3.0216622352600098</v>
          </cell>
          <cell r="BQ68">
            <v>0</v>
          </cell>
          <cell r="BR68">
            <v>0</v>
          </cell>
          <cell r="BS68">
            <v>0</v>
          </cell>
          <cell r="BT68">
            <v>66.749832153320313</v>
          </cell>
          <cell r="BU68">
            <v>0</v>
          </cell>
          <cell r="BV68">
            <v>0</v>
          </cell>
          <cell r="BW68">
            <v>12.976284027099609</v>
          </cell>
          <cell r="BX68">
            <v>39.157386779785156</v>
          </cell>
          <cell r="BY68">
            <v>7.4509201049804687</v>
          </cell>
          <cell r="BZ68">
            <v>0</v>
          </cell>
          <cell r="CA68">
            <v>0</v>
          </cell>
          <cell r="CB68">
            <v>142.73912048339844</v>
          </cell>
          <cell r="CC68">
            <v>46.608306884765625</v>
          </cell>
          <cell r="CD68">
            <v>3.062525464295232</v>
          </cell>
          <cell r="CE68">
            <v>-31.402177810668945</v>
          </cell>
          <cell r="CF68">
            <v>0.64740804791300666</v>
          </cell>
          <cell r="CG68">
            <v>0</v>
          </cell>
          <cell r="CH68">
            <v>0.64740804791300666</v>
          </cell>
          <cell r="CI68">
            <v>4.1365621702631958E-2</v>
          </cell>
          <cell r="CJ68">
            <v>0</v>
          </cell>
          <cell r="CK68">
            <v>4.1365621702631958E-2</v>
          </cell>
          <cell r="CM68">
            <v>0</v>
          </cell>
          <cell r="CO68">
            <v>0</v>
          </cell>
          <cell r="CP68">
            <v>0</v>
          </cell>
          <cell r="CQ68">
            <v>0</v>
          </cell>
          <cell r="CR68">
            <v>0</v>
          </cell>
          <cell r="CS68">
            <v>0</v>
          </cell>
          <cell r="CT68">
            <v>0</v>
          </cell>
          <cell r="CU68">
            <v>0</v>
          </cell>
          <cell r="CV68">
            <v>9999</v>
          </cell>
          <cell r="CW68">
            <v>9999</v>
          </cell>
        </row>
        <row r="69">
          <cell r="A69" t="str">
            <v>Commercial-type Water Heater (&gt;= 75 gallons, &lt;100 gallons)</v>
          </cell>
          <cell r="C69">
            <v>15</v>
          </cell>
          <cell r="D69">
            <v>76.855087280273438</v>
          </cell>
          <cell r="E69">
            <v>0</v>
          </cell>
          <cell r="F69">
            <v>29.061500549316406</v>
          </cell>
          <cell r="G69">
            <v>0</v>
          </cell>
          <cell r="H69">
            <v>0</v>
          </cell>
          <cell r="J69">
            <v>1</v>
          </cell>
          <cell r="K69">
            <v>0.60000002384185791</v>
          </cell>
          <cell r="L69">
            <v>83.827407836914062</v>
          </cell>
          <cell r="M69">
            <v>5.7416032068431377E-3</v>
          </cell>
          <cell r="N69">
            <v>9.5693385228514671E-3</v>
          </cell>
          <cell r="O69">
            <v>0</v>
          </cell>
          <cell r="P69">
            <v>0</v>
          </cell>
          <cell r="Q69">
            <v>0</v>
          </cell>
          <cell r="R69">
            <v>2.8895435333251953</v>
          </cell>
          <cell r="S69">
            <v>15.968603134155273</v>
          </cell>
          <cell r="T69">
            <v>0</v>
          </cell>
          <cell r="U69">
            <v>11.687675476074219</v>
          </cell>
          <cell r="V69">
            <v>2.9061501026153564</v>
          </cell>
          <cell r="W69">
            <v>2.9061501026153564</v>
          </cell>
          <cell r="X69">
            <v>0</v>
          </cell>
          <cell r="Y69">
            <v>0</v>
          </cell>
          <cell r="Z69">
            <v>0</v>
          </cell>
          <cell r="AA69">
            <v>0</v>
          </cell>
          <cell r="AB69">
            <v>0</v>
          </cell>
          <cell r="AC69">
            <v>0</v>
          </cell>
          <cell r="AD69">
            <v>0</v>
          </cell>
          <cell r="AE69">
            <v>0</v>
          </cell>
          <cell r="AF69">
            <v>0</v>
          </cell>
          <cell r="AG69">
            <v>0</v>
          </cell>
          <cell r="AH69">
            <v>5.7956933975219727</v>
          </cell>
          <cell r="AI69">
            <v>18.874753952026367</v>
          </cell>
          <cell r="AJ69">
            <v>0</v>
          </cell>
          <cell r="AK69">
            <v>11.687675476074219</v>
          </cell>
          <cell r="AL69">
            <v>36.358123779296875</v>
          </cell>
          <cell r="AM69">
            <v>45.356094360351562</v>
          </cell>
          <cell r="AN69">
            <v>0</v>
          </cell>
          <cell r="AO69">
            <v>9.5821905136108398</v>
          </cell>
          <cell r="AP69">
            <v>50.465805053710937</v>
          </cell>
          <cell r="AQ69">
            <v>105.40409088134766</v>
          </cell>
          <cell r="AR69">
            <v>5.7956933975219727</v>
          </cell>
          <cell r="AS69">
            <v>18.18662209369317</v>
          </cell>
          <cell r="AT69">
            <v>45.356094360351562</v>
          </cell>
          <cell r="AU69">
            <v>2.2845094203948975</v>
          </cell>
          <cell r="AV69">
            <v>9.8106412887573242</v>
          </cell>
          <cell r="AW69">
            <v>50.465805053710937</v>
          </cell>
          <cell r="AX69">
            <v>107.91705322265625</v>
          </cell>
          <cell r="AY69">
            <v>18.874753952026367</v>
          </cell>
          <cell r="AZ69">
            <v>5.7175343576400977</v>
          </cell>
          <cell r="BA69">
            <v>45.356094360351562</v>
          </cell>
          <cell r="BB69">
            <v>2.2845094203948975</v>
          </cell>
          <cell r="BC69">
            <v>9.8106412887573242</v>
          </cell>
          <cell r="BD69">
            <v>50.465805053710937</v>
          </cell>
          <cell r="BE69">
            <v>107.91705322265625</v>
          </cell>
          <cell r="BF69">
            <v>24.670446395874023</v>
          </cell>
          <cell r="BG69">
            <v>-43.547313690185547</v>
          </cell>
          <cell r="BH69">
            <v>4.3743451701552045</v>
          </cell>
          <cell r="BI69">
            <v>6.6609525680541992</v>
          </cell>
          <cell r="BJ69">
            <v>21.692630767822266</v>
          </cell>
          <cell r="BK69">
            <v>0</v>
          </cell>
          <cell r="BL69">
            <v>13.43256950378418</v>
          </cell>
          <cell r="BM69">
            <v>41.786155700683594</v>
          </cell>
          <cell r="BN69">
            <v>45.356094360351562</v>
          </cell>
          <cell r="BO69">
            <v>0</v>
          </cell>
          <cell r="BP69">
            <v>2.2845094203948975</v>
          </cell>
          <cell r="BQ69">
            <v>0</v>
          </cell>
          <cell r="BR69">
            <v>0</v>
          </cell>
          <cell r="BS69">
            <v>0</v>
          </cell>
          <cell r="BT69">
            <v>50.465805053710937</v>
          </cell>
          <cell r="BU69">
            <v>0</v>
          </cell>
          <cell r="BV69">
            <v>0</v>
          </cell>
          <cell r="BW69">
            <v>9.8106412887573242</v>
          </cell>
          <cell r="BX69">
            <v>30.545822143554687</v>
          </cell>
          <cell r="BY69">
            <v>5.8123002052307129</v>
          </cell>
          <cell r="BZ69">
            <v>0</v>
          </cell>
          <cell r="CA69">
            <v>0</v>
          </cell>
          <cell r="CB69">
            <v>107.91705322265625</v>
          </cell>
          <cell r="CC69">
            <v>36.358123779296875</v>
          </cell>
          <cell r="CD69">
            <v>2.9681689579005406</v>
          </cell>
          <cell r="CE69">
            <v>-30.114744186401367</v>
          </cell>
          <cell r="CF69">
            <v>0.48946894171884597</v>
          </cell>
          <cell r="CG69">
            <v>0</v>
          </cell>
          <cell r="CH69">
            <v>0.48946894171884597</v>
          </cell>
          <cell r="CI69">
            <v>3.127422827627558E-2</v>
          </cell>
          <cell r="CJ69">
            <v>0</v>
          </cell>
          <cell r="CK69">
            <v>3.127422827627558E-2</v>
          </cell>
          <cell r="CM69">
            <v>0</v>
          </cell>
          <cell r="CO69">
            <v>0</v>
          </cell>
          <cell r="CP69">
            <v>0</v>
          </cell>
          <cell r="CQ69">
            <v>0</v>
          </cell>
          <cell r="CR69">
            <v>0</v>
          </cell>
          <cell r="CS69">
            <v>0</v>
          </cell>
          <cell r="CT69">
            <v>0</v>
          </cell>
          <cell r="CU69">
            <v>0</v>
          </cell>
          <cell r="CV69">
            <v>9999</v>
          </cell>
          <cell r="CW69">
            <v>9999</v>
          </cell>
        </row>
        <row r="70">
          <cell r="A70" t="str">
            <v>Commercial-type Water Heater (&gt;= 55 gallons, &lt;75 gallons)</v>
          </cell>
          <cell r="C70">
            <v>15</v>
          </cell>
          <cell r="D70">
            <v>51.385669708251953</v>
          </cell>
          <cell r="E70">
            <v>0</v>
          </cell>
          <cell r="F70">
            <v>19.541900634765625</v>
          </cell>
          <cell r="G70">
            <v>0</v>
          </cell>
          <cell r="H70">
            <v>0</v>
          </cell>
          <cell r="J70">
            <v>1</v>
          </cell>
          <cell r="K70">
            <v>0.60000002384185791</v>
          </cell>
          <cell r="L70">
            <v>56.047397613525391</v>
          </cell>
          <cell r="M70">
            <v>3.8388629909604788E-3</v>
          </cell>
          <cell r="N70">
            <v>6.3981045968830585E-3</v>
          </cell>
          <cell r="O70">
            <v>0</v>
          </cell>
          <cell r="P70">
            <v>0</v>
          </cell>
          <cell r="Q70">
            <v>0</v>
          </cell>
          <cell r="R70">
            <v>1.9430233240127563</v>
          </cell>
          <cell r="S70">
            <v>10.737809181213379</v>
          </cell>
          <cell r="T70">
            <v>0</v>
          </cell>
          <cell r="U70">
            <v>7.8591742515563965</v>
          </cell>
          <cell r="V70">
            <v>1.9541900157928467</v>
          </cell>
          <cell r="W70">
            <v>1.9541900157928467</v>
          </cell>
          <cell r="X70">
            <v>0</v>
          </cell>
          <cell r="Y70">
            <v>0</v>
          </cell>
          <cell r="Z70">
            <v>0</v>
          </cell>
          <cell r="AA70">
            <v>0</v>
          </cell>
          <cell r="AB70">
            <v>0</v>
          </cell>
          <cell r="AC70">
            <v>0</v>
          </cell>
          <cell r="AD70">
            <v>0</v>
          </cell>
          <cell r="AE70">
            <v>0</v>
          </cell>
          <cell r="AF70">
            <v>0</v>
          </cell>
          <cell r="AG70">
            <v>0</v>
          </cell>
          <cell r="AH70">
            <v>3.8972134590148926</v>
          </cell>
          <cell r="AI70">
            <v>12.691999435424805</v>
          </cell>
          <cell r="AJ70">
            <v>0</v>
          </cell>
          <cell r="AK70">
            <v>7.8591742515563965</v>
          </cell>
          <cell r="AL70">
            <v>24.448387145996094</v>
          </cell>
          <cell r="AM70">
            <v>30.325296401977539</v>
          </cell>
          <cell r="AN70">
            <v>0</v>
          </cell>
          <cell r="AO70">
            <v>6.4066967964172363</v>
          </cell>
          <cell r="AP70">
            <v>33.741672515869141</v>
          </cell>
          <cell r="AQ70">
            <v>70.473663330078125</v>
          </cell>
          <cell r="AR70">
            <v>3.8972134590148926</v>
          </cell>
          <cell r="AS70">
            <v>18.083091575833315</v>
          </cell>
          <cell r="AT70">
            <v>30.325296401977539</v>
          </cell>
          <cell r="AU70">
            <v>1.5274336338043213</v>
          </cell>
          <cell r="AV70">
            <v>6.5594401359558105</v>
          </cell>
          <cell r="AW70">
            <v>33.741672515869141</v>
          </cell>
          <cell r="AX70">
            <v>72.153839111328125</v>
          </cell>
          <cell r="AY70">
            <v>12.691999435424805</v>
          </cell>
          <cell r="AZ70">
            <v>5.6849863892700512</v>
          </cell>
          <cell r="BA70">
            <v>30.325296401977539</v>
          </cell>
          <cell r="BB70">
            <v>1.5274336338043213</v>
          </cell>
          <cell r="BC70">
            <v>6.5594401359558105</v>
          </cell>
          <cell r="BD70">
            <v>33.741672515869141</v>
          </cell>
          <cell r="BE70">
            <v>72.153839111328125</v>
          </cell>
          <cell r="BF70">
            <v>16.589212417602539</v>
          </cell>
          <cell r="BG70">
            <v>-43.384979248046875</v>
          </cell>
          <cell r="BH70">
            <v>4.3494435029689225</v>
          </cell>
          <cell r="BI70">
            <v>6.6990880966186523</v>
          </cell>
          <cell r="BJ70">
            <v>21.816823959350586</v>
          </cell>
          <cell r="BK70">
            <v>0</v>
          </cell>
          <cell r="BL70">
            <v>13.50947380065918</v>
          </cell>
          <cell r="BM70">
            <v>42.025386810302734</v>
          </cell>
          <cell r="BN70">
            <v>30.325296401977539</v>
          </cell>
          <cell r="BO70">
            <v>0</v>
          </cell>
          <cell r="BP70">
            <v>1.5274336338043213</v>
          </cell>
          <cell r="BQ70">
            <v>0</v>
          </cell>
          <cell r="BR70">
            <v>0</v>
          </cell>
          <cell r="BS70">
            <v>0</v>
          </cell>
          <cell r="BT70">
            <v>33.741672515869141</v>
          </cell>
          <cell r="BU70">
            <v>0</v>
          </cell>
          <cell r="BV70">
            <v>0</v>
          </cell>
          <cell r="BW70">
            <v>6.5594401359558105</v>
          </cell>
          <cell r="BX70">
            <v>20.540006637573242</v>
          </cell>
          <cell r="BY70">
            <v>3.9083800315856934</v>
          </cell>
          <cell r="BZ70">
            <v>0</v>
          </cell>
          <cell r="CA70">
            <v>0</v>
          </cell>
          <cell r="CB70">
            <v>72.153839111328125</v>
          </cell>
          <cell r="CC70">
            <v>24.448387145996094</v>
          </cell>
          <cell r="CD70">
            <v>2.9512721499381054</v>
          </cell>
          <cell r="CE70">
            <v>-29.875505447387695</v>
          </cell>
          <cell r="CF70">
            <v>0.3272612110329492</v>
          </cell>
          <cell r="CG70">
            <v>0</v>
          </cell>
          <cell r="CH70">
            <v>0.3272612110329492</v>
          </cell>
          <cell r="CI70">
            <v>2.0910094487044718E-2</v>
          </cell>
          <cell r="CJ70">
            <v>0</v>
          </cell>
          <cell r="CK70">
            <v>2.0910094487044718E-2</v>
          </cell>
          <cell r="CM70">
            <v>0</v>
          </cell>
          <cell r="CO70">
            <v>0</v>
          </cell>
          <cell r="CP70">
            <v>0</v>
          </cell>
          <cell r="CQ70">
            <v>0</v>
          </cell>
          <cell r="CR70">
            <v>0</v>
          </cell>
          <cell r="CS70">
            <v>0</v>
          </cell>
          <cell r="CT70">
            <v>0</v>
          </cell>
          <cell r="CU70">
            <v>0</v>
          </cell>
          <cell r="CV70">
            <v>9999</v>
          </cell>
          <cell r="CW70">
            <v>9999</v>
          </cell>
        </row>
        <row r="71">
          <cell r="A71" t="str">
            <v>Residential-type Water Heater (&gt;= 75 gallons, &lt;100 gallons)</v>
          </cell>
          <cell r="C71">
            <v>15</v>
          </cell>
          <cell r="D71">
            <v>204.23660278320312</v>
          </cell>
          <cell r="E71">
            <v>0</v>
          </cell>
          <cell r="F71">
            <v>78.557296752929688</v>
          </cell>
          <cell r="G71">
            <v>0</v>
          </cell>
          <cell r="H71">
            <v>0</v>
          </cell>
          <cell r="J71">
            <v>1</v>
          </cell>
          <cell r="K71">
            <v>0.60000002384185791</v>
          </cell>
          <cell r="L71">
            <v>222.76502990722656</v>
          </cell>
          <cell r="M71">
            <v>1.5257879160344601E-2</v>
          </cell>
          <cell r="N71">
            <v>2.5429798290133476E-2</v>
          </cell>
          <cell r="O71">
            <v>0</v>
          </cell>
          <cell r="P71">
            <v>0</v>
          </cell>
          <cell r="Q71">
            <v>0</v>
          </cell>
          <cell r="R71">
            <v>7.8108406066894531</v>
          </cell>
          <cell r="S71">
            <v>43.165367126464844</v>
          </cell>
          <cell r="T71">
            <v>0</v>
          </cell>
          <cell r="U71">
            <v>31.593421936035156</v>
          </cell>
          <cell r="V71">
            <v>7.8557300567626953</v>
          </cell>
          <cell r="W71">
            <v>7.8557300567626953</v>
          </cell>
          <cell r="X71">
            <v>0</v>
          </cell>
          <cell r="Y71">
            <v>0</v>
          </cell>
          <cell r="Z71">
            <v>0</v>
          </cell>
          <cell r="AA71">
            <v>0</v>
          </cell>
          <cell r="AB71">
            <v>0</v>
          </cell>
          <cell r="AC71">
            <v>0</v>
          </cell>
          <cell r="AD71">
            <v>0</v>
          </cell>
          <cell r="AE71">
            <v>0</v>
          </cell>
          <cell r="AF71">
            <v>0</v>
          </cell>
          <cell r="AG71">
            <v>0</v>
          </cell>
          <cell r="AH71">
            <v>15.666570663452148</v>
          </cell>
          <cell r="AI71">
            <v>51.021095275878906</v>
          </cell>
          <cell r="AJ71">
            <v>0</v>
          </cell>
          <cell r="AK71">
            <v>31.593421936035156</v>
          </cell>
          <cell r="AL71">
            <v>98.281082153320313</v>
          </cell>
          <cell r="AM71">
            <v>120.53040313720703</v>
          </cell>
          <cell r="AN71">
            <v>0</v>
          </cell>
          <cell r="AO71">
            <v>25.463947296142578</v>
          </cell>
          <cell r="AP71">
            <v>134.10906982421875</v>
          </cell>
          <cell r="AQ71">
            <v>280.10342407226562</v>
          </cell>
          <cell r="AR71">
            <v>15.666570663452148</v>
          </cell>
          <cell r="AS71">
            <v>17.879051278976405</v>
          </cell>
          <cell r="AT71">
            <v>120.53040313720703</v>
          </cell>
          <cell r="AU71">
            <v>6.0709118843078613</v>
          </cell>
          <cell r="AV71">
            <v>26.071039199829102</v>
          </cell>
          <cell r="AW71">
            <v>134.10906982421875</v>
          </cell>
          <cell r="AX71">
            <v>286.78143310546875</v>
          </cell>
          <cell r="AY71">
            <v>51.021095275878906</v>
          </cell>
          <cell r="AZ71">
            <v>5.6208400030220842</v>
          </cell>
          <cell r="BA71">
            <v>120.53040313720703</v>
          </cell>
          <cell r="BB71">
            <v>6.0709118843078613</v>
          </cell>
          <cell r="BC71">
            <v>26.071039199829102</v>
          </cell>
          <cell r="BD71">
            <v>134.10906982421875</v>
          </cell>
          <cell r="BE71">
            <v>286.78143310546875</v>
          </cell>
          <cell r="BF71">
            <v>66.687667846679688</v>
          </cell>
          <cell r="BG71">
            <v>-43.059547424316406</v>
          </cell>
          <cell r="BH71">
            <v>4.3003666690653555</v>
          </cell>
          <cell r="BI71">
            <v>6.7755393981933594</v>
          </cell>
          <cell r="BJ71">
            <v>22.065801620483398</v>
          </cell>
          <cell r="BK71">
            <v>0</v>
          </cell>
          <cell r="BL71">
            <v>13.66364574432373</v>
          </cell>
          <cell r="BM71">
            <v>42.504985809326172</v>
          </cell>
          <cell r="BN71">
            <v>120.53040313720703</v>
          </cell>
          <cell r="BO71">
            <v>0</v>
          </cell>
          <cell r="BP71">
            <v>6.0709118843078613</v>
          </cell>
          <cell r="BQ71">
            <v>0</v>
          </cell>
          <cell r="BR71">
            <v>0</v>
          </cell>
          <cell r="BS71">
            <v>0</v>
          </cell>
          <cell r="BT71">
            <v>134.10906982421875</v>
          </cell>
          <cell r="BU71">
            <v>0</v>
          </cell>
          <cell r="BV71">
            <v>0</v>
          </cell>
          <cell r="BW71">
            <v>26.071039199829102</v>
          </cell>
          <cell r="BX71">
            <v>82.569625854492187</v>
          </cell>
          <cell r="BY71">
            <v>15.711460113525391</v>
          </cell>
          <cell r="BZ71">
            <v>0</v>
          </cell>
          <cell r="CA71">
            <v>0</v>
          </cell>
          <cell r="CB71">
            <v>286.78143310546875</v>
          </cell>
          <cell r="CC71">
            <v>98.281082153320313</v>
          </cell>
          <cell r="CD71">
            <v>2.9179716648520402</v>
          </cell>
          <cell r="CE71">
            <v>-29.395902633666992</v>
          </cell>
          <cell r="CF71">
            <v>1.3007268403673606</v>
          </cell>
          <cell r="CG71">
            <v>0</v>
          </cell>
          <cell r="CH71">
            <v>1.3007268403673606</v>
          </cell>
          <cell r="CI71">
            <v>8.3108905721119369E-2</v>
          </cell>
          <cell r="CJ71">
            <v>0</v>
          </cell>
          <cell r="CK71">
            <v>8.3108905721119369E-2</v>
          </cell>
          <cell r="CM71">
            <v>0</v>
          </cell>
          <cell r="CO71">
            <v>0</v>
          </cell>
          <cell r="CP71">
            <v>0</v>
          </cell>
          <cell r="CQ71">
            <v>0</v>
          </cell>
          <cell r="CR71">
            <v>0</v>
          </cell>
          <cell r="CS71">
            <v>0</v>
          </cell>
          <cell r="CT71">
            <v>0</v>
          </cell>
          <cell r="CU71">
            <v>0</v>
          </cell>
          <cell r="CV71">
            <v>9999</v>
          </cell>
          <cell r="CW71">
            <v>9999</v>
          </cell>
        </row>
        <row r="72">
          <cell r="A72" t="str">
            <v>Residential-type Water Heater (&gt;= 55 gallons, &lt;75 gallons)</v>
          </cell>
          <cell r="C72">
            <v>15</v>
          </cell>
          <cell r="D72">
            <v>217.11112976074219</v>
          </cell>
          <cell r="E72">
            <v>0</v>
          </cell>
          <cell r="F72">
            <v>85.10369873046875</v>
          </cell>
          <cell r="G72">
            <v>0</v>
          </cell>
          <cell r="H72">
            <v>0</v>
          </cell>
          <cell r="J72">
            <v>1</v>
          </cell>
          <cell r="K72">
            <v>0.60000008344650269</v>
          </cell>
          <cell r="L72">
            <v>236.80754089355469</v>
          </cell>
          <cell r="M72">
            <v>1.6219696030020714E-2</v>
          </cell>
          <cell r="N72">
            <v>2.7032824233174324E-2</v>
          </cell>
          <cell r="O72">
            <v>0</v>
          </cell>
          <cell r="P72">
            <v>0</v>
          </cell>
          <cell r="Q72">
            <v>0</v>
          </cell>
          <cell r="R72">
            <v>8.4617395401000977</v>
          </cell>
          <cell r="S72">
            <v>46.762458801269531</v>
          </cell>
          <cell r="T72">
            <v>0</v>
          </cell>
          <cell r="U72">
            <v>34.226192474365234</v>
          </cell>
          <cell r="V72">
            <v>8.5103702545166016</v>
          </cell>
          <cell r="W72">
            <v>8.5103702545166016</v>
          </cell>
          <cell r="X72">
            <v>0</v>
          </cell>
          <cell r="Y72">
            <v>0</v>
          </cell>
          <cell r="Z72">
            <v>0</v>
          </cell>
          <cell r="AA72">
            <v>0</v>
          </cell>
          <cell r="AB72">
            <v>0</v>
          </cell>
          <cell r="AC72">
            <v>0</v>
          </cell>
          <cell r="AD72">
            <v>0</v>
          </cell>
          <cell r="AE72">
            <v>0</v>
          </cell>
          <cell r="AF72">
            <v>0</v>
          </cell>
          <cell r="AG72">
            <v>0</v>
          </cell>
          <cell r="AH72">
            <v>16.972110748291016</v>
          </cell>
          <cell r="AI72">
            <v>55.2728271484375</v>
          </cell>
          <cell r="AJ72">
            <v>0</v>
          </cell>
          <cell r="AK72">
            <v>34.226192474365234</v>
          </cell>
          <cell r="AL72">
            <v>106.47113037109375</v>
          </cell>
          <cell r="AM72">
            <v>128.12832641601562</v>
          </cell>
          <cell r="AN72">
            <v>0</v>
          </cell>
          <cell r="AO72">
            <v>27.069126129150391</v>
          </cell>
          <cell r="AP72">
            <v>142.56294250488281</v>
          </cell>
          <cell r="AQ72">
            <v>297.76040649414062</v>
          </cell>
          <cell r="AR72">
            <v>16.972110748291016</v>
          </cell>
          <cell r="AS72">
            <v>17.544100212249038</v>
          </cell>
          <cell r="AT72">
            <v>128.12832641601562</v>
          </cell>
          <cell r="AU72">
            <v>6.4536056518554687</v>
          </cell>
          <cell r="AV72">
            <v>27.714487075805664</v>
          </cell>
          <cell r="AW72">
            <v>142.56294250488281</v>
          </cell>
          <cell r="AX72">
            <v>304.859375</v>
          </cell>
          <cell r="AY72">
            <v>55.2728271484375</v>
          </cell>
          <cell r="AZ72">
            <v>5.5155375047090329</v>
          </cell>
          <cell r="BA72">
            <v>128.12832641601562</v>
          </cell>
          <cell r="BB72">
            <v>6.4536056518554687</v>
          </cell>
          <cell r="BC72">
            <v>27.714487075805664</v>
          </cell>
          <cell r="BD72">
            <v>142.56294250488281</v>
          </cell>
          <cell r="BE72">
            <v>304.859375</v>
          </cell>
          <cell r="BF72">
            <v>72.244941711425781</v>
          </cell>
          <cell r="BG72">
            <v>-42.508907318115234</v>
          </cell>
          <cell r="BH72">
            <v>4.2198023349404457</v>
          </cell>
          <cell r="BI72">
            <v>6.9048986434936523</v>
          </cell>
          <cell r="BJ72">
            <v>22.487083435058594</v>
          </cell>
          <cell r="BK72">
            <v>0</v>
          </cell>
          <cell r="BL72">
            <v>13.92451286315918</v>
          </cell>
          <cell r="BM72">
            <v>43.316497802734375</v>
          </cell>
          <cell r="BN72">
            <v>128.12832641601562</v>
          </cell>
          <cell r="BO72">
            <v>0</v>
          </cell>
          <cell r="BP72">
            <v>6.4536056518554687</v>
          </cell>
          <cell r="BQ72">
            <v>0</v>
          </cell>
          <cell r="BR72">
            <v>0</v>
          </cell>
          <cell r="BS72">
            <v>0</v>
          </cell>
          <cell r="BT72">
            <v>142.56294250488281</v>
          </cell>
          <cell r="BU72">
            <v>0</v>
          </cell>
          <cell r="BV72">
            <v>0</v>
          </cell>
          <cell r="BW72">
            <v>27.714487075805664</v>
          </cell>
          <cell r="BX72">
            <v>89.450393676757813</v>
          </cell>
          <cell r="BY72">
            <v>17.020740509033203</v>
          </cell>
          <cell r="BZ72">
            <v>0</v>
          </cell>
          <cell r="CA72">
            <v>0</v>
          </cell>
          <cell r="CB72">
            <v>304.859375</v>
          </cell>
          <cell r="CC72">
            <v>106.47113037109375</v>
          </cell>
          <cell r="CD72">
            <v>2.8633052890803548</v>
          </cell>
          <cell r="CE72">
            <v>-28.584392547607422</v>
          </cell>
          <cell r="CF72">
            <v>1.3827211758693838</v>
          </cell>
          <cell r="CG72">
            <v>0</v>
          </cell>
          <cell r="CH72">
            <v>1.3827211758693838</v>
          </cell>
          <cell r="CI72">
            <v>8.8347868497484064E-2</v>
          </cell>
          <cell r="CJ72">
            <v>0</v>
          </cell>
          <cell r="CK72">
            <v>8.8347868497484064E-2</v>
          </cell>
          <cell r="CM72">
            <v>0</v>
          </cell>
          <cell r="CO72">
            <v>0</v>
          </cell>
          <cell r="CP72">
            <v>0</v>
          </cell>
          <cell r="CQ72">
            <v>0</v>
          </cell>
          <cell r="CR72">
            <v>0</v>
          </cell>
          <cell r="CS72">
            <v>0</v>
          </cell>
          <cell r="CT72">
            <v>0</v>
          </cell>
          <cell r="CU72">
            <v>0</v>
          </cell>
          <cell r="CV72">
            <v>9999</v>
          </cell>
          <cell r="CW72">
            <v>9999</v>
          </cell>
        </row>
        <row r="73">
          <cell r="A73" t="str">
            <v>Commercial-type Water Heater (&gt;= 45 gallons, &lt;55 gallons)</v>
          </cell>
          <cell r="C73">
            <v>15</v>
          </cell>
          <cell r="D73">
            <v>86.771713256835938</v>
          </cell>
          <cell r="E73">
            <v>0</v>
          </cell>
          <cell r="F73">
            <v>34.434398651123047</v>
          </cell>
          <cell r="G73">
            <v>0</v>
          </cell>
          <cell r="H73">
            <v>0</v>
          </cell>
          <cell r="J73">
            <v>1</v>
          </cell>
          <cell r="K73">
            <v>0.59999996423721313</v>
          </cell>
          <cell r="L73">
            <v>94.643669128417969</v>
          </cell>
          <cell r="M73">
            <v>6.4824433065950871E-3</v>
          </cell>
          <cell r="N73">
            <v>1.0804072022438049E-2</v>
          </cell>
          <cell r="O73">
            <v>0</v>
          </cell>
          <cell r="P73">
            <v>0</v>
          </cell>
          <cell r="Q73">
            <v>0</v>
          </cell>
          <cell r="R73">
            <v>3.4237632751464844</v>
          </cell>
          <cell r="S73">
            <v>18.920883178710937</v>
          </cell>
          <cell r="T73">
            <v>0</v>
          </cell>
          <cell r="U73">
            <v>13.84849739074707</v>
          </cell>
          <cell r="V73">
            <v>3.4434399604797363</v>
          </cell>
          <cell r="W73">
            <v>3.4434399604797363</v>
          </cell>
          <cell r="X73">
            <v>0</v>
          </cell>
          <cell r="Y73">
            <v>0</v>
          </cell>
          <cell r="Z73">
            <v>0</v>
          </cell>
          <cell r="AA73">
            <v>0</v>
          </cell>
          <cell r="AB73">
            <v>0</v>
          </cell>
          <cell r="AC73">
            <v>0</v>
          </cell>
          <cell r="AD73">
            <v>0</v>
          </cell>
          <cell r="AE73">
            <v>0</v>
          </cell>
          <cell r="AF73">
            <v>0</v>
          </cell>
          <cell r="AG73">
            <v>0</v>
          </cell>
          <cell r="AH73">
            <v>6.8672032356262207</v>
          </cell>
          <cell r="AI73">
            <v>22.364322662353516</v>
          </cell>
          <cell r="AJ73">
            <v>0</v>
          </cell>
          <cell r="AK73">
            <v>13.84849739074707</v>
          </cell>
          <cell r="AL73">
            <v>43.080024719238281</v>
          </cell>
          <cell r="AM73">
            <v>51.208396911621094</v>
          </cell>
          <cell r="AN73">
            <v>0</v>
          </cell>
          <cell r="AO73">
            <v>10.818581581115723</v>
          </cell>
          <cell r="AP73">
            <v>56.9774169921875</v>
          </cell>
          <cell r="AQ73">
            <v>119.00439453125</v>
          </cell>
          <cell r="AR73">
            <v>6.8672032356262207</v>
          </cell>
          <cell r="AS73">
            <v>17.329383069303073</v>
          </cell>
          <cell r="AT73">
            <v>51.208396911621094</v>
          </cell>
          <cell r="AU73">
            <v>2.5792796611785889</v>
          </cell>
          <cell r="AV73">
            <v>11.076509475708008</v>
          </cell>
          <cell r="AW73">
            <v>56.9774169921875</v>
          </cell>
          <cell r="AX73">
            <v>121.84160614013672</v>
          </cell>
          <cell r="AY73">
            <v>22.364322662353516</v>
          </cell>
          <cell r="AZ73">
            <v>5.4480344556989095</v>
          </cell>
          <cell r="BA73">
            <v>51.208396911621094</v>
          </cell>
          <cell r="BB73">
            <v>2.5792796611785889</v>
          </cell>
          <cell r="BC73">
            <v>11.076509475708008</v>
          </cell>
          <cell r="BD73">
            <v>56.9774169921875</v>
          </cell>
          <cell r="BE73">
            <v>121.84160614013672</v>
          </cell>
          <cell r="BF73">
            <v>29.231525421142578</v>
          </cell>
          <cell r="BG73">
            <v>-42.144737243652344</v>
          </cell>
          <cell r="BH73">
            <v>4.1681574023333363</v>
          </cell>
          <cell r="BI73">
            <v>6.9904522895812988</v>
          </cell>
          <cell r="BJ73">
            <v>22.765707015991211</v>
          </cell>
          <cell r="BK73">
            <v>0</v>
          </cell>
          <cell r="BL73">
            <v>14.097043037414551</v>
          </cell>
          <cell r="BM73">
            <v>43.853202819824219</v>
          </cell>
          <cell r="BN73">
            <v>51.208396911621094</v>
          </cell>
          <cell r="BO73">
            <v>0</v>
          </cell>
          <cell r="BP73">
            <v>2.5792796611785889</v>
          </cell>
          <cell r="BQ73">
            <v>0</v>
          </cell>
          <cell r="BR73">
            <v>0</v>
          </cell>
          <cell r="BS73">
            <v>0</v>
          </cell>
          <cell r="BT73">
            <v>56.9774169921875</v>
          </cell>
          <cell r="BU73">
            <v>0</v>
          </cell>
          <cell r="BV73">
            <v>0</v>
          </cell>
          <cell r="BW73">
            <v>11.076509475708008</v>
          </cell>
          <cell r="BX73">
            <v>36.193145751953125</v>
          </cell>
          <cell r="BY73">
            <v>6.8868799209594727</v>
          </cell>
          <cell r="BZ73">
            <v>0</v>
          </cell>
          <cell r="CA73">
            <v>0</v>
          </cell>
          <cell r="CB73">
            <v>121.84160614013672</v>
          </cell>
          <cell r="CC73">
            <v>43.080024719238281</v>
          </cell>
          <cell r="CD73">
            <v>2.828262080570334</v>
          </cell>
          <cell r="CE73">
            <v>-28.047691345214844</v>
          </cell>
          <cell r="CF73">
            <v>0.55262518135791272</v>
          </cell>
          <cell r="CG73">
            <v>0</v>
          </cell>
          <cell r="CH73">
            <v>0.55262518135791272</v>
          </cell>
          <cell r="CI73">
            <v>3.5309545917895958E-2</v>
          </cell>
          <cell r="CJ73">
            <v>0</v>
          </cell>
          <cell r="CK73">
            <v>3.5309545917895958E-2</v>
          </cell>
          <cell r="CM73">
            <v>0</v>
          </cell>
          <cell r="CO73">
            <v>0</v>
          </cell>
          <cell r="CP73">
            <v>0</v>
          </cell>
          <cell r="CQ73">
            <v>0</v>
          </cell>
          <cell r="CR73">
            <v>0</v>
          </cell>
          <cell r="CS73">
            <v>0</v>
          </cell>
          <cell r="CT73">
            <v>0</v>
          </cell>
          <cell r="CU73">
            <v>0</v>
          </cell>
          <cell r="CV73">
            <v>9999</v>
          </cell>
          <cell r="CW73">
            <v>9999</v>
          </cell>
        </row>
        <row r="74">
          <cell r="A74" t="str">
            <v>Commercial-type Water Heater (&gt;= 35 gallons, &lt;45 gallons)</v>
          </cell>
          <cell r="C74">
            <v>15</v>
          </cell>
          <cell r="D74">
            <v>51.385669708251953</v>
          </cell>
          <cell r="E74">
            <v>0</v>
          </cell>
          <cell r="F74">
            <v>20.591100692749023</v>
          </cell>
          <cell r="G74">
            <v>0</v>
          </cell>
          <cell r="H74">
            <v>0</v>
          </cell>
          <cell r="J74">
            <v>1</v>
          </cell>
          <cell r="K74">
            <v>0.60000002384185791</v>
          </cell>
          <cell r="L74">
            <v>56.047397613525391</v>
          </cell>
          <cell r="M74">
            <v>3.8388629909604788E-3</v>
          </cell>
          <cell r="N74">
            <v>6.3981045968830585E-3</v>
          </cell>
          <cell r="O74">
            <v>0</v>
          </cell>
          <cell r="P74">
            <v>0</v>
          </cell>
          <cell r="Q74">
            <v>0</v>
          </cell>
          <cell r="R74">
            <v>2.0473437309265137</v>
          </cell>
          <cell r="S74">
            <v>11.314319610595703</v>
          </cell>
          <cell r="T74">
            <v>0</v>
          </cell>
          <cell r="U74">
            <v>8.2811317443847656</v>
          </cell>
          <cell r="V74">
            <v>2.0591099262237549</v>
          </cell>
          <cell r="W74">
            <v>2.0591099262237549</v>
          </cell>
          <cell r="X74">
            <v>0</v>
          </cell>
          <cell r="Y74">
            <v>0</v>
          </cell>
          <cell r="Z74">
            <v>0</v>
          </cell>
          <cell r="AA74">
            <v>0</v>
          </cell>
          <cell r="AB74">
            <v>0</v>
          </cell>
          <cell r="AC74">
            <v>0</v>
          </cell>
          <cell r="AD74">
            <v>0</v>
          </cell>
          <cell r="AE74">
            <v>0</v>
          </cell>
          <cell r="AF74">
            <v>0</v>
          </cell>
          <cell r="AG74">
            <v>0</v>
          </cell>
          <cell r="AH74">
            <v>4.1064538955688477</v>
          </cell>
          <cell r="AI74">
            <v>13.373429298400879</v>
          </cell>
          <cell r="AJ74">
            <v>0</v>
          </cell>
          <cell r="AK74">
            <v>8.2811317443847656</v>
          </cell>
          <cell r="AL74">
            <v>25.761014938354492</v>
          </cell>
          <cell r="AM74">
            <v>30.325296401977539</v>
          </cell>
          <cell r="AN74">
            <v>0</v>
          </cell>
          <cell r="AO74">
            <v>6.4066967964172363</v>
          </cell>
          <cell r="AP74">
            <v>33.741672515869141</v>
          </cell>
          <cell r="AQ74">
            <v>70.473663330078125</v>
          </cell>
          <cell r="AR74">
            <v>4.1064538955688477</v>
          </cell>
          <cell r="AS74">
            <v>17.161685385528035</v>
          </cell>
          <cell r="AT74">
            <v>30.325296401977539</v>
          </cell>
          <cell r="AU74">
            <v>1.5274336338043213</v>
          </cell>
          <cell r="AV74">
            <v>6.5594401359558105</v>
          </cell>
          <cell r="AW74">
            <v>33.741672515869141</v>
          </cell>
          <cell r="AX74">
            <v>72.153839111328125</v>
          </cell>
          <cell r="AY74">
            <v>13.373429298400879</v>
          </cell>
          <cell r="AZ74">
            <v>5.395313332975233</v>
          </cell>
          <cell r="BA74">
            <v>30.325296401977539</v>
          </cell>
          <cell r="BB74">
            <v>1.5274336338043213</v>
          </cell>
          <cell r="BC74">
            <v>6.5594401359558105</v>
          </cell>
          <cell r="BD74">
            <v>33.741672515869141</v>
          </cell>
          <cell r="BE74">
            <v>72.153839111328125</v>
          </cell>
          <cell r="BF74">
            <v>17.479883193969727</v>
          </cell>
          <cell r="BG74">
            <v>-41.853965759277344</v>
          </cell>
          <cell r="BH74">
            <v>4.127821787304546</v>
          </cell>
          <cell r="BI74">
            <v>7.0587611198425293</v>
          </cell>
          <cell r="BJ74">
            <v>22.988164901733398</v>
          </cell>
          <cell r="BK74">
            <v>0</v>
          </cell>
          <cell r="BL74">
            <v>14.234794616699219</v>
          </cell>
          <cell r="BM74">
            <v>44.281723022460937</v>
          </cell>
          <cell r="BN74">
            <v>30.325296401977539</v>
          </cell>
          <cell r="BO74">
            <v>0</v>
          </cell>
          <cell r="BP74">
            <v>1.5274336338043213</v>
          </cell>
          <cell r="BQ74">
            <v>0</v>
          </cell>
          <cell r="BR74">
            <v>0</v>
          </cell>
          <cell r="BS74">
            <v>0</v>
          </cell>
          <cell r="BT74">
            <v>33.741672515869141</v>
          </cell>
          <cell r="BU74">
            <v>0</v>
          </cell>
          <cell r="BV74">
            <v>0</v>
          </cell>
          <cell r="BW74">
            <v>6.5594401359558105</v>
          </cell>
          <cell r="BX74">
            <v>21.642795562744141</v>
          </cell>
          <cell r="BY74">
            <v>4.1182198524475098</v>
          </cell>
          <cell r="BZ74">
            <v>0</v>
          </cell>
          <cell r="CA74">
            <v>0</v>
          </cell>
          <cell r="CB74">
            <v>72.153839111328125</v>
          </cell>
          <cell r="CC74">
            <v>25.761014938354492</v>
          </cell>
          <cell r="CD74">
            <v>2.8008928035133516</v>
          </cell>
          <cell r="CE74">
            <v>-27.619171142578125</v>
          </cell>
          <cell r="CF74">
            <v>0.3272612110329492</v>
          </cell>
          <cell r="CG74">
            <v>0</v>
          </cell>
          <cell r="CH74">
            <v>0.3272612110329492</v>
          </cell>
          <cell r="CI74">
            <v>2.0910094487044718E-2</v>
          </cell>
          <cell r="CJ74">
            <v>0</v>
          </cell>
          <cell r="CK74">
            <v>2.0910094487044718E-2</v>
          </cell>
          <cell r="CM74">
            <v>0</v>
          </cell>
          <cell r="CO74">
            <v>0</v>
          </cell>
          <cell r="CP74">
            <v>0</v>
          </cell>
          <cell r="CQ74">
            <v>0</v>
          </cell>
          <cell r="CR74">
            <v>0</v>
          </cell>
          <cell r="CS74">
            <v>0</v>
          </cell>
          <cell r="CT74">
            <v>0</v>
          </cell>
          <cell r="CU74">
            <v>0</v>
          </cell>
          <cell r="CV74">
            <v>9999</v>
          </cell>
          <cell r="CW74">
            <v>9999</v>
          </cell>
        </row>
        <row r="75">
          <cell r="A75" t="str">
            <v>Residential-type Water Heater (&gt;= 45 gallons, &lt;55 gallons_EF0.94+)</v>
          </cell>
          <cell r="C75">
            <v>14.999999046325684</v>
          </cell>
          <cell r="D75">
            <v>137.39491271972656</v>
          </cell>
          <cell r="E75">
            <v>0</v>
          </cell>
          <cell r="F75">
            <v>56.451198577880859</v>
          </cell>
          <cell r="G75">
            <v>0</v>
          </cell>
          <cell r="H75">
            <v>0</v>
          </cell>
          <cell r="J75">
            <v>1</v>
          </cell>
          <cell r="K75">
            <v>0.60000002384185791</v>
          </cell>
          <cell r="L75">
            <v>149.85942077636719</v>
          </cell>
          <cell r="M75">
            <v>1.0264343582093716E-2</v>
          </cell>
          <cell r="N75">
            <v>1.7107238993048668E-2</v>
          </cell>
          <cell r="O75">
            <v>0</v>
          </cell>
          <cell r="P75">
            <v>0</v>
          </cell>
          <cell r="Q75">
            <v>0</v>
          </cell>
          <cell r="R75">
            <v>5.6128625869750977</v>
          </cell>
          <cell r="S75">
            <v>31.018590927124023</v>
          </cell>
          <cell r="T75">
            <v>0</v>
          </cell>
          <cell r="U75">
            <v>22.7030029296875</v>
          </cell>
          <cell r="V75">
            <v>5.6451201438903809</v>
          </cell>
          <cell r="W75">
            <v>5.6451201438903809</v>
          </cell>
          <cell r="X75">
            <v>0</v>
          </cell>
          <cell r="Y75">
            <v>0</v>
          </cell>
          <cell r="Z75">
            <v>0</v>
          </cell>
          <cell r="AA75">
            <v>0</v>
          </cell>
          <cell r="AB75">
            <v>0</v>
          </cell>
          <cell r="AC75">
            <v>0</v>
          </cell>
          <cell r="AD75">
            <v>0</v>
          </cell>
          <cell r="AE75">
            <v>0</v>
          </cell>
          <cell r="AF75">
            <v>0</v>
          </cell>
          <cell r="AG75">
            <v>0</v>
          </cell>
          <cell r="AH75">
            <v>11.25798225402832</v>
          </cell>
          <cell r="AI75">
            <v>36.663711547851563</v>
          </cell>
          <cell r="AJ75">
            <v>0</v>
          </cell>
          <cell r="AK75">
            <v>22.7030029296875</v>
          </cell>
          <cell r="AL75">
            <v>70.62469482421875</v>
          </cell>
          <cell r="AM75">
            <v>81.083717346191406</v>
          </cell>
          <cell r="AN75">
            <v>0</v>
          </cell>
          <cell r="AO75">
            <v>17.130214691162109</v>
          </cell>
          <cell r="AP75">
            <v>90.218429565429688</v>
          </cell>
          <cell r="AQ75">
            <v>188.43235778808594</v>
          </cell>
          <cell r="AR75">
            <v>11.25798225402832</v>
          </cell>
          <cell r="AS75">
            <v>16.737666605773619</v>
          </cell>
          <cell r="AT75">
            <v>81.083717346191406</v>
          </cell>
          <cell r="AU75">
            <v>4.0840487480163574</v>
          </cell>
          <cell r="AV75">
            <v>17.538619995117187</v>
          </cell>
          <cell r="AW75">
            <v>90.218429565429688</v>
          </cell>
          <cell r="AX75">
            <v>192.92481994628906</v>
          </cell>
          <cell r="AY75">
            <v>36.663711547851563</v>
          </cell>
          <cell r="AZ75">
            <v>5.2620100371475251</v>
          </cell>
          <cell r="BA75">
            <v>81.083717346191406</v>
          </cell>
          <cell r="BB75">
            <v>4.0840487480163574</v>
          </cell>
          <cell r="BC75">
            <v>17.538619995117187</v>
          </cell>
          <cell r="BD75">
            <v>90.218429565429688</v>
          </cell>
          <cell r="BE75">
            <v>192.92481994628906</v>
          </cell>
          <cell r="BF75">
            <v>47.92169189453125</v>
          </cell>
          <cell r="BG75">
            <v>-41.092792510986328</v>
          </cell>
          <cell r="BH75">
            <v>4.025834655435041</v>
          </cell>
          <cell r="BI75">
            <v>7.237581729888916</v>
          </cell>
          <cell r="BJ75">
            <v>23.570529937744141</v>
          </cell>
          <cell r="BK75">
            <v>0</v>
          </cell>
          <cell r="BL75">
            <v>14.59540843963623</v>
          </cell>
          <cell r="BM75">
            <v>45.403518676757813</v>
          </cell>
          <cell r="BN75">
            <v>81.083717346191406</v>
          </cell>
          <cell r="BO75">
            <v>0</v>
          </cell>
          <cell r="BP75">
            <v>4.0840487480163574</v>
          </cell>
          <cell r="BQ75">
            <v>0</v>
          </cell>
          <cell r="BR75">
            <v>0</v>
          </cell>
          <cell r="BS75">
            <v>0</v>
          </cell>
          <cell r="BT75">
            <v>90.218429565429688</v>
          </cell>
          <cell r="BU75">
            <v>0</v>
          </cell>
          <cell r="BV75">
            <v>0</v>
          </cell>
          <cell r="BW75">
            <v>17.538619995117187</v>
          </cell>
          <cell r="BX75">
            <v>59.334457397460938</v>
          </cell>
          <cell r="BY75">
            <v>11.290240287780762</v>
          </cell>
          <cell r="BZ75">
            <v>0</v>
          </cell>
          <cell r="CA75">
            <v>0</v>
          </cell>
          <cell r="CB75">
            <v>192.92481994628906</v>
          </cell>
          <cell r="CC75">
            <v>70.62469482421875</v>
          </cell>
          <cell r="CD75">
            <v>2.7316904989041779</v>
          </cell>
          <cell r="CE75">
            <v>-26.497383117675781</v>
          </cell>
          <cell r="CF75">
            <v>0.87503041276560278</v>
          </cell>
          <cell r="CG75">
            <v>0</v>
          </cell>
          <cell r="CH75">
            <v>0.87503041276560278</v>
          </cell>
          <cell r="CI75">
            <v>5.59093714535095E-2</v>
          </cell>
          <cell r="CJ75">
            <v>0</v>
          </cell>
          <cell r="CK75">
            <v>5.59093714535095E-2</v>
          </cell>
          <cell r="CM75">
            <v>0</v>
          </cell>
          <cell r="CO75">
            <v>0</v>
          </cell>
          <cell r="CP75">
            <v>0</v>
          </cell>
          <cell r="CQ75">
            <v>0</v>
          </cell>
          <cell r="CR75">
            <v>0</v>
          </cell>
          <cell r="CS75">
            <v>0</v>
          </cell>
          <cell r="CT75">
            <v>0</v>
          </cell>
          <cell r="CU75">
            <v>0</v>
          </cell>
          <cell r="CV75">
            <v>9999</v>
          </cell>
          <cell r="CW75">
            <v>9999</v>
          </cell>
        </row>
        <row r="76">
          <cell r="A76" t="str">
            <v>Commercial-type Water Heater (&gt;= 25 gallons, &lt;35 gallons)</v>
          </cell>
          <cell r="C76">
            <v>15</v>
          </cell>
          <cell r="D76">
            <v>51.385669708251953</v>
          </cell>
          <cell r="E76">
            <v>0</v>
          </cell>
          <cell r="F76">
            <v>21.174200057983398</v>
          </cell>
          <cell r="G76">
            <v>0</v>
          </cell>
          <cell r="H76">
            <v>0</v>
          </cell>
          <cell r="J76">
            <v>1</v>
          </cell>
          <cell r="K76">
            <v>0.60000002384185791</v>
          </cell>
          <cell r="L76">
            <v>56.047397613525391</v>
          </cell>
          <cell r="M76">
            <v>3.8388629909604788E-3</v>
          </cell>
          <cell r="N76">
            <v>6.3981045968830585E-3</v>
          </cell>
          <cell r="O76">
            <v>0</v>
          </cell>
          <cell r="P76">
            <v>0</v>
          </cell>
          <cell r="Q76">
            <v>0</v>
          </cell>
          <cell r="R76">
            <v>2.1053204536437988</v>
          </cell>
          <cell r="S76">
            <v>11.634718894958496</v>
          </cell>
          <cell r="T76">
            <v>0</v>
          </cell>
          <cell r="U76">
            <v>8.5156364440917969</v>
          </cell>
          <cell r="V76">
            <v>2.117419958114624</v>
          </cell>
          <cell r="W76">
            <v>2.117419958114624</v>
          </cell>
          <cell r="X76">
            <v>0</v>
          </cell>
          <cell r="Y76">
            <v>0</v>
          </cell>
          <cell r="Z76">
            <v>0</v>
          </cell>
          <cell r="AA76">
            <v>0</v>
          </cell>
          <cell r="AB76">
            <v>0</v>
          </cell>
          <cell r="AC76">
            <v>0</v>
          </cell>
          <cell r="AD76">
            <v>0</v>
          </cell>
          <cell r="AE76">
            <v>0</v>
          </cell>
          <cell r="AF76">
            <v>0</v>
          </cell>
          <cell r="AG76">
            <v>0</v>
          </cell>
          <cell r="AH76">
            <v>4.2227401733398437</v>
          </cell>
          <cell r="AI76">
            <v>13.752139091491699</v>
          </cell>
          <cell r="AJ76">
            <v>0</v>
          </cell>
          <cell r="AK76">
            <v>8.5156364440917969</v>
          </cell>
          <cell r="AL76">
            <v>26.490516662597656</v>
          </cell>
          <cell r="AM76">
            <v>30.325296401977539</v>
          </cell>
          <cell r="AN76">
            <v>0</v>
          </cell>
          <cell r="AO76">
            <v>6.4066967964172363</v>
          </cell>
          <cell r="AP76">
            <v>33.741672515869141</v>
          </cell>
          <cell r="AQ76">
            <v>70.473663330078125</v>
          </cell>
          <cell r="AR76">
            <v>4.2227401733398437</v>
          </cell>
          <cell r="AS76">
            <v>16.68908311721616</v>
          </cell>
          <cell r="AT76">
            <v>30.325296401977539</v>
          </cell>
          <cell r="AU76">
            <v>1.5274336338043213</v>
          </cell>
          <cell r="AV76">
            <v>6.5594401359558105</v>
          </cell>
          <cell r="AW76">
            <v>33.741672515869141</v>
          </cell>
          <cell r="AX76">
            <v>72.153839111328125</v>
          </cell>
          <cell r="AY76">
            <v>13.752139091491699</v>
          </cell>
          <cell r="AZ76">
            <v>5.2467360501877831</v>
          </cell>
          <cell r="BA76">
            <v>30.325296401977539</v>
          </cell>
          <cell r="BB76">
            <v>1.5274336338043213</v>
          </cell>
          <cell r="BC76">
            <v>6.5594401359558105</v>
          </cell>
          <cell r="BD76">
            <v>33.741672515869141</v>
          </cell>
          <cell r="BE76">
            <v>72.153839111328125</v>
          </cell>
          <cell r="BF76">
            <v>17.974880218505859</v>
          </cell>
          <cell r="BG76">
            <v>-41.003097534179688</v>
          </cell>
          <cell r="BH76">
            <v>4.0141489477917238</v>
          </cell>
          <cell r="BI76">
            <v>7.2586503028869629</v>
          </cell>
          <cell r="BJ76">
            <v>23.639144897460938</v>
          </cell>
          <cell r="BK76">
            <v>0</v>
          </cell>
          <cell r="BL76">
            <v>14.637895584106445</v>
          </cell>
          <cell r="BM76">
            <v>45.535694122314453</v>
          </cell>
          <cell r="BN76">
            <v>30.325296401977539</v>
          </cell>
          <cell r="BO76">
            <v>0</v>
          </cell>
          <cell r="BP76">
            <v>1.5274336338043213</v>
          </cell>
          <cell r="BQ76">
            <v>0</v>
          </cell>
          <cell r="BR76">
            <v>0</v>
          </cell>
          <cell r="BS76">
            <v>0</v>
          </cell>
          <cell r="BT76">
            <v>33.741672515869141</v>
          </cell>
          <cell r="BU76">
            <v>0</v>
          </cell>
          <cell r="BV76">
            <v>0</v>
          </cell>
          <cell r="BW76">
            <v>6.5594401359558105</v>
          </cell>
          <cell r="BX76">
            <v>22.25567626953125</v>
          </cell>
          <cell r="BY76">
            <v>4.234839916229248</v>
          </cell>
          <cell r="BZ76">
            <v>0</v>
          </cell>
          <cell r="CA76">
            <v>0</v>
          </cell>
          <cell r="CB76">
            <v>72.153839111328125</v>
          </cell>
          <cell r="CC76">
            <v>26.490516662597656</v>
          </cell>
          <cell r="CD76">
            <v>2.7237612956138548</v>
          </cell>
          <cell r="CE76">
            <v>-26.365201950073242</v>
          </cell>
          <cell r="CF76">
            <v>0.3272612110329492</v>
          </cell>
          <cell r="CG76">
            <v>0</v>
          </cell>
          <cell r="CH76">
            <v>0.3272612110329492</v>
          </cell>
          <cell r="CI76">
            <v>2.0910094487044718E-2</v>
          </cell>
          <cell r="CJ76">
            <v>0</v>
          </cell>
          <cell r="CK76">
            <v>2.0910094487044718E-2</v>
          </cell>
          <cell r="CM76">
            <v>0</v>
          </cell>
          <cell r="CO76">
            <v>0</v>
          </cell>
          <cell r="CP76">
            <v>0</v>
          </cell>
          <cell r="CQ76">
            <v>0</v>
          </cell>
          <cell r="CR76">
            <v>0</v>
          </cell>
          <cell r="CS76">
            <v>0</v>
          </cell>
          <cell r="CT76">
            <v>0</v>
          </cell>
          <cell r="CU76">
            <v>0</v>
          </cell>
          <cell r="CV76">
            <v>9999</v>
          </cell>
          <cell r="CW76">
            <v>9999</v>
          </cell>
        </row>
        <row r="77">
          <cell r="A77" t="str">
            <v>Residential-type Water Heater (&gt;= 45 gallons, &lt;55 gallons)</v>
          </cell>
          <cell r="C77">
            <v>15</v>
          </cell>
          <cell r="D77">
            <v>162.33514404296875</v>
          </cell>
          <cell r="E77">
            <v>0</v>
          </cell>
          <cell r="F77">
            <v>67.015800476074219</v>
          </cell>
          <cell r="G77">
            <v>0</v>
          </cell>
          <cell r="H77">
            <v>0</v>
          </cell>
          <cell r="J77">
            <v>1</v>
          </cell>
          <cell r="K77">
            <v>0.59999996423721313</v>
          </cell>
          <cell r="L77">
            <v>177.06224060058594</v>
          </cell>
          <cell r="M77">
            <v>1.212755125015974E-2</v>
          </cell>
          <cell r="N77">
            <v>2.0212585106492043E-2</v>
          </cell>
          <cell r="O77">
            <v>0</v>
          </cell>
          <cell r="P77">
            <v>0</v>
          </cell>
          <cell r="Q77">
            <v>0</v>
          </cell>
          <cell r="R77">
            <v>6.6632857322692871</v>
          </cell>
          <cell r="S77">
            <v>36.823589324951172</v>
          </cell>
          <cell r="T77">
            <v>0</v>
          </cell>
          <cell r="U77">
            <v>26.951772689819336</v>
          </cell>
          <cell r="V77">
            <v>6.7015800476074219</v>
          </cell>
          <cell r="W77">
            <v>6.7015800476074219</v>
          </cell>
          <cell r="X77">
            <v>0</v>
          </cell>
          <cell r="Y77">
            <v>0</v>
          </cell>
          <cell r="Z77">
            <v>0</v>
          </cell>
          <cell r="AA77">
            <v>0</v>
          </cell>
          <cell r="AB77">
            <v>0</v>
          </cell>
          <cell r="AC77">
            <v>0</v>
          </cell>
          <cell r="AD77">
            <v>0</v>
          </cell>
          <cell r="AE77">
            <v>0</v>
          </cell>
          <cell r="AF77">
            <v>0</v>
          </cell>
          <cell r="AG77">
            <v>0</v>
          </cell>
          <cell r="AH77">
            <v>13.364866256713867</v>
          </cell>
          <cell r="AI77">
            <v>43.525169372558594</v>
          </cell>
          <cell r="AJ77">
            <v>0</v>
          </cell>
          <cell r="AK77">
            <v>26.951772689819336</v>
          </cell>
          <cell r="AL77">
            <v>83.841804504394531</v>
          </cell>
          <cell r="AM77">
            <v>95.802215576171875</v>
          </cell>
          <cell r="AN77">
            <v>0</v>
          </cell>
          <cell r="AO77">
            <v>20.239728927612305</v>
          </cell>
          <cell r="AP77">
            <v>106.59506988525391</v>
          </cell>
          <cell r="AQ77">
            <v>222.63700866699219</v>
          </cell>
          <cell r="AR77">
            <v>13.364866256713867</v>
          </cell>
          <cell r="AS77">
            <v>16.658380118134783</v>
          </cell>
          <cell r="AT77">
            <v>95.802215576171875</v>
          </cell>
          <cell r="AU77">
            <v>4.8253946304321289</v>
          </cell>
          <cell r="AV77">
            <v>20.722269058227539</v>
          </cell>
          <cell r="AW77">
            <v>106.59506988525391</v>
          </cell>
          <cell r="AX77">
            <v>227.9449462890625</v>
          </cell>
          <cell r="AY77">
            <v>43.525169372558594</v>
          </cell>
          <cell r="AZ77">
            <v>5.237083564200864</v>
          </cell>
          <cell r="BA77">
            <v>95.802215576171875</v>
          </cell>
          <cell r="BB77">
            <v>4.8253946304321289</v>
          </cell>
          <cell r="BC77">
            <v>20.722269058227539</v>
          </cell>
          <cell r="BD77">
            <v>106.59506988525391</v>
          </cell>
          <cell r="BE77">
            <v>227.9449462890625</v>
          </cell>
          <cell r="BF77">
            <v>56.890033721923828</v>
          </cell>
          <cell r="BG77">
            <v>-40.946151733398437</v>
          </cell>
          <cell r="BH77">
            <v>4.0067640763327557</v>
          </cell>
          <cell r="BI77">
            <v>7.2720293998718262</v>
          </cell>
          <cell r="BJ77">
            <v>23.682714462280273</v>
          </cell>
          <cell r="BK77">
            <v>0</v>
          </cell>
          <cell r="BL77">
            <v>14.664875030517578</v>
          </cell>
          <cell r="BM77">
            <v>45.619617462158203</v>
          </cell>
          <cell r="BN77">
            <v>95.802215576171875</v>
          </cell>
          <cell r="BO77">
            <v>0</v>
          </cell>
          <cell r="BP77">
            <v>4.8253946304321289</v>
          </cell>
          <cell r="BQ77">
            <v>0</v>
          </cell>
          <cell r="BR77">
            <v>0</v>
          </cell>
          <cell r="BS77">
            <v>0</v>
          </cell>
          <cell r="BT77">
            <v>106.59506988525391</v>
          </cell>
          <cell r="BU77">
            <v>0</v>
          </cell>
          <cell r="BV77">
            <v>0</v>
          </cell>
          <cell r="BW77">
            <v>20.722269058227539</v>
          </cell>
          <cell r="BX77">
            <v>70.438644409179688</v>
          </cell>
          <cell r="BY77">
            <v>13.403160095214844</v>
          </cell>
          <cell r="BZ77">
            <v>0</v>
          </cell>
          <cell r="CA77">
            <v>0</v>
          </cell>
          <cell r="CB77">
            <v>227.9449462890625</v>
          </cell>
          <cell r="CC77">
            <v>83.841804504394531</v>
          </cell>
          <cell r="CD77">
            <v>2.7187505147046043</v>
          </cell>
          <cell r="CE77">
            <v>-26.281278610229492</v>
          </cell>
          <cell r="CF77">
            <v>1.0338678903780552</v>
          </cell>
          <cell r="CG77">
            <v>0</v>
          </cell>
          <cell r="CH77">
            <v>1.0338678903780552</v>
          </cell>
          <cell r="CI77">
            <v>6.6058165606281485E-2</v>
          </cell>
          <cell r="CJ77">
            <v>0</v>
          </cell>
          <cell r="CK77">
            <v>6.6058165606281485E-2</v>
          </cell>
          <cell r="CM77">
            <v>0</v>
          </cell>
          <cell r="CO77">
            <v>0</v>
          </cell>
          <cell r="CP77">
            <v>0</v>
          </cell>
          <cell r="CQ77">
            <v>0</v>
          </cell>
          <cell r="CR77">
            <v>0</v>
          </cell>
          <cell r="CS77">
            <v>0</v>
          </cell>
          <cell r="CT77">
            <v>0</v>
          </cell>
          <cell r="CU77">
            <v>0</v>
          </cell>
          <cell r="CV77">
            <v>9999</v>
          </cell>
          <cell r="CW77">
            <v>9999</v>
          </cell>
        </row>
        <row r="78">
          <cell r="A78" t="str">
            <v>Residential-type Water Heater (&gt;= 35 gallons, &lt;45 gallons)</v>
          </cell>
          <cell r="C78">
            <v>15</v>
          </cell>
          <cell r="D78">
            <v>122.78456878662109</v>
          </cell>
          <cell r="E78">
            <v>0</v>
          </cell>
          <cell r="F78">
            <v>51.062198638916016</v>
          </cell>
          <cell r="G78">
            <v>0</v>
          </cell>
          <cell r="H78">
            <v>0</v>
          </cell>
          <cell r="J78">
            <v>1</v>
          </cell>
          <cell r="K78">
            <v>0.60000002384185791</v>
          </cell>
          <cell r="L78">
            <v>133.92362976074219</v>
          </cell>
          <cell r="M78">
            <v>9.1728521510958672E-3</v>
          </cell>
          <cell r="N78">
            <v>1.5288085676729679E-2</v>
          </cell>
          <cell r="O78">
            <v>0</v>
          </cell>
          <cell r="P78">
            <v>0</v>
          </cell>
          <cell r="Q78">
            <v>0</v>
          </cell>
          <cell r="R78">
            <v>5.0770416259765625</v>
          </cell>
          <cell r="S78">
            <v>28.057464599609375</v>
          </cell>
          <cell r="T78">
            <v>0</v>
          </cell>
          <cell r="U78">
            <v>20.53570556640625</v>
          </cell>
          <cell r="V78">
            <v>5.1062202453613281</v>
          </cell>
          <cell r="W78">
            <v>5.1062202453613281</v>
          </cell>
          <cell r="X78">
            <v>0</v>
          </cell>
          <cell r="Y78">
            <v>0</v>
          </cell>
          <cell r="Z78">
            <v>0</v>
          </cell>
          <cell r="AA78">
            <v>0</v>
          </cell>
          <cell r="AB78">
            <v>0</v>
          </cell>
          <cell r="AC78">
            <v>0</v>
          </cell>
          <cell r="AD78">
            <v>0</v>
          </cell>
          <cell r="AE78">
            <v>0</v>
          </cell>
          <cell r="AF78">
            <v>0</v>
          </cell>
          <cell r="AG78">
            <v>0</v>
          </cell>
          <cell r="AH78">
            <v>10.183261871337891</v>
          </cell>
          <cell r="AI78">
            <v>33.163684844970703</v>
          </cell>
          <cell r="AJ78">
            <v>0</v>
          </cell>
          <cell r="AK78">
            <v>20.53570556640625</v>
          </cell>
          <cell r="AL78">
            <v>63.882652282714844</v>
          </cell>
          <cell r="AM78">
            <v>72.461418151855469</v>
          </cell>
          <cell r="AN78">
            <v>0</v>
          </cell>
          <cell r="AO78">
            <v>15.30861759185791</v>
          </cell>
          <cell r="AP78">
            <v>80.624755859375</v>
          </cell>
          <cell r="AQ78">
            <v>168.39479064941406</v>
          </cell>
          <cell r="AR78">
            <v>10.183261871337891</v>
          </cell>
          <cell r="AS78">
            <v>16.536429459509172</v>
          </cell>
          <cell r="AT78">
            <v>72.461418151855469</v>
          </cell>
          <cell r="AU78">
            <v>3.6497588157653809</v>
          </cell>
          <cell r="AV78">
            <v>15.673593521118164</v>
          </cell>
          <cell r="AW78">
            <v>80.624755859375</v>
          </cell>
          <cell r="AX78">
            <v>172.40953063964844</v>
          </cell>
          <cell r="AY78">
            <v>33.163684844970703</v>
          </cell>
          <cell r="AZ78">
            <v>5.1987445651492505</v>
          </cell>
          <cell r="BA78">
            <v>72.461418151855469</v>
          </cell>
          <cell r="BB78">
            <v>3.6497588157653809</v>
          </cell>
          <cell r="BC78">
            <v>15.673593521118164</v>
          </cell>
          <cell r="BD78">
            <v>80.624755859375</v>
          </cell>
          <cell r="BE78">
            <v>172.40953063964844</v>
          </cell>
          <cell r="BF78">
            <v>43.346946716308594</v>
          </cell>
          <cell r="BG78">
            <v>-40.717876434326172</v>
          </cell>
          <cell r="BH78">
            <v>3.9774318471950805</v>
          </cell>
          <cell r="BI78">
            <v>7.3256583213806152</v>
          </cell>
          <cell r="BJ78">
            <v>23.857368469238281</v>
          </cell>
          <cell r="BK78">
            <v>0</v>
          </cell>
          <cell r="BL78">
            <v>14.77302360534668</v>
          </cell>
          <cell r="BM78">
            <v>45.956050872802734</v>
          </cell>
          <cell r="BN78">
            <v>72.461418151855469</v>
          </cell>
          <cell r="BO78">
            <v>0</v>
          </cell>
          <cell r="BP78">
            <v>3.6497588157653809</v>
          </cell>
          <cell r="BQ78">
            <v>0</v>
          </cell>
          <cell r="BR78">
            <v>0</v>
          </cell>
          <cell r="BS78">
            <v>0</v>
          </cell>
          <cell r="BT78">
            <v>80.624755859375</v>
          </cell>
          <cell r="BU78">
            <v>0</v>
          </cell>
          <cell r="BV78">
            <v>0</v>
          </cell>
          <cell r="BW78">
            <v>15.673593521118164</v>
          </cell>
          <cell r="BX78">
            <v>53.670211791992188</v>
          </cell>
          <cell r="BY78">
            <v>10.212440490722656</v>
          </cell>
          <cell r="BZ78">
            <v>0</v>
          </cell>
          <cell r="CA78">
            <v>0</v>
          </cell>
          <cell r="CB78">
            <v>172.40953063964844</v>
          </cell>
          <cell r="CC78">
            <v>63.882652282714844</v>
          </cell>
          <cell r="CD78">
            <v>2.698847342547861</v>
          </cell>
          <cell r="CE78">
            <v>-25.944850921630859</v>
          </cell>
          <cell r="CF78">
            <v>0.78198118635318981</v>
          </cell>
          <cell r="CG78">
            <v>0</v>
          </cell>
          <cell r="CH78">
            <v>0.78198118635318981</v>
          </cell>
          <cell r="CI78">
            <v>4.996406522522559E-2</v>
          </cell>
          <cell r="CJ78">
            <v>0</v>
          </cell>
          <cell r="CK78">
            <v>4.996406522522559E-2</v>
          </cell>
          <cell r="CM78">
            <v>0</v>
          </cell>
          <cell r="CO78">
            <v>0</v>
          </cell>
          <cell r="CP78">
            <v>0</v>
          </cell>
          <cell r="CQ78">
            <v>0</v>
          </cell>
          <cell r="CR78">
            <v>0</v>
          </cell>
          <cell r="CS78">
            <v>0</v>
          </cell>
          <cell r="CT78">
            <v>0</v>
          </cell>
          <cell r="CU78">
            <v>0</v>
          </cell>
          <cell r="CV78">
            <v>9999</v>
          </cell>
          <cell r="CW78">
            <v>9999</v>
          </cell>
        </row>
        <row r="79">
          <cell r="A79" t="str">
            <v>Residential-type Water Heater (&gt;= 25 gallons, &lt;35 gallons)</v>
          </cell>
          <cell r="C79">
            <v>15</v>
          </cell>
          <cell r="D79">
            <v>48.105396270751953</v>
          </cell>
          <cell r="E79">
            <v>0</v>
          </cell>
          <cell r="F79">
            <v>28.668899536132813</v>
          </cell>
          <cell r="G79">
            <v>0</v>
          </cell>
          <cell r="H79">
            <v>0</v>
          </cell>
          <cell r="J79">
            <v>1</v>
          </cell>
          <cell r="K79">
            <v>0.59999996423721313</v>
          </cell>
          <cell r="L79">
            <v>52.469532012939453</v>
          </cell>
          <cell r="M79">
            <v>3.5938036162406206E-3</v>
          </cell>
          <cell r="N79">
            <v>5.9896726161241531E-3</v>
          </cell>
          <cell r="O79">
            <v>0</v>
          </cell>
          <cell r="P79">
            <v>0</v>
          </cell>
          <cell r="Q79">
            <v>0</v>
          </cell>
          <cell r="R79">
            <v>2.8505079746246338</v>
          </cell>
          <cell r="S79">
            <v>15.752878189086914</v>
          </cell>
          <cell r="T79">
            <v>0</v>
          </cell>
          <cell r="U79">
            <v>11.529783248901367</v>
          </cell>
          <cell r="V79">
            <v>2.8668899536132812</v>
          </cell>
          <cell r="W79">
            <v>2.8668899536132812</v>
          </cell>
          <cell r="X79">
            <v>0</v>
          </cell>
          <cell r="Y79">
            <v>0</v>
          </cell>
          <cell r="Z79">
            <v>0</v>
          </cell>
          <cell r="AA79">
            <v>0</v>
          </cell>
          <cell r="AB79">
            <v>0</v>
          </cell>
          <cell r="AC79">
            <v>0</v>
          </cell>
          <cell r="AD79">
            <v>0</v>
          </cell>
          <cell r="AE79">
            <v>0</v>
          </cell>
          <cell r="AF79">
            <v>0</v>
          </cell>
          <cell r="AG79">
            <v>0</v>
          </cell>
          <cell r="AH79">
            <v>5.7173976898193359</v>
          </cell>
          <cell r="AI79">
            <v>18.619768142700195</v>
          </cell>
          <cell r="AJ79">
            <v>0</v>
          </cell>
          <cell r="AK79">
            <v>11.529783248901367</v>
          </cell>
          <cell r="AL79">
            <v>35.866950988769531</v>
          </cell>
          <cell r="AM79">
            <v>28.389438629150391</v>
          </cell>
          <cell r="AN79">
            <v>0</v>
          </cell>
          <cell r="AO79">
            <v>5.9977169036865234</v>
          </cell>
          <cell r="AP79">
            <v>31.587726593017578</v>
          </cell>
          <cell r="AQ79">
            <v>65.974884033203125</v>
          </cell>
          <cell r="AR79">
            <v>5.7173976898193359</v>
          </cell>
          <cell r="AS79">
            <v>11.539319626504946</v>
          </cell>
          <cell r="AT79">
            <v>28.389438629150391</v>
          </cell>
          <cell r="AU79">
            <v>1.4299278259277344</v>
          </cell>
          <cell r="AV79">
            <v>6.140709400177002</v>
          </cell>
          <cell r="AW79">
            <v>31.587726593017578</v>
          </cell>
          <cell r="AX79">
            <v>67.547805786132812</v>
          </cell>
          <cell r="AY79">
            <v>18.619768142700195</v>
          </cell>
          <cell r="AZ79">
            <v>3.6277467007425948</v>
          </cell>
          <cell r="BA79">
            <v>28.389438629150391</v>
          </cell>
          <cell r="BB79">
            <v>1.4299278259277344</v>
          </cell>
          <cell r="BC79">
            <v>6.140709400177002</v>
          </cell>
          <cell r="BD79">
            <v>31.587726593017578</v>
          </cell>
          <cell r="BE79">
            <v>67.547805786132812</v>
          </cell>
          <cell r="BF79">
            <v>24.337165832519531</v>
          </cell>
          <cell r="BG79">
            <v>-27.214044570922852</v>
          </cell>
          <cell r="BH79">
            <v>2.7754999185765503</v>
          </cell>
          <cell r="BI79">
            <v>10.498038291931152</v>
          </cell>
          <cell r="BJ79">
            <v>34.188812255859375</v>
          </cell>
          <cell r="BK79">
            <v>0</v>
          </cell>
          <cell r="BL79">
            <v>21.170490264892578</v>
          </cell>
          <cell r="BM79">
            <v>65.857345581054687</v>
          </cell>
          <cell r="BN79">
            <v>28.389438629150391</v>
          </cell>
          <cell r="BO79">
            <v>0</v>
          </cell>
          <cell r="BP79">
            <v>1.4299278259277344</v>
          </cell>
          <cell r="BQ79">
            <v>0</v>
          </cell>
          <cell r="BR79">
            <v>0</v>
          </cell>
          <cell r="BS79">
            <v>0</v>
          </cell>
          <cell r="BT79">
            <v>31.587726593017578</v>
          </cell>
          <cell r="BU79">
            <v>0</v>
          </cell>
          <cell r="BV79">
            <v>0</v>
          </cell>
          <cell r="BW79">
            <v>6.140709400177002</v>
          </cell>
          <cell r="BX79">
            <v>30.133169174194336</v>
          </cell>
          <cell r="BY79">
            <v>5.7337799072265625</v>
          </cell>
          <cell r="BZ79">
            <v>0</v>
          </cell>
          <cell r="CA79">
            <v>0</v>
          </cell>
          <cell r="CB79">
            <v>67.547805786132812</v>
          </cell>
          <cell r="CC79">
            <v>35.866950988769531</v>
          </cell>
          <cell r="CD79">
            <v>1.8832882131940938</v>
          </cell>
          <cell r="CE79">
            <v>-6.0435538291931152</v>
          </cell>
          <cell r="CF79">
            <v>0.30637004109536031</v>
          </cell>
          <cell r="CG79">
            <v>0</v>
          </cell>
          <cell r="CH79">
            <v>0.30637004109536031</v>
          </cell>
          <cell r="CI79">
            <v>1.9575269819125517E-2</v>
          </cell>
          <cell r="CJ79">
            <v>0</v>
          </cell>
          <cell r="CK79">
            <v>1.9575269819125517E-2</v>
          </cell>
          <cell r="CM79">
            <v>0</v>
          </cell>
          <cell r="CO79">
            <v>0</v>
          </cell>
          <cell r="CP79">
            <v>0</v>
          </cell>
          <cell r="CQ79">
            <v>0</v>
          </cell>
          <cell r="CR79">
            <v>0</v>
          </cell>
          <cell r="CS79">
            <v>0</v>
          </cell>
          <cell r="CT79">
            <v>0</v>
          </cell>
          <cell r="CU79">
            <v>0</v>
          </cell>
          <cell r="CV79">
            <v>9999</v>
          </cell>
          <cell r="CW79">
            <v>9999</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3">
          <cell r="A3" t="str">
            <v>Residential-type Water Heater (&gt;= 25 gallons, &lt;35 gallons)</v>
          </cell>
        </row>
      </sheetData>
      <sheetData sheetId="17"/>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sheetName val="Pop Forecast (Base Case)"/>
      <sheetName val="Pop Forecast (Low)"/>
      <sheetName val="DEI (Base Case)"/>
      <sheetName val="Dairy Forecast (Base Case)"/>
      <sheetName val="Dairy Forecast (Low)"/>
      <sheetName val="Dairy Forecast (High)"/>
      <sheetName val="EV Forecast (Base Case)"/>
      <sheetName val="EV Forecast (Low)"/>
      <sheetName val="EV Forecast (High)"/>
      <sheetName val="DEI Forecast (Base Case)"/>
      <sheetName val="DEI Forecast (High)"/>
      <sheetName val="DEI Forecast (Low)"/>
      <sheetName val="DataCenter Forecast (Base Case)"/>
      <sheetName val="DataCenter Forecast (High)"/>
      <sheetName val="DataCenter Forecast (Low)"/>
      <sheetName val="Pop Forecast (High Case)"/>
      <sheetName val="Pop Forecast (Low Case)"/>
      <sheetName val="7P Forecasts D2"/>
    </sheetNames>
    <definedNames>
      <definedName name="rng_ForecastColumnLookup" refersTo="='Forecast Switchboard'!$H$21:$AE$21"/>
      <definedName name="rng_ForecastRowLookup" refersTo="='Forecast Switchboard'!$G$22:$G$502"/>
      <definedName name="switch_ForecastScenario" refersTo="='Forecast Switchboard'!$H$3"/>
      <definedName name="switch_ForecastState" refersTo="='Forecast Switchboard'!$H$4"/>
      <definedName name="tbl_Forecast" refersTo="='Forecast Switchboard'!$H$22:$AE$502"/>
    </definedNames>
    <sheetDataSet>
      <sheetData sheetId="0"/>
      <sheetData sheetId="1">
        <row r="3">
          <cell r="H3" t="str">
            <v>Base</v>
          </cell>
        </row>
        <row r="4">
          <cell r="H4" t="str">
            <v>Region</v>
          </cell>
        </row>
        <row r="21">
          <cell r="H21" t="str">
            <v>Sector</v>
          </cell>
          <cell r="I21" t="str">
            <v>Building/Industry Type</v>
          </cell>
          <cell r="J21" t="str">
            <v>Vintage / Subcategory</v>
          </cell>
          <cell r="K21" t="str">
            <v>Forecast Units</v>
          </cell>
          <cell r="L21">
            <v>2016</v>
          </cell>
          <cell r="M21">
            <v>2017</v>
          </cell>
          <cell r="N21">
            <v>2018</v>
          </cell>
          <cell r="O21">
            <v>2019</v>
          </cell>
          <cell r="P21">
            <v>2020</v>
          </cell>
          <cell r="Q21">
            <v>2021</v>
          </cell>
          <cell r="R21">
            <v>2022</v>
          </cell>
          <cell r="S21">
            <v>2023</v>
          </cell>
          <cell r="T21">
            <v>2024</v>
          </cell>
          <cell r="U21">
            <v>2025</v>
          </cell>
          <cell r="V21">
            <v>2026</v>
          </cell>
          <cell r="W21">
            <v>2027</v>
          </cell>
          <cell r="X21">
            <v>2028</v>
          </cell>
          <cell r="Y21">
            <v>2029</v>
          </cell>
          <cell r="Z21">
            <v>2030</v>
          </cell>
          <cell r="AA21">
            <v>2031</v>
          </cell>
          <cell r="AB21">
            <v>2032</v>
          </cell>
          <cell r="AC21">
            <v>2033</v>
          </cell>
          <cell r="AD21">
            <v>2034</v>
          </cell>
          <cell r="AE21">
            <v>2035</v>
          </cell>
        </row>
        <row r="22">
          <cell r="G22" t="str">
            <v>RegionSingle FamilyNew</v>
          </cell>
          <cell r="H22" t="str">
            <v>Res</v>
          </cell>
          <cell r="I22" t="str">
            <v>Single Family</v>
          </cell>
          <cell r="J22" t="str">
            <v>New</v>
          </cell>
          <cell r="K22" t="str">
            <v>Buildings</v>
          </cell>
          <cell r="L22">
            <v>62685.758999999998</v>
          </cell>
          <cell r="M22">
            <v>59961.781000000003</v>
          </cell>
          <cell r="N22">
            <v>56834.012000000002</v>
          </cell>
          <cell r="O22">
            <v>54985.192999999999</v>
          </cell>
          <cell r="P22">
            <v>53507.474000000002</v>
          </cell>
          <cell r="Q22">
            <v>50982.05</v>
          </cell>
          <cell r="R22">
            <v>49561.669000000002</v>
          </cell>
          <cell r="S22">
            <v>49324.517999999996</v>
          </cell>
          <cell r="T22">
            <v>48815.77</v>
          </cell>
          <cell r="U22">
            <v>49683.252</v>
          </cell>
          <cell r="V22">
            <v>50030.137000000002</v>
          </cell>
          <cell r="W22">
            <v>49387.762999999999</v>
          </cell>
          <cell r="X22">
            <v>48079.345999999998</v>
          </cell>
          <cell r="Y22">
            <v>48129.050999999999</v>
          </cell>
          <cell r="Z22">
            <v>48690.569000000003</v>
          </cell>
          <cell r="AA22">
            <v>48482.864000000001</v>
          </cell>
          <cell r="AB22">
            <v>46879.000999999997</v>
          </cell>
          <cell r="AC22">
            <v>46798.777999999998</v>
          </cell>
          <cell r="AD22">
            <v>46917.627</v>
          </cell>
          <cell r="AE22">
            <v>47236.144999999997</v>
          </cell>
        </row>
        <row r="23">
          <cell r="G23" t="str">
            <v>RegionMultifamily - Low RiseNew</v>
          </cell>
          <cell r="H23" t="str">
            <v>Res</v>
          </cell>
          <cell r="I23" t="str">
            <v>Multifamily - Low Rise</v>
          </cell>
          <cell r="J23" t="str">
            <v>New</v>
          </cell>
          <cell r="K23" t="str">
            <v>Buildings</v>
          </cell>
          <cell r="L23">
            <v>23280.347100904564</v>
          </cell>
          <cell r="M23">
            <v>23017.418106038647</v>
          </cell>
          <cell r="N23">
            <v>22811.60852767331</v>
          </cell>
          <cell r="O23">
            <v>22085.916378202593</v>
          </cell>
          <cell r="P23">
            <v>20817.853908138593</v>
          </cell>
          <cell r="Q23">
            <v>20070.279329962508</v>
          </cell>
          <cell r="R23">
            <v>19887.831284331631</v>
          </cell>
          <cell r="S23">
            <v>20257.583209811291</v>
          </cell>
          <cell r="T23">
            <v>20750.368029493613</v>
          </cell>
          <cell r="U23">
            <v>21314.334279744231</v>
          </cell>
          <cell r="V23">
            <v>21403.286239774712</v>
          </cell>
          <cell r="W23">
            <v>21409.137516518917</v>
          </cell>
          <cell r="X23">
            <v>21443.358292282628</v>
          </cell>
          <cell r="Y23">
            <v>21209.865626522758</v>
          </cell>
          <cell r="Z23">
            <v>20954.17798283829</v>
          </cell>
          <cell r="AA23">
            <v>20525.44023202754</v>
          </cell>
          <cell r="AB23">
            <v>20175.505597554071</v>
          </cell>
          <cell r="AC23">
            <v>19919.723927484571</v>
          </cell>
          <cell r="AD23">
            <v>19536.194066416414</v>
          </cell>
          <cell r="AE23">
            <v>19462.287131015248</v>
          </cell>
        </row>
        <row r="24">
          <cell r="G24" t="str">
            <v>RegionMultifamily - High RiseNew</v>
          </cell>
          <cell r="H24" t="str">
            <v>Res</v>
          </cell>
          <cell r="I24" t="str">
            <v>Multifamily - High Rise</v>
          </cell>
          <cell r="J24" t="str">
            <v>New</v>
          </cell>
          <cell r="K24" t="str">
            <v>Buildings</v>
          </cell>
          <cell r="L24">
            <v>5226.2387411561367</v>
          </cell>
          <cell r="M24">
            <v>5239.95312759432</v>
          </cell>
          <cell r="N24">
            <v>5271.2612760989568</v>
          </cell>
          <cell r="O24">
            <v>4985.883552972361</v>
          </cell>
          <cell r="P24">
            <v>4608.5912035798974</v>
          </cell>
          <cell r="Q24">
            <v>4509.6375960361838</v>
          </cell>
          <cell r="R24">
            <v>4481.760351096189</v>
          </cell>
          <cell r="S24">
            <v>4621.8312800578688</v>
          </cell>
          <cell r="T24">
            <v>4700.9782942419988</v>
          </cell>
          <cell r="U24">
            <v>4828.2391631488581</v>
          </cell>
          <cell r="V24">
            <v>4790.0249139778334</v>
          </cell>
          <cell r="W24">
            <v>4782.0649962402858</v>
          </cell>
          <cell r="X24">
            <v>4748.3908346265653</v>
          </cell>
          <cell r="Y24">
            <v>4733.4823682495089</v>
          </cell>
          <cell r="Z24">
            <v>4698.697177079107</v>
          </cell>
          <cell r="AA24">
            <v>4599.2987885998937</v>
          </cell>
          <cell r="AB24">
            <v>4526.3104216428001</v>
          </cell>
          <cell r="AC24">
            <v>4422.0600452822764</v>
          </cell>
          <cell r="AD24">
            <v>4405.182362066379</v>
          </cell>
          <cell r="AE24">
            <v>4385.1136986120664</v>
          </cell>
        </row>
        <row r="25">
          <cell r="G25" t="str">
            <v>RegionManufacturedNew</v>
          </cell>
          <cell r="H25" t="str">
            <v>Res</v>
          </cell>
          <cell r="I25" t="str">
            <v>Manufactured</v>
          </cell>
          <cell r="J25" t="str">
            <v>New</v>
          </cell>
          <cell r="K25" t="str">
            <v>Buildings</v>
          </cell>
          <cell r="L25">
            <v>1869.5754050925925</v>
          </cell>
          <cell r="M25">
            <v>1881.796305941358</v>
          </cell>
          <cell r="N25">
            <v>1949.1340235982509</v>
          </cell>
          <cell r="O25">
            <v>2021.1963608646258</v>
          </cell>
          <cell r="P25">
            <v>1959.5061710087307</v>
          </cell>
          <cell r="Q25">
            <v>1928.5764356212967</v>
          </cell>
          <cell r="R25">
            <v>1934.9641170211423</v>
          </cell>
          <cell r="S25">
            <v>1945.862235675901</v>
          </cell>
          <cell r="T25">
            <v>1956.539890631658</v>
          </cell>
          <cell r="U25">
            <v>1957.7742018038925</v>
          </cell>
          <cell r="V25">
            <v>1947.2038419604366</v>
          </cell>
          <cell r="W25">
            <v>1945.153453785721</v>
          </cell>
          <cell r="X25">
            <v>1947.9162901464586</v>
          </cell>
          <cell r="Y25">
            <v>1950.0749856673444</v>
          </cell>
          <cell r="Z25">
            <v>1950.7771106659191</v>
          </cell>
          <cell r="AA25">
            <v>1949.8166473382953</v>
          </cell>
          <cell r="AB25">
            <v>1948.4903882606959</v>
          </cell>
          <cell r="AC25">
            <v>1948.7048126440727</v>
          </cell>
          <cell r="AD25">
            <v>1949.296705787131</v>
          </cell>
          <cell r="AE25">
            <v>1949.5267750605763</v>
          </cell>
        </row>
        <row r="26">
          <cell r="G26" t="str">
            <v>RegionSingle FamilyExisting</v>
          </cell>
          <cell r="H26" t="str">
            <v>Res</v>
          </cell>
          <cell r="I26" t="str">
            <v>Single Family</v>
          </cell>
          <cell r="J26" t="str">
            <v>Existing</v>
          </cell>
          <cell r="K26" t="str">
            <v>Buildings</v>
          </cell>
          <cell r="L26">
            <v>4203528.2719999999</v>
          </cell>
          <cell r="M26">
            <v>4193982.9785983553</v>
          </cell>
          <cell r="N26">
            <v>4184459.3604704877</v>
          </cell>
          <cell r="O26">
            <v>4174957.36839659</v>
          </cell>
          <cell r="P26">
            <v>4165476.9532686244</v>
          </cell>
          <cell r="Q26">
            <v>4156018.0660900641</v>
          </cell>
          <cell r="R26">
            <v>4146580.6579756448</v>
          </cell>
          <cell r="S26">
            <v>4137164.6801511091</v>
          </cell>
          <cell r="T26">
            <v>4127770.0839529554</v>
          </cell>
          <cell r="U26">
            <v>4118396.8208281873</v>
          </cell>
          <cell r="V26">
            <v>4109044.8423340586</v>
          </cell>
          <cell r="W26">
            <v>4099714.1001378288</v>
          </cell>
          <cell r="X26">
            <v>4090404.5460165106</v>
          </cell>
          <cell r="Y26">
            <v>4081116.1318566194</v>
          </cell>
          <cell r="Z26">
            <v>4071848.8096539262</v>
          </cell>
          <cell r="AA26">
            <v>4062602.5315132081</v>
          </cell>
          <cell r="AB26">
            <v>4053377.2496480034</v>
          </cell>
          <cell r="AC26">
            <v>4044172.9163803621</v>
          </cell>
          <cell r="AD26">
            <v>4034989.4841406001</v>
          </cell>
          <cell r="AE26">
            <v>4025826.9054670548</v>
          </cell>
        </row>
        <row r="27">
          <cell r="G27" t="str">
            <v>RegionMultifamily - Low RiseExisting</v>
          </cell>
          <cell r="H27" t="str">
            <v>Res</v>
          </cell>
          <cell r="I27" t="str">
            <v>Multifamily - Low Rise</v>
          </cell>
          <cell r="J27" t="str">
            <v>Existing</v>
          </cell>
          <cell r="K27" t="str">
            <v>Buildings</v>
          </cell>
          <cell r="L27">
            <v>926243.25609262148</v>
          </cell>
          <cell r="M27">
            <v>924139.92640956037</v>
          </cell>
          <cell r="N27">
            <v>922041.3730050053</v>
          </cell>
          <cell r="O27">
            <v>919947.58503289847</v>
          </cell>
          <cell r="P27">
            <v>917858.55167181045</v>
          </cell>
          <cell r="Q27">
            <v>915774.26212488639</v>
          </cell>
          <cell r="R27">
            <v>913694.70561978838</v>
          </cell>
          <cell r="S27">
            <v>911619.87140864041</v>
          </cell>
          <cell r="T27">
            <v>909549.74876797362</v>
          </cell>
          <cell r="U27">
            <v>907484.32699866977</v>
          </cell>
          <cell r="V27">
            <v>905423.59542590659</v>
          </cell>
          <cell r="W27">
            <v>903367.54339910217</v>
          </cell>
          <cell r="X27">
            <v>901316.16029185988</v>
          </cell>
          <cell r="Y27">
            <v>899269.43550191447</v>
          </cell>
          <cell r="Z27">
            <v>897227.35845107585</v>
          </cell>
          <cell r="AA27">
            <v>895189.9185851753</v>
          </cell>
          <cell r="AB27">
            <v>893157.10537401051</v>
          </cell>
          <cell r="AC27">
            <v>891128.90831129183</v>
          </cell>
          <cell r="AD27">
            <v>889105.31691458682</v>
          </cell>
          <cell r="AE27">
            <v>887086.32072526717</v>
          </cell>
        </row>
        <row r="28">
          <cell r="G28" t="str">
            <v>RegionMultifamily - High RiseExisting</v>
          </cell>
          <cell r="H28" t="str">
            <v>Res</v>
          </cell>
          <cell r="I28" t="str">
            <v>Multifamily - High Rise</v>
          </cell>
          <cell r="J28" t="str">
            <v>Existing</v>
          </cell>
          <cell r="K28" t="str">
            <v>Buildings</v>
          </cell>
          <cell r="L28">
            <v>211180.07985625503</v>
          </cell>
          <cell r="M28">
            <v>210700.52836963299</v>
          </cell>
          <cell r="N28">
            <v>210222.06585706791</v>
          </cell>
          <cell r="O28">
            <v>209744.68984569819</v>
          </cell>
          <cell r="P28">
            <v>209268.39786827751</v>
          </cell>
          <cell r="Q28">
            <v>208793.18746316229</v>
          </cell>
          <cell r="R28">
            <v>208319.05617429892</v>
          </cell>
          <cell r="S28">
            <v>207846.00155121088</v>
          </cell>
          <cell r="T28">
            <v>207374.0211489865</v>
          </cell>
          <cell r="U28">
            <v>206903.11252826577</v>
          </cell>
          <cell r="V28">
            <v>206433.27325522827</v>
          </cell>
          <cell r="W28">
            <v>205964.50090158021</v>
          </cell>
          <cell r="X28">
            <v>205496.79304454199</v>
          </cell>
          <cell r="Y28">
            <v>205030.14726683579</v>
          </cell>
          <cell r="Z28">
            <v>204564.56115667295</v>
          </cell>
          <cell r="AA28">
            <v>204100.03230774152</v>
          </cell>
          <cell r="AB28">
            <v>203636.55831919383</v>
          </cell>
          <cell r="AC28">
            <v>203174.13679563423</v>
          </cell>
          <cell r="AD28">
            <v>202712.76534710638</v>
          </cell>
          <cell r="AE28">
            <v>202252.44158908122</v>
          </cell>
        </row>
        <row r="29">
          <cell r="G29" t="str">
            <v>RegionManufacturedExisting</v>
          </cell>
          <cell r="H29" t="str">
            <v>Res</v>
          </cell>
          <cell r="I29" t="str">
            <v>Manufactured</v>
          </cell>
          <cell r="J29" t="str">
            <v>Existing</v>
          </cell>
          <cell r="K29" t="str">
            <v>Buildings</v>
          </cell>
          <cell r="L29">
            <v>572006.3278356482</v>
          </cell>
          <cell r="M29">
            <v>565893.30394507048</v>
          </cell>
          <cell r="N29">
            <v>559845.60985814757</v>
          </cell>
          <cell r="O29">
            <v>553862.54739615123</v>
          </cell>
          <cell r="P29">
            <v>547943.42584177968</v>
          </cell>
          <cell r="Q29">
            <v>542087.56185941794</v>
          </cell>
          <cell r="R29">
            <v>536294.27941624937</v>
          </cell>
          <cell r="S29">
            <v>530562.90970421082</v>
          </cell>
          <cell r="T29">
            <v>524892.79106278194</v>
          </cell>
          <cell r="U29">
            <v>519283.26890259917</v>
          </cell>
          <cell r="V29">
            <v>513733.69562988722</v>
          </cell>
          <cell r="W29">
            <v>508243.4305716962</v>
          </cell>
          <cell r="X29">
            <v>502811.8399019395</v>
          </cell>
          <cell r="Y29">
            <v>497438.2965682213</v>
          </cell>
          <cell r="Z29">
            <v>492122.18021944637</v>
          </cell>
          <cell r="AA29">
            <v>486862.87713420321</v>
          </cell>
          <cell r="AB29">
            <v>481659.78014991269</v>
          </cell>
          <cell r="AC29">
            <v>476512.28859273402</v>
          </cell>
          <cell r="AD29">
            <v>471419.80820821953</v>
          </cell>
          <cell r="AE29">
            <v>466381.75109271082</v>
          </cell>
        </row>
        <row r="30">
          <cell r="G30" t="str">
            <v>RegionLarge OffNew</v>
          </cell>
          <cell r="H30" t="str">
            <v>Com</v>
          </cell>
          <cell r="I30" t="str">
            <v>Large Off</v>
          </cell>
          <cell r="J30" t="str">
            <v>New</v>
          </cell>
          <cell r="K30" t="str">
            <v>Millions SqFt</v>
          </cell>
          <cell r="L30">
            <v>7.8066550111953834</v>
          </cell>
          <cell r="M30">
            <v>5.9496992573140863</v>
          </cell>
          <cell r="N30">
            <v>5.890903545908837</v>
          </cell>
          <cell r="O30">
            <v>6.8915688291332424</v>
          </cell>
          <cell r="P30">
            <v>6.6410191533148355</v>
          </cell>
          <cell r="Q30">
            <v>5.4382226791221893</v>
          </cell>
          <cell r="R30">
            <v>6.9236851515846078</v>
          </cell>
          <cell r="S30">
            <v>6.040566884985755</v>
          </cell>
          <cell r="T30">
            <v>5.8620040343764588</v>
          </cell>
          <cell r="U30">
            <v>6.6048352977963205</v>
          </cell>
          <cell r="V30">
            <v>6.6081856774849808</v>
          </cell>
          <cell r="W30">
            <v>7.2276230030590352</v>
          </cell>
          <cell r="X30">
            <v>7.9321378463678132</v>
          </cell>
          <cell r="Y30">
            <v>7.2590370336019197</v>
          </cell>
          <cell r="Z30">
            <v>7.9122271387396417</v>
          </cell>
          <cell r="AA30">
            <v>7.7623340380974311</v>
          </cell>
          <cell r="AB30">
            <v>7.6402299023279152</v>
          </cell>
          <cell r="AC30">
            <v>7.1724831299946894</v>
          </cell>
          <cell r="AD30">
            <v>7.0810470955732994</v>
          </cell>
          <cell r="AE30">
            <v>7.4281005850341701</v>
          </cell>
        </row>
        <row r="31">
          <cell r="G31" t="str">
            <v>RegionMedium OffNew</v>
          </cell>
          <cell r="H31" t="str">
            <v>Com</v>
          </cell>
          <cell r="I31" t="str">
            <v>Medium Off</v>
          </cell>
          <cell r="J31" t="str">
            <v>New</v>
          </cell>
          <cell r="K31" t="str">
            <v>Millions SqFt</v>
          </cell>
          <cell r="L31">
            <v>6.3306892326899415</v>
          </cell>
          <cell r="M31">
            <v>4.6245517962703104</v>
          </cell>
          <cell r="N31">
            <v>4.6954401235311058</v>
          </cell>
          <cell r="O31">
            <v>5.5561738496820645</v>
          </cell>
          <cell r="P31">
            <v>5.2903315868283292</v>
          </cell>
          <cell r="Q31">
            <v>4.0954748538564614</v>
          </cell>
          <cell r="R31">
            <v>5.6166455086822502</v>
          </cell>
          <cell r="S31">
            <v>4.8928421056079552</v>
          </cell>
          <cell r="T31">
            <v>4.6489885594062974</v>
          </cell>
          <cell r="U31">
            <v>5.3600762751998365</v>
          </cell>
          <cell r="V31">
            <v>5.3451061612370649</v>
          </cell>
          <cell r="W31">
            <v>5.7169042762389006</v>
          </cell>
          <cell r="X31">
            <v>6.1644080859749115</v>
          </cell>
          <cell r="Y31">
            <v>5.8003829082546376</v>
          </cell>
          <cell r="Z31">
            <v>6.4331999103991837</v>
          </cell>
          <cell r="AA31">
            <v>6.1077443299386847</v>
          </cell>
          <cell r="AB31">
            <v>6.3133258324543373</v>
          </cell>
          <cell r="AC31">
            <v>5.5403053352108875</v>
          </cell>
          <cell r="AD31">
            <v>5.5266028757425794</v>
          </cell>
          <cell r="AE31">
            <v>5.9833355534459063</v>
          </cell>
        </row>
        <row r="32">
          <cell r="G32" t="str">
            <v>RegionSmall OffNew</v>
          </cell>
          <cell r="H32" t="str">
            <v>Com</v>
          </cell>
          <cell r="I32" t="str">
            <v>Small Off</v>
          </cell>
          <cell r="J32" t="str">
            <v>New</v>
          </cell>
          <cell r="K32" t="str">
            <v>Millions SqFt</v>
          </cell>
          <cell r="L32">
            <v>1.6621196768024407</v>
          </cell>
          <cell r="M32">
            <v>1.2170657423442173</v>
          </cell>
          <cell r="N32">
            <v>1.2444333527444498</v>
          </cell>
          <cell r="O32">
            <v>1.4586094503549032</v>
          </cell>
          <cell r="P32">
            <v>1.4004070058555529</v>
          </cell>
          <cell r="Q32">
            <v>1.0787722980410579</v>
          </cell>
          <cell r="R32">
            <v>1.4747976167420549</v>
          </cell>
          <cell r="S32">
            <v>1.2896357804774434</v>
          </cell>
          <cell r="T32">
            <v>1.2239291307589197</v>
          </cell>
          <cell r="U32">
            <v>1.4012443744673324</v>
          </cell>
          <cell r="V32">
            <v>1.3991315932028052</v>
          </cell>
          <cell r="W32">
            <v>1.4996248899933684</v>
          </cell>
          <cell r="X32">
            <v>1.6197763904689295</v>
          </cell>
          <cell r="Y32">
            <v>1.5187400891362097</v>
          </cell>
          <cell r="Z32">
            <v>1.6890757136254622</v>
          </cell>
          <cell r="AA32">
            <v>1.5972356158259797</v>
          </cell>
          <cell r="AB32">
            <v>1.640465747141107</v>
          </cell>
          <cell r="AC32">
            <v>1.4565955217811706</v>
          </cell>
          <cell r="AD32">
            <v>1.4531741906643101</v>
          </cell>
          <cell r="AE32">
            <v>1.5648660344158036</v>
          </cell>
        </row>
        <row r="33">
          <cell r="G33" t="str">
            <v>RegionXLarge RetNew</v>
          </cell>
          <cell r="H33" t="str">
            <v>Com</v>
          </cell>
          <cell r="I33" t="str">
            <v>XLarge Ret</v>
          </cell>
          <cell r="J33" t="str">
            <v>New</v>
          </cell>
          <cell r="K33" t="str">
            <v>Millions SqFt</v>
          </cell>
          <cell r="L33">
            <v>1.799418169017593</v>
          </cell>
          <cell r="M33">
            <v>1.485755176968429</v>
          </cell>
          <cell r="N33">
            <v>0.89794362681754358</v>
          </cell>
          <cell r="O33">
            <v>0.91201694404352718</v>
          </cell>
          <cell r="P33">
            <v>0.85125423267540556</v>
          </cell>
          <cell r="Q33">
            <v>0.73204497427617965</v>
          </cell>
          <cell r="R33">
            <v>0.73428349109996394</v>
          </cell>
          <cell r="S33">
            <v>0.71341173425108251</v>
          </cell>
          <cell r="T33">
            <v>0.89455902577447755</v>
          </cell>
          <cell r="U33">
            <v>1.032083805968905</v>
          </cell>
          <cell r="V33">
            <v>1.0963398187475875</v>
          </cell>
          <cell r="W33">
            <v>1.617287860192538</v>
          </cell>
          <cell r="X33">
            <v>1.8239074921539626</v>
          </cell>
          <cell r="Y33">
            <v>1.6267354909009817</v>
          </cell>
          <cell r="Z33">
            <v>1.5970323938843554</v>
          </cell>
          <cell r="AA33">
            <v>1.5393396581386409</v>
          </cell>
          <cell r="AB33">
            <v>1.2960530677092543</v>
          </cell>
          <cell r="AC33">
            <v>1.3176455108269955</v>
          </cell>
          <cell r="AD33">
            <v>1.2469979474733393</v>
          </cell>
          <cell r="AE33">
            <v>1.3540449607593745</v>
          </cell>
        </row>
        <row r="34">
          <cell r="G34" t="str">
            <v>RegionLarge RetNew</v>
          </cell>
          <cell r="H34" t="str">
            <v>Com</v>
          </cell>
          <cell r="I34" t="str">
            <v>Large Ret</v>
          </cell>
          <cell r="J34" t="str">
            <v>New</v>
          </cell>
          <cell r="K34" t="str">
            <v>Millions SqFt</v>
          </cell>
          <cell r="L34">
            <v>0.71960427219664069</v>
          </cell>
          <cell r="M34">
            <v>0.59647847099566831</v>
          </cell>
          <cell r="N34">
            <v>0.36611838042447359</v>
          </cell>
          <cell r="O34">
            <v>0.3731768350638246</v>
          </cell>
          <cell r="P34">
            <v>0.34504559304633386</v>
          </cell>
          <cell r="Q34">
            <v>0.2928623587115301</v>
          </cell>
          <cell r="R34">
            <v>0.29376294298921468</v>
          </cell>
          <cell r="S34">
            <v>0.28416308329236456</v>
          </cell>
          <cell r="T34">
            <v>0.36455471421578001</v>
          </cell>
          <cell r="U34">
            <v>0.42646627810709853</v>
          </cell>
          <cell r="V34">
            <v>0.44956380488737768</v>
          </cell>
          <cell r="W34">
            <v>0.65213839834683018</v>
          </cell>
          <cell r="X34">
            <v>0.73353807331773047</v>
          </cell>
          <cell r="Y34">
            <v>0.65560780242911365</v>
          </cell>
          <cell r="Z34">
            <v>0.64604928436358278</v>
          </cell>
          <cell r="AA34">
            <v>0.62178261445398098</v>
          </cell>
          <cell r="AB34">
            <v>0.52554853465709617</v>
          </cell>
          <cell r="AC34">
            <v>0.53266253778165396</v>
          </cell>
          <cell r="AD34">
            <v>0.50454130308386236</v>
          </cell>
          <cell r="AE34">
            <v>0.54553111610891503</v>
          </cell>
        </row>
        <row r="35">
          <cell r="G35" t="str">
            <v>RegionMedium RetNew</v>
          </cell>
          <cell r="H35" t="str">
            <v>Com</v>
          </cell>
          <cell r="I35" t="str">
            <v>Medium Ret</v>
          </cell>
          <cell r="J35" t="str">
            <v>New</v>
          </cell>
          <cell r="K35" t="str">
            <v>Millions SqFt</v>
          </cell>
          <cell r="L35">
            <v>2.7275899469990224</v>
          </cell>
          <cell r="M35">
            <v>2.2451802625726844</v>
          </cell>
          <cell r="N35">
            <v>1.3846551620328988</v>
          </cell>
          <cell r="O35">
            <v>1.414332931216091</v>
          </cell>
          <cell r="P35">
            <v>1.3048976182463843</v>
          </cell>
          <cell r="Q35">
            <v>1.1035456427042536</v>
          </cell>
          <cell r="R35">
            <v>1.0932193385059683</v>
          </cell>
          <cell r="S35">
            <v>1.0602010304011045</v>
          </cell>
          <cell r="T35">
            <v>1.3687417218066935</v>
          </cell>
          <cell r="U35">
            <v>1.6102119957699914</v>
          </cell>
          <cell r="V35">
            <v>1.7014476793012303</v>
          </cell>
          <cell r="W35">
            <v>2.4475448442766612</v>
          </cell>
          <cell r="X35">
            <v>2.7642584104961641</v>
          </cell>
          <cell r="Y35">
            <v>2.4645092385842489</v>
          </cell>
          <cell r="Z35">
            <v>2.435211674558635</v>
          </cell>
          <cell r="AA35">
            <v>2.3436666024455817</v>
          </cell>
          <cell r="AB35">
            <v>1.9970991421399598</v>
          </cell>
          <cell r="AC35">
            <v>2.0220850932468024</v>
          </cell>
          <cell r="AD35">
            <v>1.9074632582746243</v>
          </cell>
          <cell r="AE35">
            <v>2.0633846520749657</v>
          </cell>
        </row>
        <row r="36">
          <cell r="G36" t="str">
            <v>RegionSmall RetNew</v>
          </cell>
          <cell r="H36" t="str">
            <v>Com</v>
          </cell>
          <cell r="I36" t="str">
            <v>Small Ret</v>
          </cell>
          <cell r="J36" t="str">
            <v>New</v>
          </cell>
          <cell r="K36" t="str">
            <v>Millions SqFt</v>
          </cell>
          <cell r="L36">
            <v>0.86249938561661099</v>
          </cell>
          <cell r="M36">
            <v>0.71243811393533818</v>
          </cell>
          <cell r="N36">
            <v>0.43988135050703958</v>
          </cell>
          <cell r="O36">
            <v>0.44879648252082133</v>
          </cell>
          <cell r="P36">
            <v>0.41374173801952452</v>
          </cell>
          <cell r="Q36">
            <v>0.34301620014224921</v>
          </cell>
          <cell r="R36">
            <v>0.33946657261656726</v>
          </cell>
          <cell r="S36">
            <v>0.32965754978673117</v>
          </cell>
          <cell r="T36">
            <v>0.43689232903555525</v>
          </cell>
          <cell r="U36">
            <v>0.51886957722704219</v>
          </cell>
          <cell r="V36">
            <v>0.54817313334918127</v>
          </cell>
          <cell r="W36">
            <v>0.77969532117377649</v>
          </cell>
          <cell r="X36">
            <v>0.87858644381951334</v>
          </cell>
          <cell r="Y36">
            <v>0.78420074698109388</v>
          </cell>
          <cell r="Z36">
            <v>0.77728841592354081</v>
          </cell>
          <cell r="AA36">
            <v>0.74886674252534069</v>
          </cell>
          <cell r="AB36">
            <v>0.63964179951326661</v>
          </cell>
          <cell r="AC36">
            <v>0.64714740319049269</v>
          </cell>
          <cell r="AD36">
            <v>0.61166389038687663</v>
          </cell>
          <cell r="AE36">
            <v>0.66242443593788758</v>
          </cell>
        </row>
        <row r="37">
          <cell r="G37" t="str">
            <v>RegionSchool K-12New</v>
          </cell>
          <cell r="H37" t="str">
            <v>Com</v>
          </cell>
          <cell r="I37" t="str">
            <v>School K-12</v>
          </cell>
          <cell r="J37" t="str">
            <v>New</v>
          </cell>
          <cell r="K37" t="str">
            <v>Millions SqFt</v>
          </cell>
          <cell r="L37">
            <v>0.49337113702797691</v>
          </cell>
          <cell r="M37">
            <v>1.1029723159217257</v>
          </cell>
          <cell r="N37">
            <v>0.94992456965043459</v>
          </cell>
          <cell r="O37">
            <v>0.71720701164062661</v>
          </cell>
          <cell r="P37">
            <v>0.7442281187428561</v>
          </cell>
          <cell r="Q37">
            <v>0.85140099810585501</v>
          </cell>
          <cell r="R37">
            <v>0.99139466996200198</v>
          </cell>
          <cell r="S37">
            <v>1.5014629353162949</v>
          </cell>
          <cell r="T37">
            <v>1.8697826256608596</v>
          </cell>
          <cell r="U37">
            <v>1.6452707482432332</v>
          </cell>
          <cell r="V37">
            <v>1.6753181172445872</v>
          </cell>
          <cell r="W37">
            <v>1.7943041099264481</v>
          </cell>
          <cell r="X37">
            <v>1.8624299937819393</v>
          </cell>
          <cell r="Y37">
            <v>1.7489264522150836</v>
          </cell>
          <cell r="Z37">
            <v>1.7975598556031414</v>
          </cell>
          <cell r="AA37">
            <v>1.6195220459723754</v>
          </cell>
          <cell r="AB37">
            <v>1.8221433074925411</v>
          </cell>
          <cell r="AC37">
            <v>1.6336676691608698</v>
          </cell>
          <cell r="AD37">
            <v>1.7826242149357872</v>
          </cell>
          <cell r="AE37">
            <v>1.6891002859244486</v>
          </cell>
        </row>
        <row r="38">
          <cell r="G38" t="str">
            <v>RegionUniversityNew</v>
          </cell>
          <cell r="H38" t="str">
            <v>Com</v>
          </cell>
          <cell r="I38" t="str">
            <v>University</v>
          </cell>
          <cell r="J38" t="str">
            <v>New</v>
          </cell>
          <cell r="K38" t="str">
            <v>Millions SqFt</v>
          </cell>
          <cell r="L38">
            <v>0.2800209986196866</v>
          </cell>
          <cell r="M38">
            <v>0.29719871383536939</v>
          </cell>
          <cell r="N38">
            <v>0.58203115602335975</v>
          </cell>
          <cell r="O38">
            <v>0.83189457735737737</v>
          </cell>
          <cell r="P38">
            <v>0.66610454718876777</v>
          </cell>
          <cell r="Q38">
            <v>0.73648247778559484</v>
          </cell>
          <cell r="R38">
            <v>0.64334185638367225</v>
          </cell>
          <cell r="S38">
            <v>0.97289424291238524</v>
          </cell>
          <cell r="T38">
            <v>1.1820978013224126</v>
          </cell>
          <cell r="U38">
            <v>1.1785313924254113</v>
          </cell>
          <cell r="V38">
            <v>1.2952038876416079</v>
          </cell>
          <cell r="W38">
            <v>1.3229243736280945</v>
          </cell>
          <cell r="X38">
            <v>1.422909455419719</v>
          </cell>
          <cell r="Y38">
            <v>1.4430187909981058</v>
          </cell>
          <cell r="Z38">
            <v>1.2923971403480323</v>
          </cell>
          <cell r="AA38">
            <v>1.1785050733908478</v>
          </cell>
          <cell r="AB38">
            <v>1.3433889489273994</v>
          </cell>
          <cell r="AC38">
            <v>1.2265545990556588</v>
          </cell>
          <cell r="AD38">
            <v>1.2571458643971927</v>
          </cell>
          <cell r="AE38">
            <v>1.2979913333963795</v>
          </cell>
        </row>
        <row r="39">
          <cell r="G39" t="str">
            <v>RegionWarehouseNew</v>
          </cell>
          <cell r="H39" t="str">
            <v>Com</v>
          </cell>
          <cell r="I39" t="str">
            <v>Warehouse</v>
          </cell>
          <cell r="J39" t="str">
            <v>New</v>
          </cell>
          <cell r="K39" t="str">
            <v>Millions SqFt</v>
          </cell>
          <cell r="L39">
            <v>7.6586609772993617</v>
          </cell>
          <cell r="M39">
            <v>7.5774552212762423</v>
          </cell>
          <cell r="N39">
            <v>5.6453939930651131</v>
          </cell>
          <cell r="O39">
            <v>4.800793231843981</v>
          </cell>
          <cell r="P39">
            <v>3.5881391412601156</v>
          </cell>
          <cell r="Q39">
            <v>3.1529819033971824</v>
          </cell>
          <cell r="R39">
            <v>4.0691744688008198</v>
          </cell>
          <cell r="S39">
            <v>4.5400289951106014</v>
          </cell>
          <cell r="T39">
            <v>4.8555474587969272</v>
          </cell>
          <cell r="U39">
            <v>4.6966359797376018</v>
          </cell>
          <cell r="V39">
            <v>4.8557170740974245</v>
          </cell>
          <cell r="W39">
            <v>4.451750056135543</v>
          </cell>
          <cell r="X39">
            <v>3.8657972013430704</v>
          </cell>
          <cell r="Y39">
            <v>3.9817445148405937</v>
          </cell>
          <cell r="Z39">
            <v>3.9951806948216846</v>
          </cell>
          <cell r="AA39">
            <v>4.4738164673360306</v>
          </cell>
          <cell r="AB39">
            <v>4.2737219736102183</v>
          </cell>
          <cell r="AC39">
            <v>4.0870251812551333</v>
          </cell>
          <cell r="AD39">
            <v>4.137725578117939</v>
          </cell>
          <cell r="AE39">
            <v>3.6922064696454697</v>
          </cell>
        </row>
        <row r="40">
          <cell r="G40" t="str">
            <v>RegionSupermarketNew</v>
          </cell>
          <cell r="H40" t="str">
            <v>Com</v>
          </cell>
          <cell r="I40" t="str">
            <v>Supermarket</v>
          </cell>
          <cell r="J40" t="str">
            <v>New</v>
          </cell>
          <cell r="K40" t="str">
            <v>Millions SqFt</v>
          </cell>
          <cell r="L40">
            <v>0.38924897939746522</v>
          </cell>
          <cell r="M40">
            <v>0.34341311895347121</v>
          </cell>
          <cell r="N40">
            <v>0.29927348040561341</v>
          </cell>
          <cell r="O40">
            <v>0.29688874456634085</v>
          </cell>
          <cell r="P40">
            <v>0.29379933994281465</v>
          </cell>
          <cell r="Q40">
            <v>0.29041766271303127</v>
          </cell>
          <cell r="R40">
            <v>0.28614144770449462</v>
          </cell>
          <cell r="S40">
            <v>0.28163861967746157</v>
          </cell>
          <cell r="T40">
            <v>0.27688800876616482</v>
          </cell>
          <cell r="U40">
            <v>0.27357754310134663</v>
          </cell>
          <cell r="V40">
            <v>0.27063184585003941</v>
          </cell>
          <cell r="W40">
            <v>0.26801411864303953</v>
          </cell>
          <cell r="X40">
            <v>0.26660240614409092</v>
          </cell>
          <cell r="Y40">
            <v>0.25138198684402913</v>
          </cell>
          <cell r="Z40">
            <v>0.26455339135243683</v>
          </cell>
          <cell r="AA40">
            <v>0.26299167309250365</v>
          </cell>
          <cell r="AB40">
            <v>0.26140909607327911</v>
          </cell>
          <cell r="AC40">
            <v>0.25947687815142023</v>
          </cell>
          <cell r="AD40">
            <v>0.25750619496776178</v>
          </cell>
          <cell r="AE40">
            <v>0.25562560804995926</v>
          </cell>
        </row>
        <row r="41">
          <cell r="G41" t="str">
            <v>RegionMiniMartNew</v>
          </cell>
          <cell r="H41" t="str">
            <v>Com</v>
          </cell>
          <cell r="I41" t="str">
            <v>MiniMart</v>
          </cell>
          <cell r="J41" t="str">
            <v>New</v>
          </cell>
          <cell r="K41" t="str">
            <v>Millions SqFt</v>
          </cell>
          <cell r="L41">
            <v>0.19765540078516197</v>
          </cell>
          <cell r="M41">
            <v>0.18600542935034625</v>
          </cell>
          <cell r="N41">
            <v>9.5760802585072302E-2</v>
          </cell>
          <cell r="O41">
            <v>0.10062051473914659</v>
          </cell>
          <cell r="P41">
            <v>8.5646792534183808E-2</v>
          </cell>
          <cell r="Q41">
            <v>6.5415041923045286E-2</v>
          </cell>
          <cell r="R41">
            <v>5.7242996146950373E-2</v>
          </cell>
          <cell r="S41">
            <v>5.5087150941189433E-2</v>
          </cell>
          <cell r="T41">
            <v>7.3916214299540497E-2</v>
          </cell>
          <cell r="U41">
            <v>9.2056169088318471E-2</v>
          </cell>
          <cell r="V41">
            <v>0.10393709432109566</v>
          </cell>
          <cell r="W41">
            <v>0.15172170448022598</v>
          </cell>
          <cell r="X41">
            <v>0.15706997726929292</v>
          </cell>
          <cell r="Y41">
            <v>0.14510580631504899</v>
          </cell>
          <cell r="Z41">
            <v>0.15272706829792246</v>
          </cell>
          <cell r="AA41">
            <v>0.14104647748606622</v>
          </cell>
          <cell r="AB41">
            <v>0.11700741064540764</v>
          </cell>
          <cell r="AC41">
            <v>0.1200067315077773</v>
          </cell>
          <cell r="AD41">
            <v>0.11457442878633581</v>
          </cell>
          <cell r="AE41">
            <v>0.1211768182439132</v>
          </cell>
        </row>
        <row r="42">
          <cell r="G42" t="str">
            <v>RegionRestaurantNew</v>
          </cell>
          <cell r="H42" t="str">
            <v>Com</v>
          </cell>
          <cell r="I42" t="str">
            <v>Restaurant</v>
          </cell>
          <cell r="J42" t="str">
            <v>New</v>
          </cell>
          <cell r="K42" t="str">
            <v>Millions SqFt</v>
          </cell>
          <cell r="L42">
            <v>0.46894871790011039</v>
          </cell>
          <cell r="M42">
            <v>0.47387410836125871</v>
          </cell>
          <cell r="N42">
            <v>0.45144590813821411</v>
          </cell>
          <cell r="O42">
            <v>0.4505136151455652</v>
          </cell>
          <cell r="P42">
            <v>0.44778046039172248</v>
          </cell>
          <cell r="Q42">
            <v>0.44523396067124349</v>
          </cell>
          <cell r="R42">
            <v>0.44273536313864043</v>
          </cell>
          <cell r="S42">
            <v>0.4399078135546039</v>
          </cell>
          <cell r="T42">
            <v>0.43708606600163591</v>
          </cell>
          <cell r="U42">
            <v>0.43513915585550955</v>
          </cell>
          <cell r="V42">
            <v>0.43580404899906589</v>
          </cell>
          <cell r="W42">
            <v>0.59161866303702282</v>
          </cell>
          <cell r="X42">
            <v>0.66467702134516005</v>
          </cell>
          <cell r="Y42">
            <v>0.65353995366480533</v>
          </cell>
          <cell r="Z42">
            <v>0.676060915960916</v>
          </cell>
          <cell r="AA42">
            <v>0.70559825286541389</v>
          </cell>
          <cell r="AB42">
            <v>0.63206878506691044</v>
          </cell>
          <cell r="AC42">
            <v>0.63726309269471215</v>
          </cell>
          <cell r="AD42">
            <v>0.5828366650853003</v>
          </cell>
          <cell r="AE42">
            <v>0.63928201324113043</v>
          </cell>
        </row>
        <row r="43">
          <cell r="G43" t="str">
            <v>RegionLodgingNew</v>
          </cell>
          <cell r="H43" t="str">
            <v>Com</v>
          </cell>
          <cell r="I43" t="str">
            <v>Lodging</v>
          </cell>
          <cell r="J43" t="str">
            <v>New</v>
          </cell>
          <cell r="K43" t="str">
            <v>Millions SqFt</v>
          </cell>
          <cell r="L43">
            <v>1.0326774321313152</v>
          </cell>
          <cell r="M43">
            <v>1.0158776160943388</v>
          </cell>
          <cell r="N43">
            <v>0.74304915446037911</v>
          </cell>
          <cell r="O43">
            <v>0.76054102414226543</v>
          </cell>
          <cell r="P43">
            <v>0.65616402459427536</v>
          </cell>
          <cell r="Q43">
            <v>0.62755023267601961</v>
          </cell>
          <cell r="R43">
            <v>0.61023293273354484</v>
          </cell>
          <cell r="S43">
            <v>0.60571699788717037</v>
          </cell>
          <cell r="T43">
            <v>0.65097903457434547</v>
          </cell>
          <cell r="U43">
            <v>0.69319811486407867</v>
          </cell>
          <cell r="V43">
            <v>0.78843795894088464</v>
          </cell>
          <cell r="W43">
            <v>1.3645659476947984</v>
          </cell>
          <cell r="X43">
            <v>1.6032227373726178</v>
          </cell>
          <cell r="Y43">
            <v>1.6412696995684901</v>
          </cell>
          <cell r="Z43">
            <v>1.670283030615213</v>
          </cell>
          <cell r="AA43">
            <v>1.755661848186447</v>
          </cell>
          <cell r="AB43">
            <v>1.4871375295645746</v>
          </cell>
          <cell r="AC43">
            <v>1.4400033906080374</v>
          </cell>
          <cell r="AD43">
            <v>1.3499648074414823</v>
          </cell>
          <cell r="AE43">
            <v>1.4487057151095009</v>
          </cell>
        </row>
        <row r="44">
          <cell r="G44" t="str">
            <v>RegionHospitalNew</v>
          </cell>
          <cell r="H44" t="str">
            <v>Com</v>
          </cell>
          <cell r="I44" t="str">
            <v>Hospital</v>
          </cell>
          <cell r="J44" t="str">
            <v>New</v>
          </cell>
          <cell r="K44" t="str">
            <v>Millions SqFt</v>
          </cell>
          <cell r="L44">
            <v>4.1336070304911159</v>
          </cell>
          <cell r="M44">
            <v>3.5601449453189118</v>
          </cell>
          <cell r="N44">
            <v>3.2007770264658664</v>
          </cell>
          <cell r="O44">
            <v>2.6531465767673241</v>
          </cell>
          <cell r="P44">
            <v>1.8730082465149496</v>
          </cell>
          <cell r="Q44">
            <v>1.6467285324389391</v>
          </cell>
          <cell r="R44">
            <v>1.5196240263467067</v>
          </cell>
          <cell r="S44">
            <v>1.3328145698119136</v>
          </cell>
          <cell r="T44">
            <v>1.3372342578617185</v>
          </cell>
          <cell r="U44">
            <v>1.4086686461757902</v>
          </cell>
          <cell r="V44">
            <v>1.6725933548501446</v>
          </cell>
          <cell r="W44">
            <v>2.0158466086985318</v>
          </cell>
          <cell r="X44">
            <v>2.3033709594417431</v>
          </cell>
          <cell r="Y44">
            <v>2.063930246052466</v>
          </cell>
          <cell r="Z44">
            <v>1.9880083370090949</v>
          </cell>
          <cell r="AA44">
            <v>1.9342270452860566</v>
          </cell>
          <cell r="AB44">
            <v>1.774507966199161</v>
          </cell>
          <cell r="AC44">
            <v>1.6723841845019074</v>
          </cell>
          <cell r="AD44">
            <v>1.5414284807799123</v>
          </cell>
          <cell r="AE44">
            <v>1.5563040522680198</v>
          </cell>
        </row>
        <row r="45">
          <cell r="G45" t="str">
            <v>RegionResidential CareNew</v>
          </cell>
          <cell r="H45" t="str">
            <v>Com</v>
          </cell>
          <cell r="I45" t="str">
            <v>Residential Care</v>
          </cell>
          <cell r="J45" t="str">
            <v>New</v>
          </cell>
          <cell r="K45" t="str">
            <v>Millions SqFt</v>
          </cell>
          <cell r="L45">
            <v>4.5029406937179912</v>
          </cell>
          <cell r="M45">
            <v>4.0786070344439063</v>
          </cell>
          <cell r="N45">
            <v>3.5919834720533679</v>
          </cell>
          <cell r="O45">
            <v>3.0400934926407626</v>
          </cell>
          <cell r="P45">
            <v>2.3018670718031324</v>
          </cell>
          <cell r="Q45">
            <v>2.1321468422073435</v>
          </cell>
          <cell r="R45">
            <v>1.9771504564110642</v>
          </cell>
          <cell r="S45">
            <v>1.8096072137015302</v>
          </cell>
          <cell r="T45">
            <v>1.9023478055732992</v>
          </cell>
          <cell r="U45">
            <v>2.0129777404511922</v>
          </cell>
          <cell r="V45">
            <v>2.304026079874093</v>
          </cell>
          <cell r="W45">
            <v>2.7992417645016405</v>
          </cell>
          <cell r="X45">
            <v>3.0682339807477179</v>
          </cell>
          <cell r="Y45">
            <v>2.7441690138981158</v>
          </cell>
          <cell r="Z45">
            <v>2.8046561391012603</v>
          </cell>
          <cell r="AA45">
            <v>2.7282838662201567</v>
          </cell>
          <cell r="AB45">
            <v>2.4959637785038216</v>
          </cell>
          <cell r="AC45">
            <v>2.4392052334479857</v>
          </cell>
          <cell r="AD45">
            <v>2.3386950979959957</v>
          </cell>
          <cell r="AE45">
            <v>2.3103955399373803</v>
          </cell>
        </row>
        <row r="46">
          <cell r="G46" t="str">
            <v>RegionAssemblyNew</v>
          </cell>
          <cell r="H46" t="str">
            <v>Com</v>
          </cell>
          <cell r="I46" t="str">
            <v>Assembly</v>
          </cell>
          <cell r="J46" t="str">
            <v>New</v>
          </cell>
          <cell r="K46" t="str">
            <v>Millions SqFt</v>
          </cell>
          <cell r="L46">
            <v>3.1854829351393543</v>
          </cell>
          <cell r="M46">
            <v>3.1699057451518957</v>
          </cell>
          <cell r="N46">
            <v>2.2628528186826316</v>
          </cell>
          <cell r="O46">
            <v>2.6023617076700645</v>
          </cell>
          <cell r="P46">
            <v>2.2919684786454506</v>
          </cell>
          <cell r="Q46">
            <v>2.1556450092355899</v>
          </cell>
          <cell r="R46">
            <v>1.4820394508668711</v>
          </cell>
          <cell r="S46">
            <v>1.5603361472368396</v>
          </cell>
          <cell r="T46">
            <v>2.3546097038898557</v>
          </cell>
          <cell r="U46">
            <v>3.2740386396924066</v>
          </cell>
          <cell r="V46">
            <v>3.6241751874536021</v>
          </cell>
          <cell r="W46">
            <v>4.4420137300219826</v>
          </cell>
          <cell r="X46">
            <v>5.8224273473135861</v>
          </cell>
          <cell r="Y46">
            <v>6.4604400946422142</v>
          </cell>
          <cell r="Z46">
            <v>6.9014803298142597</v>
          </cell>
          <cell r="AA46">
            <v>6.748515751490312</v>
          </cell>
          <cell r="AB46">
            <v>6.4364694734288266</v>
          </cell>
          <cell r="AC46">
            <v>6.3053235195290611</v>
          </cell>
          <cell r="AD46">
            <v>6.2236620394663484</v>
          </cell>
          <cell r="AE46">
            <v>6.0386522880717726</v>
          </cell>
        </row>
        <row r="47">
          <cell r="G47" t="str">
            <v>RegionOtherNew</v>
          </cell>
          <cell r="H47" t="str">
            <v>Com</v>
          </cell>
          <cell r="I47" t="str">
            <v>Other</v>
          </cell>
          <cell r="J47" t="str">
            <v>New</v>
          </cell>
          <cell r="K47" t="str">
            <v>Millions SqFt</v>
          </cell>
          <cell r="L47">
            <v>12.863107129152304</v>
          </cell>
          <cell r="M47">
            <v>10.7220378193485</v>
          </cell>
          <cell r="N47">
            <v>10.142128438066296</v>
          </cell>
          <cell r="O47">
            <v>9.4611923499879236</v>
          </cell>
          <cell r="P47">
            <v>7.3638556881373223</v>
          </cell>
          <cell r="Q47">
            <v>8.1591439254269407</v>
          </cell>
          <cell r="R47">
            <v>7.9603673258815011</v>
          </cell>
          <cell r="S47">
            <v>8.6026166911432824</v>
          </cell>
          <cell r="T47">
            <v>9.3207800366095146</v>
          </cell>
          <cell r="U47">
            <v>9.0572786632714859</v>
          </cell>
          <cell r="V47">
            <v>10.184423730877143</v>
          </cell>
          <cell r="W47">
            <v>10.787657533789663</v>
          </cell>
          <cell r="X47">
            <v>11.005378574708409</v>
          </cell>
          <cell r="Y47">
            <v>10.267063981307951</v>
          </cell>
          <cell r="Z47">
            <v>11.027475862918971</v>
          </cell>
          <cell r="AA47">
            <v>9.9609233822623686</v>
          </cell>
          <cell r="AB47">
            <v>10.340047869658916</v>
          </cell>
          <cell r="AC47">
            <v>9.8383849729989699</v>
          </cell>
          <cell r="AD47">
            <v>9.3282989614436094</v>
          </cell>
          <cell r="AE47">
            <v>9.0355729282982153</v>
          </cell>
        </row>
        <row r="48">
          <cell r="G48" t="str">
            <v>RegionLarge OffStock 2016</v>
          </cell>
          <cell r="H48" t="str">
            <v>Com</v>
          </cell>
          <cell r="I48" t="str">
            <v>Large Off</v>
          </cell>
          <cell r="J48" t="str">
            <v>Stock 2016</v>
          </cell>
          <cell r="K48" t="str">
            <v>Millions SqFt</v>
          </cell>
          <cell r="L48">
            <v>380.08828477966154</v>
          </cell>
          <cell r="M48">
            <v>378.94801992532251</v>
          </cell>
          <cell r="N48">
            <v>377.81117586554655</v>
          </cell>
          <cell r="O48">
            <v>376.67774233794995</v>
          </cell>
          <cell r="P48">
            <v>375.54770911093607</v>
          </cell>
          <cell r="Q48">
            <v>374.42106598360328</v>
          </cell>
          <cell r="R48">
            <v>373.29780278565244</v>
          </cell>
          <cell r="S48">
            <v>372.17790937729552</v>
          </cell>
          <cell r="T48">
            <v>371.06137564916361</v>
          </cell>
          <cell r="U48">
            <v>369.94819152221612</v>
          </cell>
          <cell r="V48">
            <v>368.83834694764948</v>
          </cell>
          <cell r="W48">
            <v>367.73183190680658</v>
          </cell>
          <cell r="X48">
            <v>366.62863641108612</v>
          </cell>
          <cell r="Y48">
            <v>365.52875050185287</v>
          </cell>
          <cell r="Z48">
            <v>364.43216425034728</v>
          </cell>
          <cell r="AA48">
            <v>363.33886775759629</v>
          </cell>
          <cell r="AB48">
            <v>362.24885115432346</v>
          </cell>
          <cell r="AC48">
            <v>361.16210460086046</v>
          </cell>
          <cell r="AD48">
            <v>360.07861828705791</v>
          </cell>
          <cell r="AE48">
            <v>358.99838243219671</v>
          </cell>
        </row>
        <row r="49">
          <cell r="G49" t="str">
            <v>RegionMedium OffStock 2016</v>
          </cell>
          <cell r="H49" t="str">
            <v>Com</v>
          </cell>
          <cell r="I49" t="str">
            <v>Medium Off</v>
          </cell>
          <cell r="J49" t="str">
            <v>Stock 2016</v>
          </cell>
          <cell r="K49" t="str">
            <v>Millions SqFt</v>
          </cell>
          <cell r="L49">
            <v>190.73687138333023</v>
          </cell>
          <cell r="M49">
            <v>190.16466076918024</v>
          </cell>
          <cell r="N49">
            <v>189.59416678687271</v>
          </cell>
          <cell r="O49">
            <v>189.02538428651209</v>
          </cell>
          <cell r="P49">
            <v>188.45830813365254</v>
          </cell>
          <cell r="Q49">
            <v>187.89293320925157</v>
          </cell>
          <cell r="R49">
            <v>187.32925440962381</v>
          </cell>
          <cell r="S49">
            <v>186.76726664639497</v>
          </cell>
          <cell r="T49">
            <v>186.20696484645578</v>
          </cell>
          <cell r="U49">
            <v>185.64834395191642</v>
          </cell>
          <cell r="V49">
            <v>185.09139892006067</v>
          </cell>
          <cell r="W49">
            <v>184.5361247233005</v>
          </cell>
          <cell r="X49">
            <v>183.98251634913058</v>
          </cell>
          <cell r="Y49">
            <v>183.43056880008319</v>
          </cell>
          <cell r="Z49">
            <v>182.88027709368296</v>
          </cell>
          <cell r="AA49">
            <v>182.33163626240187</v>
          </cell>
          <cell r="AB49">
            <v>181.78464135361469</v>
          </cell>
          <cell r="AC49">
            <v>181.23928742955383</v>
          </cell>
          <cell r="AD49">
            <v>180.69556956726515</v>
          </cell>
          <cell r="AE49">
            <v>180.15348285856339</v>
          </cell>
        </row>
        <row r="50">
          <cell r="G50" t="str">
            <v>RegionSmall OffStock 2016</v>
          </cell>
          <cell r="H50" t="str">
            <v>Com</v>
          </cell>
          <cell r="I50" t="str">
            <v>Small Off</v>
          </cell>
          <cell r="J50" t="str">
            <v>Stock 2016</v>
          </cell>
          <cell r="K50" t="str">
            <v>Millions SqFt</v>
          </cell>
          <cell r="L50">
            <v>184.0913556049378</v>
          </cell>
          <cell r="M50">
            <v>183.53908153812301</v>
          </cell>
          <cell r="N50">
            <v>182.98846429350866</v>
          </cell>
          <cell r="O50">
            <v>182.43949890062811</v>
          </cell>
          <cell r="P50">
            <v>181.89218040392623</v>
          </cell>
          <cell r="Q50">
            <v>181.34650386271446</v>
          </cell>
          <cell r="R50">
            <v>180.80246435112633</v>
          </cell>
          <cell r="S50">
            <v>180.26005695807294</v>
          </cell>
          <cell r="T50">
            <v>179.71927678719871</v>
          </cell>
          <cell r="U50">
            <v>179.18011895683713</v>
          </cell>
          <cell r="V50">
            <v>178.64257859996661</v>
          </cell>
          <cell r="W50">
            <v>178.10665086416668</v>
          </cell>
          <cell r="X50">
            <v>177.57233091157423</v>
          </cell>
          <cell r="Y50">
            <v>177.03961391883951</v>
          </cell>
          <cell r="Z50">
            <v>176.50849507708296</v>
          </cell>
          <cell r="AA50">
            <v>175.97896959185172</v>
          </cell>
          <cell r="AB50">
            <v>175.45103268307616</v>
          </cell>
          <cell r="AC50">
            <v>174.92467958502692</v>
          </cell>
          <cell r="AD50">
            <v>174.39990554627184</v>
          </cell>
          <cell r="AE50">
            <v>173.87670582963304</v>
          </cell>
        </row>
        <row r="51">
          <cell r="G51" t="str">
            <v>RegionXLarge RetStock 2016</v>
          </cell>
          <cell r="H51" t="str">
            <v>Com</v>
          </cell>
          <cell r="I51" t="str">
            <v>XLarge Ret</v>
          </cell>
          <cell r="J51" t="str">
            <v>Stock 2016</v>
          </cell>
          <cell r="K51" t="str">
            <v>Millions SqFt</v>
          </cell>
          <cell r="L51">
            <v>138.35734062238015</v>
          </cell>
          <cell r="M51">
            <v>137.7208968555172</v>
          </cell>
          <cell r="N51">
            <v>137.08738072998179</v>
          </cell>
          <cell r="O51">
            <v>136.45677877862389</v>
          </cell>
          <cell r="P51">
            <v>135.8290775962422</v>
          </cell>
          <cell r="Q51">
            <v>135.20426383929947</v>
          </cell>
          <cell r="R51">
            <v>134.5823242256387</v>
          </cell>
          <cell r="S51">
            <v>133.96324553420075</v>
          </cell>
          <cell r="T51">
            <v>133.34701460474344</v>
          </cell>
          <cell r="U51">
            <v>132.73361833756161</v>
          </cell>
          <cell r="V51">
            <v>132.12304369320884</v>
          </cell>
          <cell r="W51">
            <v>131.51527769222005</v>
          </cell>
          <cell r="X51">
            <v>130.91030741483584</v>
          </cell>
          <cell r="Y51">
            <v>130.3081200007276</v>
          </cell>
          <cell r="Z51">
            <v>129.70870264872423</v>
          </cell>
          <cell r="AA51">
            <v>129.11204261654012</v>
          </cell>
          <cell r="AB51">
            <v>128.51812722050403</v>
          </cell>
          <cell r="AC51">
            <v>127.92694383528971</v>
          </cell>
          <cell r="AD51">
            <v>127.33847989364737</v>
          </cell>
          <cell r="AE51">
            <v>126.75272288613657</v>
          </cell>
        </row>
        <row r="52">
          <cell r="G52" t="str">
            <v>RegionLarge RetStock 2016</v>
          </cell>
          <cell r="H52" t="str">
            <v>Com</v>
          </cell>
          <cell r="I52" t="str">
            <v>Large Ret</v>
          </cell>
          <cell r="J52" t="str">
            <v>Stock 2016</v>
          </cell>
          <cell r="K52" t="str">
            <v>Millions SqFt</v>
          </cell>
          <cell r="L52">
            <v>208.9574509880029</v>
          </cell>
          <cell r="M52">
            <v>207.99624671345808</v>
          </cell>
          <cell r="N52">
            <v>207.03946397857615</v>
          </cell>
          <cell r="O52">
            <v>206.0870824442747</v>
          </cell>
          <cell r="P52">
            <v>205.13908186503102</v>
          </cell>
          <cell r="Q52">
            <v>204.1954420884519</v>
          </cell>
          <cell r="R52">
            <v>203.25614305484498</v>
          </cell>
          <cell r="S52">
            <v>202.32116479679266</v>
          </cell>
          <cell r="T52">
            <v>201.3904874387274</v>
          </cell>
          <cell r="U52">
            <v>200.46409119650929</v>
          </cell>
          <cell r="V52">
            <v>199.54195637700533</v>
          </cell>
          <cell r="W52">
            <v>198.62406337767112</v>
          </cell>
          <cell r="X52">
            <v>197.71039268613379</v>
          </cell>
          <cell r="Y52">
            <v>196.8009248797776</v>
          </cell>
          <cell r="Z52">
            <v>195.8956406253306</v>
          </cell>
          <cell r="AA52">
            <v>194.99452067845405</v>
          </cell>
          <cell r="AB52">
            <v>194.09754588333314</v>
          </cell>
          <cell r="AC52">
            <v>193.20469717226982</v>
          </cell>
          <cell r="AD52">
            <v>192.31595556527733</v>
          </cell>
          <cell r="AE52">
            <v>191.43130216967708</v>
          </cell>
        </row>
        <row r="53">
          <cell r="G53" t="str">
            <v>RegionMedium RetStock 2016</v>
          </cell>
          <cell r="H53" t="str">
            <v>Com</v>
          </cell>
          <cell r="I53" t="str">
            <v>Medium Ret</v>
          </cell>
          <cell r="J53" t="str">
            <v>Stock 2016</v>
          </cell>
          <cell r="K53" t="str">
            <v>Millions SqFt</v>
          </cell>
          <cell r="L53">
            <v>97.115689913224898</v>
          </cell>
          <cell r="M53">
            <v>96.668957739624062</v>
          </cell>
          <cell r="N53">
            <v>96.224280534021787</v>
          </cell>
          <cell r="O53">
            <v>95.781648843565293</v>
          </cell>
          <cell r="P53">
            <v>95.34105325888487</v>
          </cell>
          <cell r="Q53">
            <v>94.902484413894001</v>
          </cell>
          <cell r="R53">
            <v>94.465932985590086</v>
          </cell>
          <cell r="S53">
            <v>94.031389693856369</v>
          </cell>
          <cell r="T53">
            <v>93.598845301264618</v>
          </cell>
          <cell r="U53">
            <v>93.168290612878806</v>
          </cell>
          <cell r="V53">
            <v>92.739716476059556</v>
          </cell>
          <cell r="W53">
            <v>92.313113780269674</v>
          </cell>
          <cell r="X53">
            <v>91.888473456880433</v>
          </cell>
          <cell r="Y53">
            <v>91.465786478978771</v>
          </cell>
          <cell r="Z53">
            <v>91.045043861175472</v>
          </cell>
          <cell r="AA53">
            <v>90.626236659414062</v>
          </cell>
          <cell r="AB53">
            <v>90.209355970780734</v>
          </cell>
          <cell r="AC53">
            <v>89.794392933315152</v>
          </cell>
          <cell r="AD53">
            <v>89.381338725821905</v>
          </cell>
          <cell r="AE53">
            <v>88.97018456768312</v>
          </cell>
        </row>
        <row r="54">
          <cell r="G54" t="str">
            <v>RegionSmall RetStock 2016</v>
          </cell>
          <cell r="H54" t="str">
            <v>Com</v>
          </cell>
          <cell r="I54" t="str">
            <v>Small Ret</v>
          </cell>
          <cell r="J54" t="str">
            <v>Stock 2016</v>
          </cell>
          <cell r="K54" t="str">
            <v>Millions SqFt</v>
          </cell>
          <cell r="L54">
            <v>109.47966092768364</v>
          </cell>
          <cell r="M54">
            <v>108.97605448741629</v>
          </cell>
          <cell r="N54">
            <v>108.47476463677417</v>
          </cell>
          <cell r="O54">
            <v>107.975780719445</v>
          </cell>
          <cell r="P54">
            <v>107.47909212813555</v>
          </cell>
          <cell r="Q54">
            <v>106.98468830434612</v>
          </cell>
          <cell r="R54">
            <v>106.49255873814613</v>
          </cell>
          <cell r="S54">
            <v>106.00269296795065</v>
          </cell>
          <cell r="T54">
            <v>105.51508058029808</v>
          </cell>
          <cell r="U54">
            <v>105.0297112096287</v>
          </cell>
          <cell r="V54">
            <v>104.54657453806439</v>
          </cell>
          <cell r="W54">
            <v>104.0656602951893</v>
          </cell>
          <cell r="X54">
            <v>103.58695825783141</v>
          </cell>
          <cell r="Y54">
            <v>103.11045824984539</v>
          </cell>
          <cell r="Z54">
            <v>102.6361501418961</v>
          </cell>
          <cell r="AA54">
            <v>102.16402385124337</v>
          </cell>
          <cell r="AB54">
            <v>101.69406934152764</v>
          </cell>
          <cell r="AC54">
            <v>101.2262766225566</v>
          </cell>
          <cell r="AD54">
            <v>100.76063575009285</v>
          </cell>
          <cell r="AE54">
            <v>100.29713682564241</v>
          </cell>
        </row>
        <row r="55">
          <cell r="G55" t="str">
            <v>RegionSchool K-12Stock 2016</v>
          </cell>
          <cell r="H55" t="str">
            <v>Com</v>
          </cell>
          <cell r="I55" t="str">
            <v>School K-12</v>
          </cell>
          <cell r="J55" t="str">
            <v>Stock 2016</v>
          </cell>
          <cell r="K55" t="str">
            <v>Millions SqFt</v>
          </cell>
          <cell r="L55">
            <v>241.11763975818661</v>
          </cell>
          <cell r="M55">
            <v>240.12905743517803</v>
          </cell>
          <cell r="N55">
            <v>239.14452829969383</v>
          </cell>
          <cell r="O55">
            <v>238.16403573366509</v>
          </cell>
          <cell r="P55">
            <v>237.18756318715711</v>
          </cell>
          <cell r="Q55">
            <v>236.21509417808971</v>
          </cell>
          <cell r="R55">
            <v>235.24661229195956</v>
          </cell>
          <cell r="S55">
            <v>234.28210118156252</v>
          </cell>
          <cell r="T55">
            <v>233.32154456671807</v>
          </cell>
          <cell r="U55">
            <v>232.36492623399457</v>
          </cell>
          <cell r="V55">
            <v>231.41223003643518</v>
          </cell>
          <cell r="W55">
            <v>230.46343989328579</v>
          </cell>
          <cell r="X55">
            <v>229.51853978972335</v>
          </cell>
          <cell r="Y55">
            <v>228.57751377658545</v>
          </cell>
          <cell r="Z55">
            <v>227.64034597010144</v>
          </cell>
          <cell r="AA55">
            <v>226.70702055162403</v>
          </cell>
          <cell r="AB55">
            <v>225.77752176736234</v>
          </cell>
          <cell r="AC55">
            <v>224.85183392811618</v>
          </cell>
          <cell r="AD55">
            <v>223.92994140901092</v>
          </cell>
          <cell r="AE55">
            <v>223.01182864923393</v>
          </cell>
        </row>
        <row r="56">
          <cell r="G56" t="str">
            <v>RegionUniversityStock 2016</v>
          </cell>
          <cell r="H56" t="str">
            <v>Com</v>
          </cell>
          <cell r="I56" t="str">
            <v>University</v>
          </cell>
          <cell r="J56" t="str">
            <v>Stock 2016</v>
          </cell>
          <cell r="K56" t="str">
            <v>Millions SqFt</v>
          </cell>
          <cell r="L56">
            <v>122.15340627232256</v>
          </cell>
          <cell r="M56">
            <v>121.65257730660603</v>
          </cell>
          <cell r="N56">
            <v>121.15380173964894</v>
          </cell>
          <cell r="O56">
            <v>120.65707115251638</v>
          </cell>
          <cell r="P56">
            <v>120.16237716079107</v>
          </cell>
          <cell r="Q56">
            <v>119.66971141443182</v>
          </cell>
          <cell r="R56">
            <v>119.17906559763266</v>
          </cell>
          <cell r="S56">
            <v>118.69043142868237</v>
          </cell>
          <cell r="T56">
            <v>118.20380065982476</v>
          </cell>
          <cell r="U56">
            <v>117.71916507711948</v>
          </cell>
          <cell r="V56">
            <v>117.23651650030328</v>
          </cell>
          <cell r="W56">
            <v>116.75584678265207</v>
          </cell>
          <cell r="X56">
            <v>116.27714781084319</v>
          </cell>
          <cell r="Y56">
            <v>115.80041150481873</v>
          </cell>
          <cell r="Z56">
            <v>115.32562981764897</v>
          </cell>
          <cell r="AA56">
            <v>114.8527947353966</v>
          </cell>
          <cell r="AB56">
            <v>114.38189827698147</v>
          </cell>
          <cell r="AC56">
            <v>113.91293249404585</v>
          </cell>
          <cell r="AD56">
            <v>113.44588947082025</v>
          </cell>
          <cell r="AE56">
            <v>112.98076132398991</v>
          </cell>
        </row>
        <row r="57">
          <cell r="G57" t="str">
            <v>RegionWarehouseStock 2016</v>
          </cell>
          <cell r="H57" t="str">
            <v>Com</v>
          </cell>
          <cell r="I57" t="str">
            <v>Warehouse</v>
          </cell>
          <cell r="J57" t="str">
            <v>Stock 2016</v>
          </cell>
          <cell r="K57" t="str">
            <v>Millions SqFt</v>
          </cell>
          <cell r="L57">
            <v>448.69829599576161</v>
          </cell>
          <cell r="M57">
            <v>447.03811230057732</v>
          </cell>
          <cell r="N57">
            <v>445.3840712850652</v>
          </cell>
          <cell r="O57">
            <v>443.73615022131042</v>
          </cell>
          <cell r="P57">
            <v>442.09432646549152</v>
          </cell>
          <cell r="Q57">
            <v>440.45857745756916</v>
          </cell>
          <cell r="R57">
            <v>438.82888072097626</v>
          </cell>
          <cell r="S57">
            <v>437.2052138623086</v>
          </cell>
          <cell r="T57">
            <v>435.58755457101802</v>
          </cell>
          <cell r="U57">
            <v>433.97588061910528</v>
          </cell>
          <cell r="V57">
            <v>432.37016986081449</v>
          </cell>
          <cell r="W57">
            <v>430.77040023232951</v>
          </cell>
          <cell r="X57">
            <v>429.17654975146979</v>
          </cell>
          <cell r="Y57">
            <v>427.58859651738936</v>
          </cell>
          <cell r="Z57">
            <v>426.00651871027503</v>
          </cell>
          <cell r="AA57">
            <v>424.43029459104702</v>
          </cell>
          <cell r="AB57">
            <v>422.85990250106011</v>
          </cell>
          <cell r="AC57">
            <v>421.2953208618062</v>
          </cell>
          <cell r="AD57">
            <v>419.73652817461749</v>
          </cell>
          <cell r="AE57">
            <v>418.18350302037135</v>
          </cell>
        </row>
        <row r="58">
          <cell r="G58" t="str">
            <v>RegionSupermarketStock 2016</v>
          </cell>
          <cell r="H58" t="str">
            <v>Com</v>
          </cell>
          <cell r="I58" t="str">
            <v>Supermarket</v>
          </cell>
          <cell r="J58" t="str">
            <v>Stock 2016</v>
          </cell>
          <cell r="K58" t="str">
            <v>Millions SqFt</v>
          </cell>
          <cell r="L58">
            <v>53.720939527021244</v>
          </cell>
          <cell r="M58">
            <v>53.237451071278059</v>
          </cell>
          <cell r="N58">
            <v>52.758314011636557</v>
          </cell>
          <cell r="O58">
            <v>52.283489185531828</v>
          </cell>
          <cell r="P58">
            <v>51.812937782862043</v>
          </cell>
          <cell r="Q58">
            <v>51.346621342816277</v>
          </cell>
          <cell r="R58">
            <v>50.884501750730934</v>
          </cell>
          <cell r="S58">
            <v>50.426541234974358</v>
          </cell>
          <cell r="T58">
            <v>49.97270236385959</v>
          </cell>
          <cell r="U58">
            <v>49.522948042584851</v>
          </cell>
          <cell r="V58">
            <v>49.077241510201581</v>
          </cell>
          <cell r="W58">
            <v>48.635546336609778</v>
          </cell>
          <cell r="X58">
            <v>48.197826419580288</v>
          </cell>
          <cell r="Y58">
            <v>47.76404598180406</v>
          </cell>
          <cell r="Z58">
            <v>47.33416956796782</v>
          </cell>
          <cell r="AA58">
            <v>46.908162041856116</v>
          </cell>
          <cell r="AB58">
            <v>46.485988583479411</v>
          </cell>
          <cell r="AC58">
            <v>46.067614686228097</v>
          </cell>
          <cell r="AD58">
            <v>45.653006154052044</v>
          </cell>
          <cell r="AE58">
            <v>45.242129098665572</v>
          </cell>
        </row>
        <row r="59">
          <cell r="G59" t="str">
            <v>RegionMiniMartStock 2016</v>
          </cell>
          <cell r="H59" t="str">
            <v>Com</v>
          </cell>
          <cell r="I59" t="str">
            <v>MiniMart</v>
          </cell>
          <cell r="J59" t="str">
            <v>Stock 2016</v>
          </cell>
          <cell r="K59" t="str">
            <v>Millions SqFt</v>
          </cell>
          <cell r="L59">
            <v>22.491017060912501</v>
          </cell>
          <cell r="M59">
            <v>22.384859460384995</v>
          </cell>
          <cell r="N59">
            <v>22.279202923731983</v>
          </cell>
          <cell r="O59">
            <v>22.174045085931969</v>
          </cell>
          <cell r="P59">
            <v>22.069383593126368</v>
          </cell>
          <cell r="Q59">
            <v>21.965216102566814</v>
          </cell>
          <cell r="R59">
            <v>21.8615402825627</v>
          </cell>
          <cell r="S59">
            <v>21.758353812429004</v>
          </cell>
          <cell r="T59">
            <v>21.655654382434342</v>
          </cell>
          <cell r="U59">
            <v>21.553439693749251</v>
          </cell>
          <cell r="V59">
            <v>21.451707458394754</v>
          </cell>
          <cell r="W59">
            <v>21.350455399191134</v>
          </cell>
          <cell r="X59">
            <v>21.249681249706953</v>
          </cell>
          <cell r="Y59">
            <v>21.149382754208336</v>
          </cell>
          <cell r="Z59">
            <v>21.049557667608472</v>
          </cell>
          <cell r="AA59">
            <v>20.950203755417366</v>
          </cell>
          <cell r="AB59">
            <v>20.851318793691796</v>
          </cell>
          <cell r="AC59">
            <v>20.75290056898557</v>
          </cell>
          <cell r="AD59">
            <v>20.654946878299963</v>
          </cell>
          <cell r="AE59">
            <v>20.557455529034385</v>
          </cell>
        </row>
        <row r="60">
          <cell r="G60" t="str">
            <v>RegionRestaurantStock 2016</v>
          </cell>
          <cell r="H60" t="str">
            <v>Com</v>
          </cell>
          <cell r="I60" t="str">
            <v>Restaurant</v>
          </cell>
          <cell r="J60" t="str">
            <v>Stock 2016</v>
          </cell>
          <cell r="K60" t="str">
            <v>Millions SqFt</v>
          </cell>
          <cell r="L60">
            <v>51.550857208753726</v>
          </cell>
          <cell r="M60">
            <v>51.307537162728408</v>
          </cell>
          <cell r="N60">
            <v>51.065365587320336</v>
          </cell>
          <cell r="O60">
            <v>50.824337061748189</v>
          </cell>
          <cell r="P60">
            <v>50.584446190816735</v>
          </cell>
          <cell r="Q60">
            <v>50.345687604796083</v>
          </cell>
          <cell r="R60">
            <v>50.108055959301453</v>
          </cell>
          <cell r="S60">
            <v>49.871545935173543</v>
          </cell>
          <cell r="T60">
            <v>49.636152238359529</v>
          </cell>
          <cell r="U60">
            <v>49.40186959979448</v>
          </cell>
          <cell r="V60">
            <v>49.168692775283453</v>
          </cell>
          <cell r="W60">
            <v>48.936616545384119</v>
          </cell>
          <cell r="X60">
            <v>48.705635715289908</v>
          </cell>
          <cell r="Y60">
            <v>48.475745114713739</v>
          </cell>
          <cell r="Z60">
            <v>48.246939597772297</v>
          </cell>
          <cell r="AA60">
            <v>48.019214042870807</v>
          </cell>
          <cell r="AB60">
            <v>47.792563352588466</v>
          </cell>
          <cell r="AC60">
            <v>47.56698245356425</v>
          </cell>
          <cell r="AD60">
            <v>47.342466296383435</v>
          </cell>
          <cell r="AE60">
            <v>47.119009855464505</v>
          </cell>
        </row>
        <row r="61">
          <cell r="G61" t="str">
            <v>RegionLodgingStock 2016</v>
          </cell>
          <cell r="H61" t="str">
            <v>Com</v>
          </cell>
          <cell r="I61" t="str">
            <v>Lodging</v>
          </cell>
          <cell r="J61" t="str">
            <v>Stock 2016</v>
          </cell>
          <cell r="K61" t="str">
            <v>Millions SqFt</v>
          </cell>
          <cell r="L61">
            <v>170.15189589049527</v>
          </cell>
          <cell r="M61">
            <v>169.74353134035809</v>
          </cell>
          <cell r="N61">
            <v>169.33614686514122</v>
          </cell>
          <cell r="O61">
            <v>168.92974011266489</v>
          </cell>
          <cell r="P61">
            <v>168.52430873639449</v>
          </cell>
          <cell r="Q61">
            <v>168.11985039542716</v>
          </cell>
          <cell r="R61">
            <v>167.71636275447813</v>
          </cell>
          <cell r="S61">
            <v>167.31384348386743</v>
          </cell>
          <cell r="T61">
            <v>166.91229025950614</v>
          </cell>
          <cell r="U61">
            <v>166.51170076288332</v>
          </cell>
          <cell r="V61">
            <v>166.11207268105238</v>
          </cell>
          <cell r="W61">
            <v>165.7134037066179</v>
          </cell>
          <cell r="X61">
            <v>165.31569153772202</v>
          </cell>
          <cell r="Y61">
            <v>164.91893387803151</v>
          </cell>
          <cell r="Z61">
            <v>164.52312843672422</v>
          </cell>
          <cell r="AA61">
            <v>164.12827292847609</v>
          </cell>
          <cell r="AB61">
            <v>163.73436507344778</v>
          </cell>
          <cell r="AC61">
            <v>163.3414025972715</v>
          </cell>
          <cell r="AD61">
            <v>162.94938323103807</v>
          </cell>
          <cell r="AE61">
            <v>162.55830471128357</v>
          </cell>
        </row>
        <row r="62">
          <cell r="G62" t="str">
            <v>RegionHospitalStock 2016</v>
          </cell>
          <cell r="H62" t="str">
            <v>Com</v>
          </cell>
          <cell r="I62" t="str">
            <v>Hospital</v>
          </cell>
          <cell r="J62" t="str">
            <v>Stock 2016</v>
          </cell>
          <cell r="K62" t="str">
            <v>Millions SqFt</v>
          </cell>
          <cell r="L62">
            <v>105.02947953487826</v>
          </cell>
          <cell r="M62">
            <v>104.80891762785501</v>
          </cell>
          <cell r="N62">
            <v>104.58881890083651</v>
          </cell>
          <cell r="O62">
            <v>104.36918238114475</v>
          </cell>
          <cell r="P62">
            <v>104.15000709814436</v>
          </cell>
          <cell r="Q62">
            <v>103.93129208323826</v>
          </cell>
          <cell r="R62">
            <v>103.71303636986346</v>
          </cell>
          <cell r="S62">
            <v>103.49523899348674</v>
          </cell>
          <cell r="T62">
            <v>103.27789899160042</v>
          </cell>
          <cell r="U62">
            <v>103.06101540371807</v>
          </cell>
          <cell r="V62">
            <v>102.84458727137024</v>
          </cell>
          <cell r="W62">
            <v>102.62861363810038</v>
          </cell>
          <cell r="X62">
            <v>102.41309354946036</v>
          </cell>
          <cell r="Y62">
            <v>102.19802605300649</v>
          </cell>
          <cell r="Z62">
            <v>101.98341019829519</v>
          </cell>
          <cell r="AA62">
            <v>101.76924503687877</v>
          </cell>
          <cell r="AB62">
            <v>101.55552962230132</v>
          </cell>
          <cell r="AC62">
            <v>101.3422630100945</v>
          </cell>
          <cell r="AD62">
            <v>101.1294442577733</v>
          </cell>
          <cell r="AE62">
            <v>100.91707242483197</v>
          </cell>
        </row>
        <row r="63">
          <cell r="G63" t="str">
            <v>RegionResidential CareStock 2016</v>
          </cell>
          <cell r="H63" t="str">
            <v>Com</v>
          </cell>
          <cell r="I63" t="str">
            <v>Residential Care</v>
          </cell>
          <cell r="J63" t="str">
            <v>Stock 2016</v>
          </cell>
          <cell r="K63" t="str">
            <v>Millions SqFt</v>
          </cell>
          <cell r="L63">
            <v>128.74820917277606</v>
          </cell>
          <cell r="M63">
            <v>128.43921347076139</v>
          </cell>
          <cell r="N63">
            <v>128.1309593584316</v>
          </cell>
          <cell r="O63">
            <v>127.82344505597135</v>
          </cell>
          <cell r="P63">
            <v>127.51666878783702</v>
          </cell>
          <cell r="Q63">
            <v>127.21062878274621</v>
          </cell>
          <cell r="R63">
            <v>126.90532327366765</v>
          </cell>
          <cell r="S63">
            <v>126.60075049781085</v>
          </cell>
          <cell r="T63">
            <v>126.29690869661611</v>
          </cell>
          <cell r="U63">
            <v>125.99379611574425</v>
          </cell>
          <cell r="V63">
            <v>125.69141100506647</v>
          </cell>
          <cell r="W63">
            <v>125.3897516186543</v>
          </cell>
          <cell r="X63">
            <v>125.08881621476955</v>
          </cell>
          <cell r="Y63">
            <v>124.78860305585408</v>
          </cell>
          <cell r="Z63">
            <v>124.48911040852005</v>
          </cell>
          <cell r="AA63">
            <v>124.1903365435396</v>
          </cell>
          <cell r="AB63">
            <v>123.8922797358351</v>
          </cell>
          <cell r="AC63">
            <v>123.59493826446912</v>
          </cell>
          <cell r="AD63">
            <v>123.29831041263438</v>
          </cell>
          <cell r="AE63">
            <v>123.00239446764408</v>
          </cell>
        </row>
        <row r="64">
          <cell r="G64" t="str">
            <v>RegionAssemblyStock 2016</v>
          </cell>
          <cell r="H64" t="str">
            <v>Com</v>
          </cell>
          <cell r="I64" t="str">
            <v>Assembly</v>
          </cell>
          <cell r="J64" t="str">
            <v>Stock 2016</v>
          </cell>
          <cell r="K64" t="str">
            <v>Millions SqFt</v>
          </cell>
          <cell r="L64">
            <v>375.90224900649127</v>
          </cell>
          <cell r="M64">
            <v>374.21570091594884</v>
          </cell>
          <cell r="N64">
            <v>372.53671980450594</v>
          </cell>
          <cell r="O64">
            <v>370.86527172164978</v>
          </cell>
          <cell r="P64">
            <v>369.20132286919198</v>
          </cell>
          <cell r="Q64">
            <v>367.54483960058553</v>
          </cell>
          <cell r="R64">
            <v>365.89578842024423</v>
          </cell>
          <cell r="S64">
            <v>364.25413598286536</v>
          </cell>
          <cell r="T64">
            <v>362.6198490927556</v>
          </cell>
          <cell r="U64">
            <v>360.99289470315949</v>
          </cell>
          <cell r="V64">
            <v>359.37323991559134</v>
          </cell>
          <cell r="W64">
            <v>357.76085197917007</v>
          </cell>
          <cell r="X64">
            <v>356.15569828995689</v>
          </cell>
          <cell r="Y64">
            <v>354.55774639029596</v>
          </cell>
          <cell r="Z64">
            <v>352.96696396815821</v>
          </cell>
          <cell r="AA64">
            <v>351.38331885648773</v>
          </cell>
          <cell r="AB64">
            <v>349.80677903255156</v>
          </cell>
          <cell r="AC64">
            <v>348.23731261729228</v>
          </cell>
          <cell r="AD64">
            <v>346.67488787468267</v>
          </cell>
          <cell r="AE64">
            <v>345.11947321108494</v>
          </cell>
        </row>
        <row r="65">
          <cell r="G65" t="str">
            <v>RegionOtherStock 2016</v>
          </cell>
          <cell r="H65" t="str">
            <v>Com</v>
          </cell>
          <cell r="I65" t="str">
            <v>Other</v>
          </cell>
          <cell r="J65" t="str">
            <v>Stock 2016</v>
          </cell>
          <cell r="K65" t="str">
            <v>Millions SqFt</v>
          </cell>
          <cell r="L65">
            <v>342.64988330108076</v>
          </cell>
          <cell r="M65">
            <v>339.56603435137106</v>
          </cell>
          <cell r="N65">
            <v>336.50994004220871</v>
          </cell>
          <cell r="O65">
            <v>333.48135058182885</v>
          </cell>
          <cell r="P65">
            <v>330.48001842659238</v>
          </cell>
          <cell r="Q65">
            <v>327.50569826075304</v>
          </cell>
          <cell r="R65">
            <v>324.55814697640625</v>
          </cell>
          <cell r="S65">
            <v>321.63712365361863</v>
          </cell>
          <cell r="T65">
            <v>318.7423895407361</v>
          </cell>
          <cell r="U65">
            <v>315.87370803486942</v>
          </cell>
          <cell r="V65">
            <v>313.03084466255564</v>
          </cell>
          <cell r="W65">
            <v>310.21356706059254</v>
          </cell>
          <cell r="X65">
            <v>307.42164495704725</v>
          </cell>
          <cell r="Y65">
            <v>304.65485015243382</v>
          </cell>
          <cell r="Z65">
            <v>301.9129565010619</v>
          </cell>
          <cell r="AA65">
            <v>299.19573989255235</v>
          </cell>
          <cell r="AB65">
            <v>296.50297823351934</v>
          </cell>
          <cell r="AC65">
            <v>293.83445142941764</v>
          </cell>
          <cell r="AD65">
            <v>291.18994136655289</v>
          </cell>
          <cell r="AE65">
            <v>288.5692318942539</v>
          </cell>
        </row>
        <row r="66">
          <cell r="G66" t="str">
            <v>RegionIdahoStock</v>
          </cell>
          <cell r="H66" t="str">
            <v>Ag</v>
          </cell>
          <cell r="I66" t="str">
            <v>Idaho</v>
          </cell>
          <cell r="J66" t="str">
            <v>Stock</v>
          </cell>
          <cell r="K66" t="str">
            <v>% Growth</v>
          </cell>
          <cell r="L66">
            <v>0</v>
          </cell>
          <cell r="M66">
            <v>1.2504100211369894E-4</v>
          </cell>
          <cell r="N66">
            <v>1.7375879514796466E-4</v>
          </cell>
          <cell r="O66">
            <v>6.1210927779177624E-4</v>
          </cell>
          <cell r="P66">
            <v>8.8127487458086599E-4</v>
          </cell>
          <cell r="Q66">
            <v>1.1201972174019578E-3</v>
          </cell>
          <cell r="R66">
            <v>1.2717867360821197E-3</v>
          </cell>
          <cell r="S66">
            <v>1.4404642508513471E-3</v>
          </cell>
          <cell r="T66">
            <v>1.5874396385228723E-3</v>
          </cell>
          <cell r="U66">
            <v>1.7204636459112381E-3</v>
          </cell>
          <cell r="V66">
            <v>1.8289050040785739E-3</v>
          </cell>
          <cell r="W66">
            <v>1.9377539743383628E-3</v>
          </cell>
          <cell r="X66">
            <v>2.0316119038316116E-3</v>
          </cell>
          <cell r="Y66">
            <v>2.128079506222659E-3</v>
          </cell>
          <cell r="Z66">
            <v>2.2126572758413075E-3</v>
          </cell>
          <cell r="AA66">
            <v>2.2578225416429688E-3</v>
          </cell>
          <cell r="AB66">
            <v>2.3464540176612314E-3</v>
          </cell>
          <cell r="AC66">
            <v>2.414467009038601E-3</v>
          </cell>
          <cell r="AD66">
            <v>2.4848313911262653E-3</v>
          </cell>
          <cell r="AE66">
            <v>2.5344116000376449E-3</v>
          </cell>
        </row>
        <row r="67">
          <cell r="G67" t="str">
            <v>RegionMontanaStock</v>
          </cell>
          <cell r="H67" t="str">
            <v>Ag</v>
          </cell>
          <cell r="I67" t="str">
            <v>Montana</v>
          </cell>
          <cell r="J67" t="str">
            <v>Stock</v>
          </cell>
          <cell r="K67" t="str">
            <v>% Growth</v>
          </cell>
          <cell r="L67">
            <v>0</v>
          </cell>
          <cell r="M67">
            <v>1.0848242299839954E-2</v>
          </cell>
          <cell r="N67">
            <v>1.059267655252486E-2</v>
          </cell>
          <cell r="O67">
            <v>1.0752312089181865E-2</v>
          </cell>
          <cell r="P67">
            <v>1.075849831916186E-2</v>
          </cell>
          <cell r="Q67">
            <v>7.6567396067742733E-3</v>
          </cell>
          <cell r="R67">
            <v>7.6532068711881581E-3</v>
          </cell>
          <cell r="S67">
            <v>7.9235679867256659E-3</v>
          </cell>
          <cell r="T67">
            <v>8.1459053842477987E-3</v>
          </cell>
          <cell r="U67">
            <v>8.331284422267278E-3</v>
          </cell>
          <cell r="V67">
            <v>8.47135846405455E-3</v>
          </cell>
          <cell r="W67">
            <v>8.5938864965773454E-3</v>
          </cell>
          <cell r="X67">
            <v>8.6866032784890905E-3</v>
          </cell>
          <cell r="Y67">
            <v>8.7680800681235963E-3</v>
          </cell>
          <cell r="Z67">
            <v>8.8271867856936984E-3</v>
          </cell>
          <cell r="AA67">
            <v>8.8355566433926322E-3</v>
          </cell>
          <cell r="AB67">
            <v>8.8812025924713319E-3</v>
          </cell>
          <cell r="AC67">
            <v>8.8979055290069331E-3</v>
          </cell>
          <cell r="AD67">
            <v>8.9118787925779024E-3</v>
          </cell>
          <cell r="AE67">
            <v>8.9015256915168112E-3</v>
          </cell>
        </row>
        <row r="68">
          <cell r="G68" t="str">
            <v>RegionOregonStock</v>
          </cell>
          <cell r="H68" t="str">
            <v>Ag</v>
          </cell>
          <cell r="I68" t="str">
            <v>Oregon</v>
          </cell>
          <cell r="J68" t="str">
            <v>Stock</v>
          </cell>
          <cell r="K68" t="str">
            <v>% Growth</v>
          </cell>
          <cell r="L68">
            <v>0</v>
          </cell>
          <cell r="M68">
            <v>1.0110842680911804E-2</v>
          </cell>
          <cell r="N68">
            <v>1.0059217505089263E-2</v>
          </cell>
          <cell r="O68">
            <v>1.1176866051223918E-2</v>
          </cell>
          <cell r="P68">
            <v>1.9803102619340613E-2</v>
          </cell>
          <cell r="Q68">
            <v>1.2078828157499845E-2</v>
          </cell>
          <cell r="R68">
            <v>1.2074917420983849E-2</v>
          </cell>
          <cell r="S68">
            <v>1.2823009061012478E-2</v>
          </cell>
          <cell r="T68">
            <v>1.2064646132519813E-2</v>
          </cell>
          <cell r="U68">
            <v>2.1359830411811859E-2</v>
          </cell>
          <cell r="V68">
            <v>1.1864279678250279E-2</v>
          </cell>
          <cell r="W68">
            <v>1.1811806122028052E-2</v>
          </cell>
          <cell r="X68">
            <v>1.1060463245174785E-2</v>
          </cell>
          <cell r="Y68">
            <v>1.1689201211084101E-2</v>
          </cell>
          <cell r="Z68">
            <v>1.9623204602959039E-2</v>
          </cell>
          <cell r="AA68">
            <v>1.2054155221857031E-2</v>
          </cell>
          <cell r="AB68">
            <v>1.2615728823653952E-2</v>
          </cell>
          <cell r="AC68">
            <v>1.2496481187089379E-2</v>
          </cell>
          <cell r="AD68">
            <v>1.1753415892541448E-2</v>
          </cell>
          <cell r="AE68">
            <v>2.0946064887122692E-2</v>
          </cell>
        </row>
        <row r="69">
          <cell r="G69" t="str">
            <v>RegionWashingtonStock</v>
          </cell>
          <cell r="H69" t="str">
            <v>Ag</v>
          </cell>
          <cell r="I69" t="str">
            <v>Washington</v>
          </cell>
          <cell r="J69" t="str">
            <v>Stock</v>
          </cell>
          <cell r="K69" t="str">
            <v>% Growth</v>
          </cell>
          <cell r="L69">
            <v>0</v>
          </cell>
          <cell r="M69">
            <v>1.0662122206220235E-2</v>
          </cell>
          <cell r="N69">
            <v>1.0931258902780325E-2</v>
          </cell>
          <cell r="O69">
            <v>1.1173761515183053E-2</v>
          </cell>
          <cell r="P69">
            <v>1.811439906784525E-2</v>
          </cell>
          <cell r="Q69">
            <v>1.2399989211989764E-2</v>
          </cell>
          <cell r="R69">
            <v>1.1939862954954953E-2</v>
          </cell>
          <cell r="S69">
            <v>1.2288284859874222E-2</v>
          </cell>
          <cell r="T69">
            <v>1.1842226253476947E-2</v>
          </cell>
          <cell r="U69">
            <v>1.9682157833762929E-2</v>
          </cell>
          <cell r="V69">
            <v>1.1592234987503456E-2</v>
          </cell>
          <cell r="W69">
            <v>1.1147844023716795E-2</v>
          </cell>
          <cell r="X69">
            <v>1.1425985017752077E-2</v>
          </cell>
          <cell r="Y69">
            <v>1.0985810035676221E-2</v>
          </cell>
          <cell r="Z69">
            <v>1.7930228386922677E-2</v>
          </cell>
          <cell r="AA69">
            <v>1.1736355426763144E-2</v>
          </cell>
          <cell r="AB69">
            <v>1.1982095590114178E-2</v>
          </cell>
          <cell r="AC69">
            <v>1.1862624139313738E-2</v>
          </cell>
          <cell r="AD69">
            <v>1.1418033334772959E-2</v>
          </cell>
          <cell r="AE69">
            <v>1.8838157687553127E-2</v>
          </cell>
        </row>
        <row r="70">
          <cell r="G70" t="str">
            <v>RegionIdahoDairyStock</v>
          </cell>
          <cell r="H70" t="str">
            <v>Dairy</v>
          </cell>
          <cell r="I70" t="str">
            <v>IdahoDairy</v>
          </cell>
          <cell r="J70" t="str">
            <v>Stock</v>
          </cell>
          <cell r="K70" t="str">
            <v>1000lbs</v>
          </cell>
          <cell r="L70">
            <v>13629.012110609969</v>
          </cell>
          <cell r="M70">
            <v>13842.907114251881</v>
          </cell>
          <cell r="N70">
            <v>14023.216425344392</v>
          </cell>
          <cell r="O70">
            <v>14266.319353967396</v>
          </cell>
          <cell r="P70">
            <v>14513.683501515552</v>
          </cell>
          <cell r="Q70">
            <v>14784.738793280194</v>
          </cell>
          <cell r="R70">
            <v>15048.82150982591</v>
          </cell>
          <cell r="S70">
            <v>15351.081667959821</v>
          </cell>
          <cell r="T70">
            <v>15676.70161423125</v>
          </cell>
          <cell r="U70">
            <v>16022.910400199034</v>
          </cell>
          <cell r="V70">
            <v>16435.334001552066</v>
          </cell>
          <cell r="W70">
            <v>16796.9270935268</v>
          </cell>
          <cell r="X70">
            <v>17186.008838626629</v>
          </cell>
          <cell r="Y70">
            <v>17509.663776252026</v>
          </cell>
          <cell r="Z70">
            <v>17849.045518001847</v>
          </cell>
          <cell r="AA70">
            <v>18205.116228437721</v>
          </cell>
          <cell r="AB70">
            <v>18533.843580326749</v>
          </cell>
          <cell r="AC70">
            <v>18839.457555909743</v>
          </cell>
          <cell r="AD70">
            <v>19186.22471079613</v>
          </cell>
          <cell r="AE70">
            <v>19422.392838095242</v>
          </cell>
        </row>
        <row r="71">
          <cell r="G71" t="str">
            <v>RegionMontanaDairyStock</v>
          </cell>
          <cell r="H71" t="str">
            <v>Dairy</v>
          </cell>
          <cell r="I71" t="str">
            <v>MontanaDairy</v>
          </cell>
          <cell r="J71" t="str">
            <v>Stock</v>
          </cell>
          <cell r="K71" t="str">
            <v>1000lbs</v>
          </cell>
          <cell r="L71">
            <v>90.74529582059904</v>
          </cell>
          <cell r="M71">
            <v>90.898327903457215</v>
          </cell>
          <cell r="N71">
            <v>90.899562515809663</v>
          </cell>
          <cell r="O71">
            <v>91.013237267303055</v>
          </cell>
          <cell r="P71">
            <v>90.967755259326395</v>
          </cell>
          <cell r="Q71">
            <v>90.924506050749457</v>
          </cell>
          <cell r="R71">
            <v>91.025748037140048</v>
          </cell>
          <cell r="S71">
            <v>91.099301040678228</v>
          </cell>
          <cell r="T71">
            <v>90.915023147811965</v>
          </cell>
          <cell r="U71">
            <v>90.903023153329187</v>
          </cell>
          <cell r="V71">
            <v>90.903850245090197</v>
          </cell>
          <cell r="W71">
            <v>90.425722269176404</v>
          </cell>
          <cell r="X71">
            <v>90.371471553755299</v>
          </cell>
          <cell r="Y71">
            <v>90.264014484201496</v>
          </cell>
          <cell r="Z71">
            <v>90.097051493259059</v>
          </cell>
          <cell r="AA71">
            <v>89.896800203896433</v>
          </cell>
          <cell r="AB71">
            <v>89.896456479218287</v>
          </cell>
          <cell r="AC71">
            <v>89.606519803497406</v>
          </cell>
          <cell r="AD71">
            <v>89.325294250105614</v>
          </cell>
          <cell r="AE71">
            <v>89.328380794090677</v>
          </cell>
        </row>
        <row r="72">
          <cell r="G72" t="str">
            <v>RegionOregonDairyStock</v>
          </cell>
          <cell r="H72" t="str">
            <v>Dairy</v>
          </cell>
          <cell r="I72" t="str">
            <v>OregonDairy</v>
          </cell>
          <cell r="J72" t="str">
            <v>Stock</v>
          </cell>
          <cell r="K72" t="str">
            <v>1000lbs</v>
          </cell>
          <cell r="L72">
            <v>2744.180551622544</v>
          </cell>
          <cell r="M72">
            <v>2781.3253166710429</v>
          </cell>
          <cell r="N72">
            <v>2817.8028576592669</v>
          </cell>
          <cell r="O72">
            <v>2852.4466796581391</v>
          </cell>
          <cell r="P72">
            <v>2887.2703785501863</v>
          </cell>
          <cell r="Q72">
            <v>2923.2055190854799</v>
          </cell>
          <cell r="R72">
            <v>2963.8717110873577</v>
          </cell>
          <cell r="S72">
            <v>3007.9285968792492</v>
          </cell>
          <cell r="T72">
            <v>3054.4586648127197</v>
          </cell>
          <cell r="U72">
            <v>3103.2723514737127</v>
          </cell>
          <cell r="V72">
            <v>3155.2926430989965</v>
          </cell>
          <cell r="W72">
            <v>3205.2179835947745</v>
          </cell>
          <cell r="X72">
            <v>3255.0785902298294</v>
          </cell>
          <cell r="Y72">
            <v>3304.2085620815005</v>
          </cell>
          <cell r="Z72">
            <v>3359.7128554945239</v>
          </cell>
          <cell r="AA72">
            <v>3405.0605171911329</v>
          </cell>
          <cell r="AB72">
            <v>3454.1652559274162</v>
          </cell>
          <cell r="AC72">
            <v>3509.2005551615157</v>
          </cell>
          <cell r="AD72">
            <v>3557.2266817524842</v>
          </cell>
          <cell r="AE72">
            <v>3610.3576666465606</v>
          </cell>
        </row>
        <row r="73">
          <cell r="G73" t="str">
            <v>RegionWashingtonDairyStock</v>
          </cell>
          <cell r="H73" t="str">
            <v>Dairy</v>
          </cell>
          <cell r="I73" t="str">
            <v>WashingtonDairy</v>
          </cell>
          <cell r="J73" t="str">
            <v>Stock</v>
          </cell>
          <cell r="K73" t="str">
            <v>1000lbs</v>
          </cell>
          <cell r="L73">
            <v>6417.4166624736044</v>
          </cell>
          <cell r="M73">
            <v>6527.6845985495966</v>
          </cell>
          <cell r="N73">
            <v>6648.0748527559354</v>
          </cell>
          <cell r="O73">
            <v>6750.5768396680051</v>
          </cell>
          <cell r="P73">
            <v>6858.9947023924851</v>
          </cell>
          <cell r="Q73">
            <v>6950.9448303929594</v>
          </cell>
          <cell r="R73">
            <v>7066.5055116132971</v>
          </cell>
          <cell r="S73">
            <v>7154.1963866384513</v>
          </cell>
          <cell r="T73">
            <v>7260.5595150379595</v>
          </cell>
          <cell r="U73">
            <v>7382.1828771063319</v>
          </cell>
          <cell r="V73">
            <v>7515.612457778011</v>
          </cell>
          <cell r="W73">
            <v>7658.3815592644387</v>
          </cell>
          <cell r="X73">
            <v>7790.6041619373518</v>
          </cell>
          <cell r="Y73">
            <v>7925.9535611829233</v>
          </cell>
          <cell r="Z73">
            <v>8056.1594585167277</v>
          </cell>
          <cell r="AA73">
            <v>8212.3413257643278</v>
          </cell>
          <cell r="AB73">
            <v>8359.6360208598271</v>
          </cell>
          <cell r="AC73">
            <v>8487.3604780857568</v>
          </cell>
          <cell r="AD73">
            <v>8647.4216609802097</v>
          </cell>
          <cell r="AE73">
            <v>8766.8632794861296</v>
          </cell>
        </row>
        <row r="74">
          <cell r="G74" t="str">
            <v>RegionMechanical PulpStock</v>
          </cell>
          <cell r="H74" t="str">
            <v>Ind</v>
          </cell>
          <cell r="I74" t="str">
            <v>Mechanical Pulp</v>
          </cell>
          <cell r="J74" t="str">
            <v>Stock</v>
          </cell>
          <cell r="K74" t="str">
            <v>Consumption (MWh)</v>
          </cell>
          <cell r="L74">
            <v>3758422.9515033378</v>
          </cell>
          <cell r="M74">
            <v>3846371.717457301</v>
          </cell>
          <cell r="N74">
            <v>3968374.1915052147</v>
          </cell>
          <cell r="O74">
            <v>4090510.3824295267</v>
          </cell>
          <cell r="P74">
            <v>4250302.9154343279</v>
          </cell>
          <cell r="Q74">
            <v>4334033.2977658212</v>
          </cell>
          <cell r="R74">
            <v>4456327.439187984</v>
          </cell>
          <cell r="S74">
            <v>4578789.2711511394</v>
          </cell>
          <cell r="T74">
            <v>4701360.1942719091</v>
          </cell>
          <cell r="U74">
            <v>4824313.8733196864</v>
          </cell>
          <cell r="V74">
            <v>4947352.2681518989</v>
          </cell>
          <cell r="W74">
            <v>5070668.4941239785</v>
          </cell>
          <cell r="X74">
            <v>5241393.4127492504</v>
          </cell>
          <cell r="Y74">
            <v>5317320.3001071345</v>
          </cell>
          <cell r="Z74">
            <v>5440661.5619043242</v>
          </cell>
          <cell r="AA74">
            <v>5564018.2642552005</v>
          </cell>
          <cell r="AB74">
            <v>5739586.1964683067</v>
          </cell>
          <cell r="AC74">
            <v>5811280.9684790904</v>
          </cell>
          <cell r="AD74">
            <v>5935246.9976805374</v>
          </cell>
          <cell r="AE74">
            <v>6059032.0232603503</v>
          </cell>
        </row>
        <row r="75">
          <cell r="G75" t="str">
            <v>RegionKraft PulpStock</v>
          </cell>
          <cell r="H75" t="str">
            <v>Ind</v>
          </cell>
          <cell r="I75" t="str">
            <v>Kraft Pulp</v>
          </cell>
          <cell r="J75" t="str">
            <v>Stock</v>
          </cell>
          <cell r="K75" t="str">
            <v>Consumption (MWh)</v>
          </cell>
          <cell r="L75">
            <v>2773481.4382196674</v>
          </cell>
          <cell r="M75">
            <v>2819427.5750914654</v>
          </cell>
          <cell r="N75">
            <v>2890507.7097985409</v>
          </cell>
          <cell r="O75">
            <v>2962071.1114584161</v>
          </cell>
          <cell r="P75">
            <v>3059997.7868964532</v>
          </cell>
          <cell r="Q75">
            <v>3103655.7832492976</v>
          </cell>
          <cell r="R75">
            <v>3174966.0896720556</v>
          </cell>
          <cell r="S75">
            <v>3246510.2403896889</v>
          </cell>
          <cell r="T75">
            <v>3318080.388651574</v>
          </cell>
          <cell r="U75">
            <v>3389982.4618547466</v>
          </cell>
          <cell r="V75">
            <v>3462131.4738810235</v>
          </cell>
          <cell r="W75">
            <v>3534707.6510694856</v>
          </cell>
          <cell r="X75">
            <v>3640109.6347631621</v>
          </cell>
          <cell r="Y75">
            <v>3679903.4172538687</v>
          </cell>
          <cell r="Z75">
            <v>3752596.4740436999</v>
          </cell>
          <cell r="AA75">
            <v>3825294.7476344355</v>
          </cell>
          <cell r="AB75">
            <v>3934104.1351328893</v>
          </cell>
          <cell r="AC75">
            <v>3971456.2759534372</v>
          </cell>
          <cell r="AD75">
            <v>4044721.9040998006</v>
          </cell>
          <cell r="AE75">
            <v>4117951.8072271077</v>
          </cell>
        </row>
        <row r="76">
          <cell r="G76" t="str">
            <v>RegionPaperStock</v>
          </cell>
          <cell r="H76" t="str">
            <v>Ind</v>
          </cell>
          <cell r="I76" t="str">
            <v>Paper</v>
          </cell>
          <cell r="J76" t="str">
            <v>Stock</v>
          </cell>
          <cell r="K76" t="str">
            <v>Consumption (MWh)</v>
          </cell>
          <cell r="L76">
            <v>909695.70566164097</v>
          </cell>
          <cell r="M76">
            <v>929841.98736761883</v>
          </cell>
          <cell r="N76">
            <v>958296.9900283548</v>
          </cell>
          <cell r="O76">
            <v>986772.46541472664</v>
          </cell>
          <cell r="P76">
            <v>1024503.2482359634</v>
          </cell>
          <cell r="Q76">
            <v>1043814.269249864</v>
          </cell>
          <cell r="R76">
            <v>1072416.0473229263</v>
          </cell>
          <cell r="S76">
            <v>1101138.6289797227</v>
          </cell>
          <cell r="T76">
            <v>1129827.4252453854</v>
          </cell>
          <cell r="U76">
            <v>1158615.4096222189</v>
          </cell>
          <cell r="V76">
            <v>1187381.7412163604</v>
          </cell>
          <cell r="W76">
            <v>1216221.7351596826</v>
          </cell>
          <cell r="X76">
            <v>1256359.4314945252</v>
          </cell>
          <cell r="Y76">
            <v>1273754.7023949234</v>
          </cell>
          <cell r="Z76">
            <v>1302557.2241510332</v>
          </cell>
          <cell r="AA76">
            <v>1331330.2770174742</v>
          </cell>
          <cell r="AB76">
            <v>1372605.4069409962</v>
          </cell>
          <cell r="AC76">
            <v>1388979.5459728481</v>
          </cell>
          <cell r="AD76">
            <v>1417876.2653212347</v>
          </cell>
          <cell r="AE76">
            <v>1446660.9687985121</v>
          </cell>
        </row>
        <row r="77">
          <cell r="G77" t="str">
            <v>RegionFoundriesStock</v>
          </cell>
          <cell r="H77" t="str">
            <v>Ind</v>
          </cell>
          <cell r="I77" t="str">
            <v>Foundries</v>
          </cell>
          <cell r="J77" t="str">
            <v>Stock</v>
          </cell>
          <cell r="K77" t="str">
            <v>Consumption (MWh)</v>
          </cell>
          <cell r="L77">
            <v>2911780.7125423807</v>
          </cell>
          <cell r="M77">
            <v>2836711.9420544878</v>
          </cell>
          <cell r="N77">
            <v>2789583.7208478679</v>
          </cell>
          <cell r="O77">
            <v>2744161.1652043322</v>
          </cell>
          <cell r="P77">
            <v>2724138.9595719618</v>
          </cell>
          <cell r="Q77">
            <v>2657920.4757749322</v>
          </cell>
          <cell r="R77">
            <v>2617304.9227809869</v>
          </cell>
          <cell r="S77">
            <v>2577672.8738681655</v>
          </cell>
          <cell r="T77">
            <v>2539470.2769998731</v>
          </cell>
          <cell r="U77">
            <v>2502370.6800410077</v>
          </cell>
          <cell r="V77">
            <v>2466328.7382904179</v>
          </cell>
          <cell r="W77">
            <v>2431145.5854122876</v>
          </cell>
          <cell r="X77">
            <v>2419072.5388772879</v>
          </cell>
          <cell r="Y77">
            <v>2363410.6682392037</v>
          </cell>
          <cell r="Z77">
            <v>2330315.4302864787</v>
          </cell>
          <cell r="AA77">
            <v>2297818.1106687617</v>
          </cell>
          <cell r="AB77">
            <v>2286770.7986101452</v>
          </cell>
          <cell r="AC77">
            <v>2234701.6262630955</v>
          </cell>
          <cell r="AD77">
            <v>2204017.8086585626</v>
          </cell>
          <cell r="AE77">
            <v>2173546.4494459317</v>
          </cell>
        </row>
        <row r="78">
          <cell r="G78" t="str">
            <v>RegionFrozen FoodStock</v>
          </cell>
          <cell r="H78" t="str">
            <v>Ind</v>
          </cell>
          <cell r="I78" t="str">
            <v>Frozen Food</v>
          </cell>
          <cell r="J78" t="str">
            <v>Stock</v>
          </cell>
          <cell r="K78" t="str">
            <v>Consumption (MWh)</v>
          </cell>
          <cell r="L78">
            <v>1237117.9151862806</v>
          </cell>
          <cell r="M78">
            <v>1256265.8697824469</v>
          </cell>
          <cell r="N78">
            <v>1286638.141562406</v>
          </cell>
          <cell r="O78">
            <v>1317026.0249685342</v>
          </cell>
          <cell r="P78">
            <v>1359372.6119707115</v>
          </cell>
          <cell r="Q78">
            <v>1377450.5956346455</v>
          </cell>
          <cell r="R78">
            <v>1407752.7747509496</v>
          </cell>
          <cell r="S78">
            <v>1438031.0417962291</v>
          </cell>
          <cell r="T78">
            <v>1468359.9477337729</v>
          </cell>
          <cell r="U78">
            <v>1498806.1175902041</v>
          </cell>
          <cell r="V78">
            <v>1529247.5005361729</v>
          </cell>
          <cell r="W78">
            <v>1559755.0254088808</v>
          </cell>
          <cell r="X78">
            <v>1604695.7181381483</v>
          </cell>
          <cell r="Y78">
            <v>1620685.0488578391</v>
          </cell>
          <cell r="Z78">
            <v>1651120.4927678995</v>
          </cell>
          <cell r="AA78">
            <v>1681526.4060613776</v>
          </cell>
          <cell r="AB78">
            <v>1727706.9650814079</v>
          </cell>
          <cell r="AC78">
            <v>1742468.2976748645</v>
          </cell>
          <cell r="AD78">
            <v>1772999.536528415</v>
          </cell>
          <cell r="AE78">
            <v>1803423.3883706611</v>
          </cell>
        </row>
        <row r="79">
          <cell r="G79" t="str">
            <v>RegionOther FoodStock</v>
          </cell>
          <cell r="H79" t="str">
            <v>Ind</v>
          </cell>
          <cell r="I79" t="str">
            <v>Other Food</v>
          </cell>
          <cell r="J79" t="str">
            <v>Stock</v>
          </cell>
          <cell r="K79" t="str">
            <v>Consumption (MWh)</v>
          </cell>
          <cell r="L79">
            <v>2189215.7914933185</v>
          </cell>
          <cell r="M79">
            <v>2225714.4170001475</v>
          </cell>
          <cell r="N79">
            <v>2281801.3842795906</v>
          </cell>
          <cell r="O79">
            <v>2337878.4662610777</v>
          </cell>
          <cell r="P79">
            <v>2414859.5617400161</v>
          </cell>
          <cell r="Q79">
            <v>2449639.2617126312</v>
          </cell>
          <cell r="R79">
            <v>2505916.452109566</v>
          </cell>
          <cell r="S79">
            <v>2561919.8701418121</v>
          </cell>
          <cell r="T79">
            <v>2618248.9470964097</v>
          </cell>
          <cell r="U79">
            <v>2674706.0878431001</v>
          </cell>
          <cell r="V79">
            <v>2731406.8457201738</v>
          </cell>
          <cell r="W79">
            <v>2788145.294466868</v>
          </cell>
          <cell r="X79">
            <v>2870921.2322274465</v>
          </cell>
          <cell r="Y79">
            <v>2901825.3565548556</v>
          </cell>
          <cell r="Z79">
            <v>2958750.6188529818</v>
          </cell>
          <cell r="AA79">
            <v>3015584.6219987967</v>
          </cell>
          <cell r="AB79">
            <v>3100853.4167639203</v>
          </cell>
          <cell r="AC79">
            <v>3129759.8328607553</v>
          </cell>
          <cell r="AD79">
            <v>3187110.5829028329</v>
          </cell>
          <cell r="AE79">
            <v>3244229.8759716363</v>
          </cell>
        </row>
        <row r="80">
          <cell r="G80" t="str">
            <v>RegionWood - LumberStock</v>
          </cell>
          <cell r="H80" t="str">
            <v>Ind</v>
          </cell>
          <cell r="I80" t="str">
            <v>Wood - Lumber</v>
          </cell>
          <cell r="J80" t="str">
            <v>Stock</v>
          </cell>
          <cell r="K80" t="str">
            <v>Consumption (MWh)</v>
          </cell>
          <cell r="L80">
            <v>1161963.8217505382</v>
          </cell>
          <cell r="M80">
            <v>1117769.5487595289</v>
          </cell>
          <cell r="N80">
            <v>1084874.9921310821</v>
          </cell>
          <cell r="O80">
            <v>1052791.9192047431</v>
          </cell>
          <cell r="P80">
            <v>1030397.4491679214</v>
          </cell>
          <cell r="Q80">
            <v>990879.29279742646</v>
          </cell>
          <cell r="R80">
            <v>961065.17490868072</v>
          </cell>
          <cell r="S80">
            <v>931730.64036078285</v>
          </cell>
          <cell r="T80">
            <v>903080.08419384609</v>
          </cell>
          <cell r="U80">
            <v>874945.75211344392</v>
          </cell>
          <cell r="V80">
            <v>847310.7915088681</v>
          </cell>
          <cell r="W80">
            <v>820119.00687699113</v>
          </cell>
          <cell r="X80">
            <v>800618.32318729174</v>
          </cell>
          <cell r="Y80">
            <v>766954.27095195896</v>
          </cell>
          <cell r="Z80">
            <v>740908.22274123156</v>
          </cell>
          <cell r="AA80">
            <v>715106.45172531332</v>
          </cell>
          <cell r="AB80">
            <v>696028.08762583928</v>
          </cell>
          <cell r="AC80">
            <v>664509.97671853204</v>
          </cell>
          <cell r="AD80">
            <v>639621.04956848687</v>
          </cell>
          <cell r="AE80">
            <v>614946.99745740264</v>
          </cell>
        </row>
        <row r="81">
          <cell r="G81" t="str">
            <v>RegionWood - PanelStock</v>
          </cell>
          <cell r="H81" t="str">
            <v>Ind</v>
          </cell>
          <cell r="I81" t="str">
            <v>Wood - Panel</v>
          </cell>
          <cell r="J81" t="str">
            <v>Stock</v>
          </cell>
          <cell r="K81" t="str">
            <v>Consumption (MWh)</v>
          </cell>
          <cell r="L81">
            <v>551950.18982134352</v>
          </cell>
          <cell r="M81">
            <v>528731.18450453493</v>
          </cell>
          <cell r="N81">
            <v>510838.63702842174</v>
          </cell>
          <cell r="O81">
            <v>493229.56048375246</v>
          </cell>
          <cell r="P81">
            <v>480200.65450609016</v>
          </cell>
          <cell r="Q81">
            <v>458869.67437759304</v>
          </cell>
          <cell r="R81">
            <v>442034.77624590963</v>
          </cell>
          <cell r="S81">
            <v>425381.84725157876</v>
          </cell>
          <cell r="T81">
            <v>408945.79607863171</v>
          </cell>
          <cell r="U81">
            <v>392669.02882158436</v>
          </cell>
          <cell r="V81">
            <v>376527.17230508296</v>
          </cell>
          <cell r="W81">
            <v>360540.83558473963</v>
          </cell>
          <cell r="X81">
            <v>347793.23494737077</v>
          </cell>
          <cell r="Y81">
            <v>328864.0423583783</v>
          </cell>
          <cell r="Z81">
            <v>313174.70380282239</v>
          </cell>
          <cell r="AA81">
            <v>297578.74522290094</v>
          </cell>
          <cell r="AB81">
            <v>284693.91308797692</v>
          </cell>
          <cell r="AC81">
            <v>266695.50893493497</v>
          </cell>
          <cell r="AD81">
            <v>251377.16659093063</v>
          </cell>
          <cell r="AE81">
            <v>236121.41095945257</v>
          </cell>
        </row>
        <row r="82">
          <cell r="G82" t="str">
            <v>RegionWood - OtherStock</v>
          </cell>
          <cell r="H82" t="str">
            <v>Ind</v>
          </cell>
          <cell r="I82" t="str">
            <v>Wood - Other</v>
          </cell>
          <cell r="J82" t="str">
            <v>Stock</v>
          </cell>
          <cell r="K82" t="str">
            <v>Consumption (MWh)</v>
          </cell>
          <cell r="L82">
            <v>870727.85506649863</v>
          </cell>
          <cell r="M82">
            <v>839735.03037413268</v>
          </cell>
          <cell r="N82">
            <v>817265.57122340729</v>
          </cell>
          <cell r="O82">
            <v>795421.70406258584</v>
          </cell>
          <cell r="P82">
            <v>780923.07506947254</v>
          </cell>
          <cell r="Q82">
            <v>753146.51005964773</v>
          </cell>
          <cell r="R82">
            <v>732820.97518292943</v>
          </cell>
          <cell r="S82">
            <v>712886.70561548509</v>
          </cell>
          <cell r="T82">
            <v>693400.22734523669</v>
          </cell>
          <cell r="U82">
            <v>674308.65124034672</v>
          </cell>
          <cell r="V82">
            <v>655534.95057322702</v>
          </cell>
          <cell r="W82">
            <v>637111.60144566628</v>
          </cell>
          <cell r="X82">
            <v>624630.92244216194</v>
          </cell>
          <cell r="Y82">
            <v>601103.42928001995</v>
          </cell>
          <cell r="Z82">
            <v>583449.38612394244</v>
          </cell>
          <cell r="AA82">
            <v>565997.72271073016</v>
          </cell>
          <cell r="AB82">
            <v>553823.1943250458</v>
          </cell>
          <cell r="AC82">
            <v>531773.35758124199</v>
          </cell>
          <cell r="AD82">
            <v>514944.55152005563</v>
          </cell>
          <cell r="AE82">
            <v>498286.13824063755</v>
          </cell>
        </row>
        <row r="83">
          <cell r="G83" t="str">
            <v>RegionSugarStock</v>
          </cell>
          <cell r="H83" t="str">
            <v>Ind</v>
          </cell>
          <cell r="I83" t="str">
            <v>Sugar</v>
          </cell>
          <cell r="J83" t="str">
            <v>Stock</v>
          </cell>
          <cell r="K83" t="str">
            <v>Consumption (MWh)</v>
          </cell>
          <cell r="L83">
            <v>475136.72478012781</v>
          </cell>
          <cell r="M83">
            <v>478944.05758966133</v>
          </cell>
          <cell r="N83">
            <v>486819.48116772674</v>
          </cell>
          <cell r="O83">
            <v>494591.38634116278</v>
          </cell>
          <cell r="P83">
            <v>506508.14130214165</v>
          </cell>
          <cell r="Q83">
            <v>510023.29432266601</v>
          </cell>
          <cell r="R83">
            <v>517787.90058012598</v>
          </cell>
          <cell r="S83">
            <v>525332.27094640187</v>
          </cell>
          <cell r="T83">
            <v>532962.59651115292</v>
          </cell>
          <cell r="U83">
            <v>540559.14188859914</v>
          </cell>
          <cell r="V83">
            <v>548264.64271890977</v>
          </cell>
          <cell r="W83">
            <v>555867.220442908</v>
          </cell>
          <cell r="X83">
            <v>568632.32789277437</v>
          </cell>
          <cell r="Y83">
            <v>571112.91942260799</v>
          </cell>
          <cell r="Z83">
            <v>578836.54771749349</v>
          </cell>
          <cell r="AA83">
            <v>586399.91803551139</v>
          </cell>
          <cell r="AB83">
            <v>599561.512214605</v>
          </cell>
          <cell r="AC83">
            <v>601661.01637638209</v>
          </cell>
          <cell r="AD83">
            <v>609371.99258243595</v>
          </cell>
          <cell r="AE83">
            <v>616906.35518594901</v>
          </cell>
        </row>
        <row r="84">
          <cell r="G84" t="str">
            <v>RegionHi Tech - Chip FabStock</v>
          </cell>
          <cell r="H84" t="str">
            <v>Ind</v>
          </cell>
          <cell r="I84" t="str">
            <v>Hi Tech - Chip Fab</v>
          </cell>
          <cell r="J84" t="str">
            <v>Stock</v>
          </cell>
          <cell r="K84" t="str">
            <v>Consumption (MWh)</v>
          </cell>
          <cell r="L84">
            <v>441794.88875823218</v>
          </cell>
          <cell r="M84">
            <v>432626.39847364998</v>
          </cell>
          <cell r="N84">
            <v>427242.98054352769</v>
          </cell>
          <cell r="O84">
            <v>422213.82213962206</v>
          </cell>
          <cell r="P84">
            <v>421920.64066734893</v>
          </cell>
          <cell r="Q84">
            <v>413709.06623231358</v>
          </cell>
          <cell r="R84">
            <v>410212.7518948018</v>
          </cell>
          <cell r="S84">
            <v>406355.09832970693</v>
          </cell>
          <cell r="T84">
            <v>403296.23418868397</v>
          </cell>
          <cell r="U84">
            <v>399924.4240136806</v>
          </cell>
          <cell r="V84">
            <v>397295.90252843429</v>
          </cell>
          <cell r="W84">
            <v>394316.89382121537</v>
          </cell>
          <cell r="X84">
            <v>395623.44895442144</v>
          </cell>
          <cell r="Y84">
            <v>389392.69605832879</v>
          </cell>
          <cell r="Z84">
            <v>386892.14662184619</v>
          </cell>
          <cell r="AA84">
            <v>385025.31464219192</v>
          </cell>
          <cell r="AB84">
            <v>386311.31539104413</v>
          </cell>
          <cell r="AC84">
            <v>381213.1101798673</v>
          </cell>
          <cell r="AD84">
            <v>379233.88825255015</v>
          </cell>
          <cell r="AE84">
            <v>377804.18623239076</v>
          </cell>
        </row>
        <row r="85">
          <cell r="G85" t="str">
            <v>RegionHi Tech - SiliconStock</v>
          </cell>
          <cell r="H85" t="str">
            <v>Ind</v>
          </cell>
          <cell r="I85" t="str">
            <v>Hi Tech - Silicon</v>
          </cell>
          <cell r="J85" t="str">
            <v>Stock</v>
          </cell>
          <cell r="K85" t="str">
            <v>Consumption (MWh)</v>
          </cell>
          <cell r="L85">
            <v>226900.615461001</v>
          </cell>
          <cell r="M85">
            <v>224036.45332402681</v>
          </cell>
          <cell r="N85">
            <v>223197.60670939417</v>
          </cell>
          <cell r="O85">
            <v>222435.67348639047</v>
          </cell>
          <cell r="P85">
            <v>223898.4301459378</v>
          </cell>
          <cell r="Q85">
            <v>221368.38696638378</v>
          </cell>
          <cell r="R85">
            <v>221129.95798393188</v>
          </cell>
          <cell r="S85">
            <v>220786.11584318019</v>
          </cell>
          <cell r="T85">
            <v>220661.22741685802</v>
          </cell>
          <cell r="U85">
            <v>220514.6104276102</v>
          </cell>
          <cell r="V85">
            <v>220566.57724116242</v>
          </cell>
          <cell r="W85">
            <v>220582.85570889112</v>
          </cell>
          <cell r="X85">
            <v>222786.93799954746</v>
          </cell>
          <cell r="Y85">
            <v>220925.37261965938</v>
          </cell>
          <cell r="Z85">
            <v>221135.24104542725</v>
          </cell>
          <cell r="AA85">
            <v>221470.75488217658</v>
          </cell>
          <cell r="AB85">
            <v>223814.68962733069</v>
          </cell>
          <cell r="AC85">
            <v>222220.65723257174</v>
          </cell>
          <cell r="AD85">
            <v>222629.30420924808</v>
          </cell>
          <cell r="AE85">
            <v>223146.84657001842</v>
          </cell>
        </row>
        <row r="86">
          <cell r="G86" t="str">
            <v>RegionMetal FabStock</v>
          </cell>
          <cell r="H86" t="str">
            <v>Ind</v>
          </cell>
          <cell r="I86" t="str">
            <v>Metal Fab</v>
          </cell>
          <cell r="J86" t="str">
            <v>Stock</v>
          </cell>
          <cell r="K86" t="str">
            <v>Consumption (MWh)</v>
          </cell>
          <cell r="L86">
            <v>909892.68701188185</v>
          </cell>
          <cell r="M86">
            <v>891825.25809582323</v>
          </cell>
          <cell r="N86">
            <v>882508.80442902481</v>
          </cell>
          <cell r="O86">
            <v>873727.53576770169</v>
          </cell>
          <cell r="P86">
            <v>873074.20336348354</v>
          </cell>
          <cell r="Q86">
            <v>857353.78829031112</v>
          </cell>
          <cell r="R86">
            <v>849920.96028251934</v>
          </cell>
          <cell r="S86">
            <v>842747.12140389089</v>
          </cell>
          <cell r="T86">
            <v>835992.11174095876</v>
          </cell>
          <cell r="U86">
            <v>829585.10375461576</v>
          </cell>
          <cell r="V86">
            <v>823489.91083828453</v>
          </cell>
          <cell r="W86">
            <v>817657.03435069101</v>
          </cell>
          <cell r="X86">
            <v>819465.35455238761</v>
          </cell>
          <cell r="Y86">
            <v>806647.75437978934</v>
          </cell>
          <cell r="Z86">
            <v>801457.62846863491</v>
          </cell>
          <cell r="AA86">
            <v>796415.70090358355</v>
          </cell>
          <cell r="AB86">
            <v>798860.24754177267</v>
          </cell>
          <cell r="AC86">
            <v>786961.84080937004</v>
          </cell>
          <cell r="AD86">
            <v>782499.53998716734</v>
          </cell>
          <cell r="AE86">
            <v>778123.72130174015</v>
          </cell>
        </row>
        <row r="87">
          <cell r="G87" t="str">
            <v>RegionTransportation, EquipStock</v>
          </cell>
          <cell r="H87" t="str">
            <v>Ind</v>
          </cell>
          <cell r="I87" t="str">
            <v>Transportation, Equip</v>
          </cell>
          <cell r="J87" t="str">
            <v>Stock</v>
          </cell>
          <cell r="K87" t="str">
            <v>Consumption (MWh)</v>
          </cell>
          <cell r="L87">
            <v>1804273.4320914866</v>
          </cell>
          <cell r="M87">
            <v>1764444.7092744687</v>
          </cell>
          <cell r="N87">
            <v>1742380.5060862801</v>
          </cell>
          <cell r="O87">
            <v>1721734.2919262978</v>
          </cell>
          <cell r="P87">
            <v>1717290.0100661237</v>
          </cell>
          <cell r="Q87">
            <v>1684212.3577429946</v>
          </cell>
          <cell r="R87">
            <v>1667572.9872876552</v>
          </cell>
          <cell r="S87">
            <v>1651915.7655637239</v>
          </cell>
          <cell r="T87">
            <v>1637404.0605393937</v>
          </cell>
          <cell r="U87">
            <v>1624039.8539685637</v>
          </cell>
          <cell r="V87">
            <v>1611571.7582730576</v>
          </cell>
          <cell r="W87">
            <v>1599938.1807304013</v>
          </cell>
          <cell r="X87">
            <v>1603782.6234504275</v>
          </cell>
          <cell r="Y87">
            <v>1579189.4507664458</v>
          </cell>
          <cell r="Z87">
            <v>1569848.0280781442</v>
          </cell>
          <cell r="AA87">
            <v>1560977.4194455137</v>
          </cell>
          <cell r="AB87">
            <v>1566945.462049291</v>
          </cell>
          <cell r="AC87">
            <v>1545218.7396206472</v>
          </cell>
          <cell r="AD87">
            <v>1538099.8647244556</v>
          </cell>
          <cell r="AE87">
            <v>1531589.7574381533</v>
          </cell>
        </row>
        <row r="88">
          <cell r="G88" t="str">
            <v>RegionRefineryStock</v>
          </cell>
          <cell r="H88" t="str">
            <v>Ind</v>
          </cell>
          <cell r="I88" t="str">
            <v>Refinery</v>
          </cell>
          <cell r="J88" t="str">
            <v>Stock</v>
          </cell>
          <cell r="K88" t="str">
            <v>Consumption (MWh)</v>
          </cell>
          <cell r="L88">
            <v>1881024.91962965</v>
          </cell>
          <cell r="M88">
            <v>1909117.5467978129</v>
          </cell>
          <cell r="N88">
            <v>1951995.6132668965</v>
          </cell>
          <cell r="O88">
            <v>1997111.8831124087</v>
          </cell>
          <cell r="P88">
            <v>2057483.6301056999</v>
          </cell>
          <cell r="Q88">
            <v>2084336.8416466711</v>
          </cell>
          <cell r="R88">
            <v>2127809.677560756</v>
          </cell>
          <cell r="S88">
            <v>2172413.8365607024</v>
          </cell>
          <cell r="T88">
            <v>2215960.2386478884</v>
          </cell>
          <cell r="U88">
            <v>2261195.6605773838</v>
          </cell>
          <cell r="V88">
            <v>2305708.6406222372</v>
          </cell>
          <cell r="W88">
            <v>2351421.030442731</v>
          </cell>
          <cell r="X88">
            <v>2417809.3733545281</v>
          </cell>
          <cell r="Y88">
            <v>2441973.3932293397</v>
          </cell>
          <cell r="Z88">
            <v>2486737.3300964865</v>
          </cell>
          <cell r="AA88">
            <v>2532907.6529900534</v>
          </cell>
          <cell r="AB88">
            <v>2601624.7146502738</v>
          </cell>
          <cell r="AC88">
            <v>2625012.9439967307</v>
          </cell>
          <cell r="AD88">
            <v>2670463.7864335729</v>
          </cell>
          <cell r="AE88">
            <v>2717337.6347862268</v>
          </cell>
        </row>
        <row r="89">
          <cell r="G89" t="str">
            <v>RegionCold StorageStock</v>
          </cell>
          <cell r="H89" t="str">
            <v>Ind</v>
          </cell>
          <cell r="I89" t="str">
            <v>Cold Storage</v>
          </cell>
          <cell r="J89" t="str">
            <v>Stock</v>
          </cell>
          <cell r="K89" t="str">
            <v>Consumption (MWh)</v>
          </cell>
          <cell r="L89">
            <v>78154.236827670538</v>
          </cell>
          <cell r="M89">
            <v>79453.458629044515</v>
          </cell>
          <cell r="N89">
            <v>81462.364882615439</v>
          </cell>
          <cell r="O89">
            <v>83477.500671992908</v>
          </cell>
          <cell r="P89">
            <v>86245.581369176958</v>
          </cell>
          <cell r="Q89">
            <v>87478.747599680457</v>
          </cell>
          <cell r="R89">
            <v>89494.311122657688</v>
          </cell>
          <cell r="S89">
            <v>91509.020390414968</v>
          </cell>
          <cell r="T89">
            <v>93532.504764969955</v>
          </cell>
          <cell r="U89">
            <v>95564.382084683428</v>
          </cell>
          <cell r="V89">
            <v>97600.983939128768</v>
          </cell>
          <cell r="W89">
            <v>99644.634467322845</v>
          </cell>
          <cell r="X89">
            <v>102618.3524040958</v>
          </cell>
          <cell r="Y89">
            <v>103741.81616097505</v>
          </cell>
          <cell r="Z89">
            <v>105788.43696882724</v>
          </cell>
          <cell r="AA89">
            <v>107838.05913011087</v>
          </cell>
          <cell r="AB89">
            <v>110898.73263363529</v>
          </cell>
          <cell r="AC89">
            <v>111951.72686476028</v>
          </cell>
          <cell r="AD89">
            <v>114014.96377503965</v>
          </cell>
          <cell r="AE89">
            <v>116079.01640209509</v>
          </cell>
        </row>
        <row r="90">
          <cell r="G90" t="str">
            <v>RegionFruit StorageStock</v>
          </cell>
          <cell r="H90" t="str">
            <v>Ind</v>
          </cell>
          <cell r="I90" t="str">
            <v>Fruit Storage</v>
          </cell>
          <cell r="J90" t="str">
            <v>Stock</v>
          </cell>
          <cell r="K90" t="str">
            <v>Consumption (MWh)</v>
          </cell>
          <cell r="L90">
            <v>199395.43790713095</v>
          </cell>
          <cell r="M90">
            <v>204115.10690708214</v>
          </cell>
          <cell r="N90">
            <v>210634.84781997796</v>
          </cell>
          <cell r="O90">
            <v>217141.49063609194</v>
          </cell>
          <cell r="P90">
            <v>225683.75101923331</v>
          </cell>
          <cell r="Q90">
            <v>230234.36323329096</v>
          </cell>
          <cell r="R90">
            <v>236796.95219371072</v>
          </cell>
          <cell r="S90">
            <v>243349.21918638356</v>
          </cell>
          <cell r="T90">
            <v>249921.80671927828</v>
          </cell>
          <cell r="U90">
            <v>256506.98239189648</v>
          </cell>
          <cell r="V90">
            <v>263096.35269472009</v>
          </cell>
          <cell r="W90">
            <v>269693.66215315415</v>
          </cell>
          <cell r="X90">
            <v>278797.26062516763</v>
          </cell>
          <cell r="Y90">
            <v>282842.82237701409</v>
          </cell>
          <cell r="Z90">
            <v>289419.35664982459</v>
          </cell>
          <cell r="AA90">
            <v>295994.31165490975</v>
          </cell>
          <cell r="AB90">
            <v>305366.03036291245</v>
          </cell>
          <cell r="AC90">
            <v>309179.84460456396</v>
          </cell>
          <cell r="AD90">
            <v>315794.71629056305</v>
          </cell>
          <cell r="AE90">
            <v>322364.98084319307</v>
          </cell>
        </row>
        <row r="91">
          <cell r="G91" t="str">
            <v>RegionChemicalStock</v>
          </cell>
          <cell r="H91" t="str">
            <v>Ind</v>
          </cell>
          <cell r="I91" t="str">
            <v>Chemical</v>
          </cell>
          <cell r="J91" t="str">
            <v>Stock</v>
          </cell>
          <cell r="K91" t="str">
            <v>Consumption (MWh)</v>
          </cell>
          <cell r="L91">
            <v>3305004.1605836996</v>
          </cell>
          <cell r="M91">
            <v>3443789.6934345411</v>
          </cell>
          <cell r="N91">
            <v>3609021.9884613133</v>
          </cell>
          <cell r="O91">
            <v>3771046.7677251906</v>
          </cell>
          <cell r="P91">
            <v>3927253.9609524435</v>
          </cell>
          <cell r="Q91">
            <v>4037395.7085911199</v>
          </cell>
          <cell r="R91">
            <v>4188643.2636367837</v>
          </cell>
          <cell r="S91">
            <v>4340984.9755713558</v>
          </cell>
          <cell r="T91">
            <v>4493975.9194887662</v>
          </cell>
          <cell r="U91">
            <v>4646018.0745007796</v>
          </cell>
          <cell r="V91">
            <v>4797371.3042631764</v>
          </cell>
          <cell r="W91">
            <v>4947813.7264089147</v>
          </cell>
          <cell r="X91">
            <v>5144107.7969676936</v>
          </cell>
          <cell r="Y91">
            <v>5246402.7802377427</v>
          </cell>
          <cell r="Z91">
            <v>5394857.0622515492</v>
          </cell>
          <cell r="AA91">
            <v>5541714.6108995685</v>
          </cell>
          <cell r="AB91">
            <v>5740442.2061493713</v>
          </cell>
          <cell r="AC91">
            <v>5833788.3063517585</v>
          </cell>
          <cell r="AD91">
            <v>5979638.453419812</v>
          </cell>
          <cell r="AE91">
            <v>6123880.4660364473</v>
          </cell>
        </row>
        <row r="92">
          <cell r="G92" t="str">
            <v>RegionMisc ManfStock</v>
          </cell>
          <cell r="H92" t="str">
            <v>Ind</v>
          </cell>
          <cell r="I92" t="str">
            <v>Misc Manf</v>
          </cell>
          <cell r="J92" t="str">
            <v>Stock</v>
          </cell>
          <cell r="K92" t="str">
            <v>Consumption (MWh)</v>
          </cell>
          <cell r="L92">
            <v>4209556.472488177</v>
          </cell>
          <cell r="M92">
            <v>4334633.1165770665</v>
          </cell>
          <cell r="N92">
            <v>4496807.6122477548</v>
          </cell>
          <cell r="O92">
            <v>4658950.5636732625</v>
          </cell>
          <cell r="P92">
            <v>4833902.8390341504</v>
          </cell>
          <cell r="Q92">
            <v>4939547.3871582579</v>
          </cell>
          <cell r="R92">
            <v>5095859.5790590979</v>
          </cell>
          <cell r="S92">
            <v>5254063.1713875132</v>
          </cell>
          <cell r="T92">
            <v>5413802.5084346561</v>
          </cell>
          <cell r="U92">
            <v>5573463.6928148605</v>
          </cell>
          <cell r="V92">
            <v>5733797.7617043415</v>
          </cell>
          <cell r="W92">
            <v>5893374.3310838528</v>
          </cell>
          <cell r="X92">
            <v>6108755.4059702102</v>
          </cell>
          <cell r="Y92">
            <v>6213044.4648437528</v>
          </cell>
          <cell r="Z92">
            <v>6372313.332896472</v>
          </cell>
          <cell r="AA92">
            <v>6531884.2745853113</v>
          </cell>
          <cell r="AB92">
            <v>6752077.3183153793</v>
          </cell>
          <cell r="AC92">
            <v>6850327.3548128605</v>
          </cell>
          <cell r="AD92">
            <v>7009692.065473482</v>
          </cell>
          <cell r="AE92">
            <v>7168736.8179728845</v>
          </cell>
        </row>
        <row r="93">
          <cell r="G93" t="str">
            <v>RegionEVStock</v>
          </cell>
          <cell r="H93" t="str">
            <v>EV</v>
          </cell>
          <cell r="I93" t="str">
            <v>EV</v>
          </cell>
          <cell r="J93" t="str">
            <v>Stock</v>
          </cell>
          <cell r="K93" t="str">
            <v>1000 Cars</v>
          </cell>
          <cell r="L93">
            <v>60.183986956923889</v>
          </cell>
          <cell r="M93">
            <v>91.985039267783762</v>
          </cell>
          <cell r="N93">
            <v>131.71899349682545</v>
          </cell>
          <cell r="O93">
            <v>179.31931215654896</v>
          </cell>
          <cell r="P93">
            <v>234.46894197990883</v>
          </cell>
          <cell r="Q93">
            <v>296.9378027583823</v>
          </cell>
          <cell r="R93">
            <v>366.00059330503768</v>
          </cell>
          <cell r="S93">
            <v>441.25939468635204</v>
          </cell>
          <cell r="T93">
            <v>522.62506581198477</v>
          </cell>
          <cell r="U93">
            <v>610.52396116716261</v>
          </cell>
          <cell r="V93">
            <v>705.01906985870437</v>
          </cell>
          <cell r="W93">
            <v>801.72374571842784</v>
          </cell>
          <cell r="X93">
            <v>899.84995621451503</v>
          </cell>
          <cell r="Y93">
            <v>998.49290967026104</v>
          </cell>
          <cell r="Z93">
            <v>1096.4275699987345</v>
          </cell>
          <cell r="AA93">
            <v>1187.7661760902763</v>
          </cell>
          <cell r="AB93">
            <v>1272.9815546454543</v>
          </cell>
          <cell r="AC93">
            <v>1351.8588013409089</v>
          </cell>
          <cell r="AD93">
            <v>1433.0587465545455</v>
          </cell>
          <cell r="AE93">
            <v>1500.0488473772725</v>
          </cell>
        </row>
        <row r="94">
          <cell r="G94" t="str">
            <v>RegionPopStock</v>
          </cell>
          <cell r="H94" t="str">
            <v>Pop</v>
          </cell>
          <cell r="I94" t="str">
            <v>Pop</v>
          </cell>
          <cell r="J94" t="str">
            <v>Stock</v>
          </cell>
          <cell r="K94" t="str">
            <v># of people</v>
          </cell>
          <cell r="L94">
            <v>13520.68111</v>
          </cell>
          <cell r="M94">
            <v>13661.840299999998</v>
          </cell>
          <cell r="N94">
            <v>13803.691440000001</v>
          </cell>
          <cell r="O94">
            <v>13944.276469999999</v>
          </cell>
          <cell r="P94">
            <v>14082.801340000002</v>
          </cell>
          <cell r="Q94">
            <v>14218.715590000002</v>
          </cell>
          <cell r="R94">
            <v>14351.918940000001</v>
          </cell>
          <cell r="S94">
            <v>14482.437540000003</v>
          </cell>
          <cell r="T94">
            <v>14610.4211</v>
          </cell>
          <cell r="U94">
            <v>14736.24631</v>
          </cell>
          <cell r="V94">
            <v>14860.320880000001</v>
          </cell>
          <cell r="W94">
            <v>14983.078860000001</v>
          </cell>
          <cell r="X94">
            <v>15104.70127</v>
          </cell>
          <cell r="Y94">
            <v>15225.195700000002</v>
          </cell>
          <cell r="Z94">
            <v>15344.62486</v>
          </cell>
          <cell r="AA94">
            <v>15463.089019999998</v>
          </cell>
          <cell r="AB94">
            <v>15580.68845</v>
          </cell>
          <cell r="AC94">
            <v>15697.50913</v>
          </cell>
          <cell r="AD94">
            <v>15813.626329999999</v>
          </cell>
          <cell r="AE94">
            <v>15929.254489999999</v>
          </cell>
        </row>
        <row r="95">
          <cell r="G95" t="str">
            <v>RegionDataCenterStock</v>
          </cell>
          <cell r="H95" t="str">
            <v>DataCenter</v>
          </cell>
          <cell r="I95" t="str">
            <v>DataCenter</v>
          </cell>
          <cell r="J95" t="str">
            <v>Stock</v>
          </cell>
          <cell r="K95" t="str">
            <v>Consumption (aMW)</v>
          </cell>
          <cell r="L95">
            <v>381.60143269415096</v>
          </cell>
          <cell r="M95">
            <v>404.69885906229592</v>
          </cell>
          <cell r="N95">
            <v>421.46039895133885</v>
          </cell>
          <cell r="O95">
            <v>419.64642143844253</v>
          </cell>
          <cell r="P95">
            <v>423.66562864853898</v>
          </cell>
          <cell r="Q95">
            <v>432.76092390952061</v>
          </cell>
          <cell r="R95">
            <v>446.31531189522576</v>
          </cell>
          <cell r="S95">
            <v>450.98222620533323</v>
          </cell>
          <cell r="T95">
            <v>459.05126073815245</v>
          </cell>
          <cell r="U95">
            <v>470.19601765719887</v>
          </cell>
          <cell r="V95">
            <v>484.16208251533135</v>
          </cell>
          <cell r="W95">
            <v>494.21069266812788</v>
          </cell>
          <cell r="X95">
            <v>506.64189476780371</v>
          </cell>
          <cell r="Y95">
            <v>521.35392484293436</v>
          </cell>
          <cell r="Z95">
            <v>538.28523642117</v>
          </cell>
          <cell r="AA95">
            <v>554.01935267425768</v>
          </cell>
          <cell r="AB95">
            <v>571.88182312772415</v>
          </cell>
          <cell r="AC95">
            <v>591.90212163156946</v>
          </cell>
          <cell r="AD95">
            <v>614.13634434495953</v>
          </cell>
          <cell r="AE95">
            <v>636.87438282107769</v>
          </cell>
        </row>
        <row r="96">
          <cell r="G96" t="str">
            <v>RegionTotalLoadStock</v>
          </cell>
          <cell r="H96" t="str">
            <v>DEI</v>
          </cell>
          <cell r="I96" t="str">
            <v>TotalLoad</v>
          </cell>
          <cell r="J96" t="str">
            <v>Stock</v>
          </cell>
          <cell r="K96" t="str">
            <v>Consumption (aMW)</v>
          </cell>
          <cell r="L96">
            <v>21071.66</v>
          </cell>
          <cell r="M96">
            <v>21195.54</v>
          </cell>
          <cell r="N96">
            <v>21410</v>
          </cell>
          <cell r="O96">
            <v>21551.43</v>
          </cell>
          <cell r="P96">
            <v>21679.64</v>
          </cell>
          <cell r="Q96">
            <v>21827.78</v>
          </cell>
          <cell r="R96">
            <v>21990.98</v>
          </cell>
          <cell r="S96">
            <v>22168.240000000002</v>
          </cell>
          <cell r="T96">
            <v>22361.75</v>
          </cell>
          <cell r="U96">
            <v>22575.51</v>
          </cell>
          <cell r="V96">
            <v>22799.94</v>
          </cell>
          <cell r="W96">
            <v>23044.44</v>
          </cell>
          <cell r="X96">
            <v>23305.64</v>
          </cell>
          <cell r="Y96">
            <v>23567.14</v>
          </cell>
          <cell r="Z96">
            <v>23843.91</v>
          </cell>
          <cell r="AA96">
            <v>24084.7</v>
          </cell>
          <cell r="AB96">
            <v>24359.31</v>
          </cell>
          <cell r="AC96">
            <v>24636.46</v>
          </cell>
          <cell r="AD96">
            <v>24918.69</v>
          </cell>
          <cell r="AE96">
            <v>25207.16</v>
          </cell>
        </row>
        <row r="97">
          <cell r="G97"/>
          <cell r="H97"/>
          <cell r="I97"/>
          <cell r="J97"/>
          <cell r="K97"/>
          <cell r="L97"/>
          <cell r="M97"/>
          <cell r="N97"/>
          <cell r="O97"/>
          <cell r="P97"/>
          <cell r="Q97"/>
          <cell r="R97"/>
          <cell r="S97"/>
          <cell r="T97"/>
          <cell r="U97"/>
          <cell r="V97"/>
          <cell r="W97"/>
          <cell r="X97"/>
          <cell r="Y97"/>
          <cell r="Z97"/>
          <cell r="AA97"/>
          <cell r="AB97"/>
          <cell r="AC97"/>
          <cell r="AD97"/>
          <cell r="AE97"/>
        </row>
        <row r="98">
          <cell r="G98"/>
          <cell r="H98"/>
          <cell r="I98"/>
          <cell r="J98"/>
          <cell r="K98"/>
          <cell r="L98"/>
          <cell r="M98"/>
          <cell r="N98"/>
          <cell r="O98"/>
          <cell r="P98"/>
          <cell r="Q98"/>
          <cell r="R98"/>
          <cell r="S98"/>
          <cell r="T98"/>
          <cell r="U98"/>
          <cell r="V98"/>
          <cell r="W98"/>
          <cell r="X98"/>
          <cell r="Y98"/>
          <cell r="Z98"/>
          <cell r="AA98"/>
          <cell r="AB98"/>
          <cell r="AC98"/>
          <cell r="AD98"/>
          <cell r="AE98"/>
        </row>
        <row r="99">
          <cell r="G99"/>
          <cell r="H99"/>
          <cell r="I99"/>
          <cell r="J99"/>
          <cell r="K99"/>
          <cell r="L99"/>
          <cell r="M99"/>
          <cell r="N99"/>
          <cell r="O99"/>
          <cell r="P99"/>
          <cell r="Q99"/>
          <cell r="R99"/>
          <cell r="S99"/>
          <cell r="T99"/>
          <cell r="U99"/>
          <cell r="V99"/>
          <cell r="W99"/>
          <cell r="X99"/>
          <cell r="Y99"/>
          <cell r="Z99"/>
          <cell r="AA99"/>
          <cell r="AB99"/>
          <cell r="AC99"/>
          <cell r="AD99"/>
          <cell r="AE99"/>
        </row>
        <row r="100">
          <cell r="G100"/>
          <cell r="H100"/>
          <cell r="I100"/>
          <cell r="J100"/>
          <cell r="K100"/>
          <cell r="L100"/>
          <cell r="M100"/>
          <cell r="N100"/>
          <cell r="O100"/>
          <cell r="P100"/>
          <cell r="Q100"/>
          <cell r="R100"/>
          <cell r="S100"/>
          <cell r="T100"/>
          <cell r="U100"/>
          <cell r="V100"/>
          <cell r="W100"/>
          <cell r="X100"/>
          <cell r="Y100"/>
          <cell r="Z100"/>
          <cell r="AA100"/>
          <cell r="AB100"/>
          <cell r="AC100"/>
          <cell r="AD100"/>
          <cell r="AE100"/>
        </row>
        <row r="101">
          <cell r="G101"/>
          <cell r="H101"/>
          <cell r="I101"/>
          <cell r="J101"/>
          <cell r="K101"/>
          <cell r="L101"/>
          <cell r="M101"/>
          <cell r="N101"/>
          <cell r="O101"/>
          <cell r="P101"/>
          <cell r="Q101"/>
          <cell r="R101"/>
          <cell r="S101"/>
          <cell r="T101"/>
          <cell r="U101"/>
          <cell r="V101"/>
          <cell r="W101"/>
          <cell r="X101"/>
          <cell r="Y101"/>
          <cell r="Z101"/>
          <cell r="AA101"/>
          <cell r="AB101"/>
          <cell r="AC101"/>
          <cell r="AD101"/>
          <cell r="AE101"/>
        </row>
        <row r="102">
          <cell r="G102"/>
          <cell r="H102"/>
          <cell r="I102"/>
          <cell r="J102"/>
          <cell r="K102"/>
          <cell r="L102"/>
          <cell r="M102"/>
          <cell r="N102"/>
          <cell r="O102"/>
          <cell r="P102"/>
          <cell r="Q102"/>
          <cell r="R102"/>
          <cell r="S102"/>
          <cell r="T102"/>
          <cell r="U102"/>
          <cell r="V102"/>
          <cell r="W102"/>
          <cell r="X102"/>
          <cell r="Y102"/>
          <cell r="Z102"/>
          <cell r="AA102"/>
          <cell r="AB102"/>
          <cell r="AC102"/>
          <cell r="AD102"/>
          <cell r="AE102"/>
        </row>
        <row r="103">
          <cell r="G103"/>
          <cell r="H103"/>
          <cell r="I103"/>
          <cell r="J103"/>
          <cell r="K103"/>
          <cell r="L103"/>
          <cell r="M103"/>
          <cell r="N103"/>
          <cell r="O103"/>
          <cell r="P103"/>
          <cell r="Q103"/>
          <cell r="R103"/>
          <cell r="S103"/>
          <cell r="T103"/>
          <cell r="U103"/>
          <cell r="V103"/>
          <cell r="W103"/>
          <cell r="X103"/>
          <cell r="Y103"/>
          <cell r="Z103"/>
          <cell r="AA103"/>
          <cell r="AB103"/>
          <cell r="AC103"/>
          <cell r="AD103"/>
          <cell r="AE103"/>
        </row>
        <row r="104">
          <cell r="G104"/>
          <cell r="H104"/>
          <cell r="I104"/>
          <cell r="J104"/>
          <cell r="K104"/>
          <cell r="L104"/>
          <cell r="M104"/>
          <cell r="N104"/>
          <cell r="O104"/>
          <cell r="P104"/>
          <cell r="Q104"/>
          <cell r="R104"/>
          <cell r="S104"/>
          <cell r="T104"/>
          <cell r="U104"/>
          <cell r="V104"/>
          <cell r="W104"/>
          <cell r="X104"/>
          <cell r="Y104"/>
          <cell r="Z104"/>
          <cell r="AA104"/>
          <cell r="AB104"/>
          <cell r="AC104"/>
          <cell r="AD104"/>
          <cell r="AE104"/>
        </row>
        <row r="105">
          <cell r="G105"/>
          <cell r="H105"/>
          <cell r="I105"/>
          <cell r="J105"/>
          <cell r="K105"/>
          <cell r="L105"/>
          <cell r="M105"/>
          <cell r="N105"/>
          <cell r="O105"/>
          <cell r="P105"/>
          <cell r="Q105"/>
          <cell r="R105"/>
          <cell r="S105"/>
          <cell r="T105"/>
          <cell r="U105"/>
          <cell r="V105"/>
          <cell r="W105"/>
          <cell r="X105"/>
          <cell r="Y105"/>
          <cell r="Z105"/>
          <cell r="AA105"/>
          <cell r="AB105"/>
          <cell r="AC105"/>
          <cell r="AD105"/>
          <cell r="AE105"/>
        </row>
        <row r="106">
          <cell r="G106"/>
          <cell r="H106"/>
          <cell r="I106"/>
          <cell r="J106"/>
          <cell r="K106"/>
          <cell r="L106"/>
          <cell r="M106"/>
          <cell r="N106"/>
          <cell r="O106"/>
          <cell r="P106"/>
          <cell r="Q106"/>
          <cell r="R106"/>
          <cell r="S106"/>
          <cell r="T106"/>
          <cell r="U106"/>
          <cell r="V106"/>
          <cell r="W106"/>
          <cell r="X106"/>
          <cell r="Y106"/>
          <cell r="Z106"/>
          <cell r="AA106"/>
          <cell r="AB106"/>
          <cell r="AC106"/>
          <cell r="AD106"/>
          <cell r="AE106"/>
        </row>
        <row r="107">
          <cell r="G107"/>
          <cell r="H107"/>
          <cell r="I107"/>
          <cell r="J107"/>
          <cell r="K107"/>
          <cell r="L107"/>
          <cell r="M107"/>
          <cell r="N107"/>
          <cell r="O107"/>
          <cell r="P107"/>
          <cell r="Q107"/>
          <cell r="R107"/>
          <cell r="S107"/>
          <cell r="T107"/>
          <cell r="U107"/>
          <cell r="V107"/>
          <cell r="W107"/>
          <cell r="X107"/>
          <cell r="Y107"/>
          <cell r="Z107"/>
          <cell r="AA107"/>
          <cell r="AB107"/>
          <cell r="AC107"/>
          <cell r="AD107"/>
          <cell r="AE107"/>
        </row>
        <row r="108">
          <cell r="G108"/>
          <cell r="H108"/>
          <cell r="I108"/>
          <cell r="J108"/>
          <cell r="K108"/>
          <cell r="L108"/>
          <cell r="M108"/>
          <cell r="N108"/>
          <cell r="O108"/>
          <cell r="P108"/>
          <cell r="Q108"/>
          <cell r="R108"/>
          <cell r="S108"/>
          <cell r="T108"/>
          <cell r="U108"/>
          <cell r="V108"/>
          <cell r="W108"/>
          <cell r="X108"/>
          <cell r="Y108"/>
          <cell r="Z108"/>
          <cell r="AA108"/>
          <cell r="AB108"/>
          <cell r="AC108"/>
          <cell r="AD108"/>
          <cell r="AE108"/>
        </row>
        <row r="109">
          <cell r="G109"/>
          <cell r="H109"/>
          <cell r="I109"/>
          <cell r="J109"/>
          <cell r="K109"/>
          <cell r="L109"/>
          <cell r="M109"/>
          <cell r="N109"/>
          <cell r="O109"/>
          <cell r="P109"/>
          <cell r="Q109"/>
          <cell r="R109"/>
          <cell r="S109"/>
          <cell r="T109"/>
          <cell r="U109"/>
          <cell r="V109"/>
          <cell r="W109"/>
          <cell r="X109"/>
          <cell r="Y109"/>
          <cell r="Z109"/>
          <cell r="AA109"/>
          <cell r="AB109"/>
          <cell r="AC109"/>
          <cell r="AD109"/>
          <cell r="AE109"/>
        </row>
        <row r="110">
          <cell r="G110"/>
          <cell r="H110"/>
          <cell r="I110"/>
          <cell r="J110"/>
          <cell r="K110"/>
          <cell r="L110"/>
          <cell r="M110"/>
          <cell r="N110"/>
          <cell r="O110"/>
          <cell r="P110"/>
          <cell r="Q110"/>
          <cell r="R110"/>
          <cell r="S110"/>
          <cell r="T110"/>
          <cell r="U110"/>
          <cell r="V110"/>
          <cell r="W110"/>
          <cell r="X110"/>
          <cell r="Y110"/>
          <cell r="Z110"/>
          <cell r="AA110"/>
          <cell r="AB110"/>
          <cell r="AC110"/>
          <cell r="AD110"/>
          <cell r="AE110"/>
        </row>
        <row r="111">
          <cell r="G111"/>
          <cell r="H111"/>
          <cell r="I111"/>
          <cell r="J111"/>
          <cell r="K111"/>
          <cell r="L111"/>
          <cell r="M111"/>
          <cell r="N111"/>
          <cell r="O111"/>
          <cell r="P111"/>
          <cell r="Q111"/>
          <cell r="R111"/>
          <cell r="S111"/>
          <cell r="T111"/>
          <cell r="U111"/>
          <cell r="V111"/>
          <cell r="W111"/>
          <cell r="X111"/>
          <cell r="Y111"/>
          <cell r="Z111"/>
          <cell r="AA111"/>
          <cell r="AB111"/>
          <cell r="AC111"/>
          <cell r="AD111"/>
          <cell r="AE111"/>
        </row>
        <row r="112">
          <cell r="G112"/>
          <cell r="H112"/>
          <cell r="I112"/>
          <cell r="J112"/>
          <cell r="K112"/>
          <cell r="L112"/>
          <cell r="M112"/>
          <cell r="N112"/>
          <cell r="O112"/>
          <cell r="P112"/>
          <cell r="Q112"/>
          <cell r="R112"/>
          <cell r="S112"/>
          <cell r="T112"/>
          <cell r="U112"/>
          <cell r="V112"/>
          <cell r="W112"/>
          <cell r="X112"/>
          <cell r="Y112"/>
          <cell r="Z112"/>
          <cell r="AA112"/>
          <cell r="AB112"/>
          <cell r="AC112"/>
          <cell r="AD112"/>
          <cell r="AE112"/>
        </row>
        <row r="113">
          <cell r="G113"/>
          <cell r="H113"/>
          <cell r="I113"/>
          <cell r="J113"/>
          <cell r="K113"/>
          <cell r="L113"/>
          <cell r="M113"/>
          <cell r="N113"/>
          <cell r="O113"/>
          <cell r="P113"/>
          <cell r="Q113"/>
          <cell r="R113"/>
          <cell r="S113"/>
          <cell r="T113"/>
          <cell r="U113"/>
          <cell r="V113"/>
          <cell r="W113"/>
          <cell r="X113"/>
          <cell r="Y113"/>
          <cell r="Z113"/>
          <cell r="AA113"/>
          <cell r="AB113"/>
          <cell r="AC113"/>
          <cell r="AD113"/>
          <cell r="AE113"/>
        </row>
        <row r="114">
          <cell r="G114"/>
          <cell r="H114"/>
          <cell r="I114"/>
          <cell r="J114"/>
          <cell r="K114"/>
          <cell r="L114"/>
          <cell r="M114"/>
          <cell r="N114"/>
          <cell r="O114"/>
          <cell r="P114"/>
          <cell r="Q114"/>
          <cell r="R114"/>
          <cell r="S114"/>
          <cell r="T114"/>
          <cell r="U114"/>
          <cell r="V114"/>
          <cell r="W114"/>
          <cell r="X114"/>
          <cell r="Y114"/>
          <cell r="Z114"/>
          <cell r="AA114"/>
          <cell r="AB114"/>
          <cell r="AC114"/>
          <cell r="AD114"/>
          <cell r="AE114"/>
        </row>
        <row r="115">
          <cell r="G115"/>
          <cell r="H115"/>
          <cell r="I115"/>
          <cell r="J115"/>
          <cell r="K115"/>
          <cell r="L115"/>
          <cell r="M115"/>
          <cell r="N115"/>
          <cell r="O115"/>
          <cell r="P115"/>
          <cell r="Q115"/>
          <cell r="R115"/>
          <cell r="S115"/>
          <cell r="T115"/>
          <cell r="U115"/>
          <cell r="V115"/>
          <cell r="W115"/>
          <cell r="X115"/>
          <cell r="Y115"/>
          <cell r="Z115"/>
          <cell r="AA115"/>
          <cell r="AB115"/>
          <cell r="AC115"/>
          <cell r="AD115"/>
          <cell r="AE115"/>
        </row>
        <row r="116">
          <cell r="G116"/>
          <cell r="H116"/>
          <cell r="I116"/>
          <cell r="J116"/>
          <cell r="K116"/>
          <cell r="L116"/>
          <cell r="M116"/>
          <cell r="N116"/>
          <cell r="O116"/>
          <cell r="P116"/>
          <cell r="Q116"/>
          <cell r="R116"/>
          <cell r="S116"/>
          <cell r="T116"/>
          <cell r="U116"/>
          <cell r="V116"/>
          <cell r="W116"/>
          <cell r="X116"/>
          <cell r="Y116"/>
          <cell r="Z116"/>
          <cell r="AA116"/>
          <cell r="AB116"/>
          <cell r="AC116"/>
          <cell r="AD116"/>
          <cell r="AE116"/>
        </row>
        <row r="117">
          <cell r="G117"/>
          <cell r="H117"/>
          <cell r="I117"/>
          <cell r="J117"/>
          <cell r="K117"/>
          <cell r="L117"/>
          <cell r="M117"/>
          <cell r="N117"/>
          <cell r="O117"/>
          <cell r="P117"/>
          <cell r="Q117"/>
          <cell r="R117"/>
          <cell r="S117"/>
          <cell r="T117"/>
          <cell r="U117"/>
          <cell r="V117"/>
          <cell r="W117"/>
          <cell r="X117"/>
          <cell r="Y117"/>
          <cell r="Z117"/>
          <cell r="AA117"/>
          <cell r="AB117"/>
          <cell r="AC117"/>
          <cell r="AD117"/>
          <cell r="AE117"/>
        </row>
        <row r="118">
          <cell r="G118"/>
          <cell r="H118"/>
          <cell r="I118"/>
          <cell r="J118"/>
          <cell r="K118"/>
          <cell r="L118"/>
          <cell r="M118"/>
          <cell r="N118"/>
          <cell r="O118"/>
          <cell r="P118"/>
          <cell r="Q118"/>
          <cell r="R118"/>
          <cell r="S118"/>
          <cell r="T118"/>
          <cell r="U118"/>
          <cell r="V118"/>
          <cell r="W118"/>
          <cell r="X118"/>
          <cell r="Y118"/>
          <cell r="Z118"/>
          <cell r="AA118"/>
          <cell r="AB118"/>
          <cell r="AC118"/>
          <cell r="AD118"/>
          <cell r="AE118"/>
        </row>
        <row r="119">
          <cell r="G119"/>
          <cell r="H119"/>
          <cell r="I119"/>
          <cell r="J119"/>
          <cell r="K119"/>
          <cell r="L119"/>
          <cell r="M119"/>
          <cell r="N119"/>
          <cell r="O119"/>
          <cell r="P119"/>
          <cell r="Q119"/>
          <cell r="R119"/>
          <cell r="S119"/>
          <cell r="T119"/>
          <cell r="U119"/>
          <cell r="V119"/>
          <cell r="W119"/>
          <cell r="X119"/>
          <cell r="Y119"/>
          <cell r="Z119"/>
          <cell r="AA119"/>
          <cell r="AB119"/>
          <cell r="AC119"/>
          <cell r="AD119"/>
          <cell r="AE119"/>
        </row>
        <row r="120">
          <cell r="G120"/>
          <cell r="H120"/>
          <cell r="I120"/>
          <cell r="J120"/>
          <cell r="K120"/>
          <cell r="L120"/>
          <cell r="M120"/>
          <cell r="N120"/>
          <cell r="O120"/>
          <cell r="P120"/>
          <cell r="Q120"/>
          <cell r="R120"/>
          <cell r="S120"/>
          <cell r="T120"/>
          <cell r="U120"/>
          <cell r="V120"/>
          <cell r="W120"/>
          <cell r="X120"/>
          <cell r="Y120"/>
          <cell r="Z120"/>
          <cell r="AA120"/>
          <cell r="AB120"/>
          <cell r="AC120"/>
          <cell r="AD120"/>
          <cell r="AE120"/>
        </row>
        <row r="121">
          <cell r="G121"/>
          <cell r="H121"/>
          <cell r="I121"/>
          <cell r="J121"/>
          <cell r="K121"/>
          <cell r="L121"/>
          <cell r="M121"/>
          <cell r="N121"/>
          <cell r="O121"/>
          <cell r="P121"/>
          <cell r="Q121"/>
          <cell r="R121"/>
          <cell r="S121"/>
          <cell r="T121"/>
          <cell r="U121"/>
          <cell r="V121"/>
          <cell r="W121"/>
          <cell r="X121"/>
          <cell r="Y121"/>
          <cell r="Z121"/>
          <cell r="AA121"/>
          <cell r="AB121"/>
          <cell r="AC121"/>
          <cell r="AD121"/>
          <cell r="AE121"/>
        </row>
        <row r="122">
          <cell r="G122"/>
          <cell r="H122"/>
          <cell r="I122"/>
          <cell r="J122"/>
          <cell r="K122"/>
          <cell r="L122"/>
          <cell r="M122"/>
          <cell r="N122"/>
          <cell r="O122"/>
          <cell r="P122"/>
          <cell r="Q122"/>
          <cell r="R122"/>
          <cell r="S122"/>
          <cell r="T122"/>
          <cell r="U122"/>
          <cell r="V122"/>
          <cell r="W122"/>
          <cell r="X122"/>
          <cell r="Y122"/>
          <cell r="Z122"/>
          <cell r="AA122"/>
          <cell r="AB122"/>
          <cell r="AC122"/>
          <cell r="AD122"/>
          <cell r="AE122"/>
        </row>
        <row r="123">
          <cell r="G123"/>
          <cell r="H123"/>
          <cell r="I123"/>
          <cell r="J123"/>
          <cell r="K123"/>
          <cell r="L123"/>
          <cell r="M123"/>
          <cell r="N123"/>
          <cell r="O123"/>
          <cell r="P123"/>
          <cell r="Q123"/>
          <cell r="R123"/>
          <cell r="S123"/>
          <cell r="T123"/>
          <cell r="U123"/>
          <cell r="V123"/>
          <cell r="W123"/>
          <cell r="X123"/>
          <cell r="Y123"/>
          <cell r="Z123"/>
          <cell r="AA123"/>
          <cell r="AB123"/>
          <cell r="AC123"/>
          <cell r="AD123"/>
          <cell r="AE123"/>
        </row>
        <row r="124">
          <cell r="G124"/>
          <cell r="H124"/>
          <cell r="I124"/>
          <cell r="J124"/>
          <cell r="K124"/>
          <cell r="L124"/>
          <cell r="M124"/>
          <cell r="N124"/>
          <cell r="O124"/>
          <cell r="P124"/>
          <cell r="Q124"/>
          <cell r="R124"/>
          <cell r="S124"/>
          <cell r="T124"/>
          <cell r="U124"/>
          <cell r="V124"/>
          <cell r="W124"/>
          <cell r="X124"/>
          <cell r="Y124"/>
          <cell r="Z124"/>
          <cell r="AA124"/>
          <cell r="AB124"/>
          <cell r="AC124"/>
          <cell r="AD124"/>
          <cell r="AE124"/>
        </row>
        <row r="125">
          <cell r="G125"/>
          <cell r="H125"/>
          <cell r="I125"/>
          <cell r="J125"/>
          <cell r="K125"/>
          <cell r="L125"/>
          <cell r="M125"/>
          <cell r="N125"/>
          <cell r="O125"/>
          <cell r="P125"/>
          <cell r="Q125"/>
          <cell r="R125"/>
          <cell r="S125"/>
          <cell r="T125"/>
          <cell r="U125"/>
          <cell r="V125"/>
          <cell r="W125"/>
          <cell r="X125"/>
          <cell r="Y125"/>
          <cell r="Z125"/>
          <cell r="AA125"/>
          <cell r="AB125"/>
          <cell r="AC125"/>
          <cell r="AD125"/>
          <cell r="AE125"/>
        </row>
        <row r="126">
          <cell r="G126"/>
          <cell r="H126"/>
          <cell r="I126"/>
          <cell r="J126"/>
          <cell r="K126"/>
          <cell r="L126"/>
          <cell r="M126"/>
          <cell r="N126"/>
          <cell r="O126"/>
          <cell r="P126"/>
          <cell r="Q126"/>
          <cell r="R126"/>
          <cell r="S126"/>
          <cell r="T126"/>
          <cell r="U126"/>
          <cell r="V126"/>
          <cell r="W126"/>
          <cell r="X126"/>
          <cell r="Y126"/>
          <cell r="Z126"/>
          <cell r="AA126"/>
          <cell r="AB126"/>
          <cell r="AC126"/>
          <cell r="AD126"/>
          <cell r="AE126"/>
        </row>
        <row r="127">
          <cell r="G127"/>
          <cell r="H127"/>
          <cell r="I127"/>
          <cell r="J127"/>
          <cell r="K127"/>
          <cell r="L127"/>
          <cell r="M127"/>
          <cell r="N127"/>
          <cell r="O127"/>
          <cell r="P127"/>
          <cell r="Q127"/>
          <cell r="R127"/>
          <cell r="S127"/>
          <cell r="T127"/>
          <cell r="U127"/>
          <cell r="V127"/>
          <cell r="W127"/>
          <cell r="X127"/>
          <cell r="Y127"/>
          <cell r="Z127"/>
          <cell r="AA127"/>
          <cell r="AB127"/>
          <cell r="AC127"/>
          <cell r="AD127"/>
          <cell r="AE127"/>
        </row>
        <row r="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row r="132">
          <cell r="G132"/>
          <cell r="H132"/>
          <cell r="I132"/>
          <cell r="J132"/>
          <cell r="K132"/>
          <cell r="L132"/>
          <cell r="M132"/>
          <cell r="N132"/>
          <cell r="O132"/>
          <cell r="P132"/>
          <cell r="Q132"/>
          <cell r="R132"/>
          <cell r="S132"/>
          <cell r="T132"/>
          <cell r="U132"/>
          <cell r="V132"/>
          <cell r="W132"/>
          <cell r="X132"/>
          <cell r="Y132"/>
          <cell r="Z132"/>
          <cell r="AA132"/>
          <cell r="AB132"/>
          <cell r="AC132"/>
          <cell r="AD132"/>
          <cell r="AE132"/>
        </row>
        <row r="133">
          <cell r="G133"/>
          <cell r="H133"/>
          <cell r="I133"/>
          <cell r="J133"/>
          <cell r="K133"/>
          <cell r="L133"/>
          <cell r="M133"/>
          <cell r="N133"/>
          <cell r="O133"/>
          <cell r="P133"/>
          <cell r="Q133"/>
          <cell r="R133"/>
          <cell r="S133"/>
          <cell r="T133"/>
          <cell r="U133"/>
          <cell r="V133"/>
          <cell r="W133"/>
          <cell r="X133"/>
          <cell r="Y133"/>
          <cell r="Z133"/>
          <cell r="AA133"/>
          <cell r="AB133"/>
          <cell r="AC133"/>
          <cell r="AD133"/>
          <cell r="AE133"/>
        </row>
        <row r="134">
          <cell r="G134"/>
          <cell r="H134"/>
          <cell r="I134"/>
          <cell r="J134"/>
          <cell r="K134"/>
          <cell r="L134"/>
          <cell r="M134"/>
          <cell r="N134"/>
          <cell r="O134"/>
          <cell r="P134"/>
          <cell r="Q134"/>
          <cell r="R134"/>
          <cell r="S134"/>
          <cell r="T134"/>
          <cell r="U134"/>
          <cell r="V134"/>
          <cell r="W134"/>
          <cell r="X134"/>
          <cell r="Y134"/>
          <cell r="Z134"/>
          <cell r="AA134"/>
          <cell r="AB134"/>
          <cell r="AC134"/>
          <cell r="AD134"/>
          <cell r="AE134"/>
        </row>
        <row r="135">
          <cell r="G135"/>
          <cell r="H135"/>
          <cell r="I135"/>
          <cell r="J135"/>
          <cell r="K135"/>
          <cell r="L135"/>
          <cell r="M135"/>
          <cell r="N135"/>
          <cell r="O135"/>
          <cell r="P135"/>
          <cell r="Q135"/>
          <cell r="R135"/>
          <cell r="S135"/>
          <cell r="T135"/>
          <cell r="U135"/>
          <cell r="V135"/>
          <cell r="W135"/>
          <cell r="X135"/>
          <cell r="Y135"/>
          <cell r="Z135"/>
          <cell r="AA135"/>
          <cell r="AB135"/>
          <cell r="AC135"/>
          <cell r="AD135"/>
          <cell r="AE135"/>
        </row>
        <row r="136">
          <cell r="G136"/>
          <cell r="H136"/>
          <cell r="I136"/>
          <cell r="J136"/>
          <cell r="K136"/>
          <cell r="L136"/>
          <cell r="M136"/>
          <cell r="N136"/>
          <cell r="O136"/>
          <cell r="P136"/>
          <cell r="Q136"/>
          <cell r="R136"/>
          <cell r="S136"/>
          <cell r="T136"/>
          <cell r="U136"/>
          <cell r="V136"/>
          <cell r="W136"/>
          <cell r="X136"/>
          <cell r="Y136"/>
          <cell r="Z136"/>
          <cell r="AA136"/>
          <cell r="AB136"/>
          <cell r="AC136"/>
          <cell r="AD136"/>
          <cell r="AE136"/>
        </row>
        <row r="137">
          <cell r="G137"/>
          <cell r="H137"/>
          <cell r="I137"/>
          <cell r="J137"/>
          <cell r="K137"/>
          <cell r="L137"/>
          <cell r="M137"/>
          <cell r="N137"/>
          <cell r="O137"/>
          <cell r="P137"/>
          <cell r="Q137"/>
          <cell r="R137"/>
          <cell r="S137"/>
          <cell r="T137"/>
          <cell r="U137"/>
          <cell r="V137"/>
          <cell r="W137"/>
          <cell r="X137"/>
          <cell r="Y137"/>
          <cell r="Z137"/>
          <cell r="AA137"/>
          <cell r="AB137"/>
          <cell r="AC137"/>
          <cell r="AD137"/>
          <cell r="AE137"/>
        </row>
        <row r="138">
          <cell r="G138"/>
          <cell r="H138"/>
          <cell r="I138"/>
          <cell r="J138"/>
          <cell r="K138"/>
          <cell r="L138"/>
          <cell r="M138"/>
          <cell r="N138"/>
          <cell r="O138"/>
          <cell r="P138"/>
          <cell r="Q138"/>
          <cell r="R138"/>
          <cell r="S138"/>
          <cell r="T138"/>
          <cell r="U138"/>
          <cell r="V138"/>
          <cell r="W138"/>
          <cell r="X138"/>
          <cell r="Y138"/>
          <cell r="Z138"/>
          <cell r="AA138"/>
          <cell r="AB138"/>
          <cell r="AC138"/>
          <cell r="AD138"/>
          <cell r="AE138"/>
        </row>
        <row r="139">
          <cell r="G139"/>
          <cell r="H139"/>
          <cell r="I139"/>
          <cell r="J139"/>
          <cell r="K139"/>
          <cell r="L139"/>
          <cell r="M139"/>
          <cell r="N139"/>
          <cell r="O139"/>
          <cell r="P139"/>
          <cell r="Q139"/>
          <cell r="R139"/>
          <cell r="S139"/>
          <cell r="T139"/>
          <cell r="U139"/>
          <cell r="V139"/>
          <cell r="W139"/>
          <cell r="X139"/>
          <cell r="Y139"/>
          <cell r="Z139"/>
          <cell r="AA139"/>
          <cell r="AB139"/>
          <cell r="AC139"/>
          <cell r="AD139"/>
          <cell r="AE139"/>
        </row>
        <row r="140">
          <cell r="G140"/>
          <cell r="H140"/>
          <cell r="I140"/>
          <cell r="J140"/>
          <cell r="K140"/>
          <cell r="L140"/>
          <cell r="M140"/>
          <cell r="N140"/>
          <cell r="O140"/>
          <cell r="P140"/>
          <cell r="Q140"/>
          <cell r="R140"/>
          <cell r="S140"/>
          <cell r="T140"/>
          <cell r="U140"/>
          <cell r="V140"/>
          <cell r="W140"/>
          <cell r="X140"/>
          <cell r="Y140"/>
          <cell r="Z140"/>
          <cell r="AA140"/>
          <cell r="AB140"/>
          <cell r="AC140"/>
          <cell r="AD140"/>
          <cell r="AE140"/>
        </row>
        <row r="141">
          <cell r="G141"/>
          <cell r="H141"/>
          <cell r="I141"/>
          <cell r="J141"/>
          <cell r="K141"/>
          <cell r="L141"/>
          <cell r="M141"/>
          <cell r="N141"/>
          <cell r="O141"/>
          <cell r="P141"/>
          <cell r="Q141"/>
          <cell r="R141"/>
          <cell r="S141"/>
          <cell r="T141"/>
          <cell r="U141"/>
          <cell r="V141"/>
          <cell r="W141"/>
          <cell r="X141"/>
          <cell r="Y141"/>
          <cell r="Z141"/>
          <cell r="AA141"/>
          <cell r="AB141"/>
          <cell r="AC141"/>
          <cell r="AD141"/>
          <cell r="AE141"/>
        </row>
        <row r="142">
          <cell r="G142"/>
          <cell r="H142"/>
          <cell r="I142"/>
          <cell r="J142"/>
          <cell r="K142"/>
          <cell r="L142"/>
          <cell r="M142"/>
          <cell r="N142"/>
          <cell r="O142"/>
          <cell r="P142"/>
          <cell r="Q142"/>
          <cell r="R142"/>
          <cell r="S142"/>
          <cell r="T142"/>
          <cell r="U142"/>
          <cell r="V142"/>
          <cell r="W142"/>
          <cell r="X142"/>
          <cell r="Y142"/>
          <cell r="Z142"/>
          <cell r="AA142"/>
          <cell r="AB142"/>
          <cell r="AC142"/>
          <cell r="AD142"/>
          <cell r="AE142"/>
        </row>
        <row r="143">
          <cell r="G143"/>
          <cell r="H143"/>
          <cell r="I143"/>
          <cell r="J143"/>
          <cell r="K143"/>
          <cell r="L143"/>
          <cell r="M143"/>
          <cell r="N143"/>
          <cell r="O143"/>
          <cell r="P143"/>
          <cell r="Q143"/>
          <cell r="R143"/>
          <cell r="S143"/>
          <cell r="T143"/>
          <cell r="U143"/>
          <cell r="V143"/>
          <cell r="W143"/>
          <cell r="X143"/>
          <cell r="Y143"/>
          <cell r="Z143"/>
          <cell r="AA143"/>
          <cell r="AB143"/>
          <cell r="AC143"/>
          <cell r="AD143"/>
          <cell r="AE143"/>
        </row>
        <row r="144">
          <cell r="G144"/>
          <cell r="H144"/>
          <cell r="I144"/>
          <cell r="J144"/>
          <cell r="K144"/>
          <cell r="L144"/>
          <cell r="M144"/>
          <cell r="N144"/>
          <cell r="O144"/>
          <cell r="P144"/>
          <cell r="Q144"/>
          <cell r="R144"/>
          <cell r="S144"/>
          <cell r="T144"/>
          <cell r="U144"/>
          <cell r="V144"/>
          <cell r="W144"/>
          <cell r="X144"/>
          <cell r="Y144"/>
          <cell r="Z144"/>
          <cell r="AA144"/>
          <cell r="AB144"/>
          <cell r="AC144"/>
          <cell r="AD144"/>
          <cell r="AE144"/>
        </row>
        <row r="145">
          <cell r="G145"/>
          <cell r="H145"/>
          <cell r="I145"/>
          <cell r="J145"/>
          <cell r="K145"/>
          <cell r="L145"/>
          <cell r="M145"/>
          <cell r="N145"/>
          <cell r="O145"/>
          <cell r="P145"/>
          <cell r="Q145"/>
          <cell r="R145"/>
          <cell r="S145"/>
          <cell r="T145"/>
          <cell r="U145"/>
          <cell r="V145"/>
          <cell r="W145"/>
          <cell r="X145"/>
          <cell r="Y145"/>
          <cell r="Z145"/>
          <cell r="AA145"/>
          <cell r="AB145"/>
          <cell r="AC145"/>
          <cell r="AD145"/>
          <cell r="AE145"/>
        </row>
        <row r="146">
          <cell r="G146"/>
          <cell r="H146"/>
          <cell r="I146"/>
          <cell r="J146"/>
          <cell r="K146"/>
          <cell r="L146"/>
          <cell r="M146"/>
          <cell r="N146"/>
          <cell r="O146"/>
          <cell r="P146"/>
          <cell r="Q146"/>
          <cell r="R146"/>
          <cell r="S146"/>
          <cell r="T146"/>
          <cell r="U146"/>
          <cell r="V146"/>
          <cell r="W146"/>
          <cell r="X146"/>
          <cell r="Y146"/>
          <cell r="Z146"/>
          <cell r="AA146"/>
          <cell r="AB146"/>
          <cell r="AC146"/>
          <cell r="AD146"/>
          <cell r="AE146"/>
        </row>
        <row r="147">
          <cell r="G147"/>
          <cell r="H147"/>
          <cell r="I147"/>
          <cell r="J147"/>
          <cell r="K147"/>
          <cell r="L147"/>
          <cell r="M147"/>
          <cell r="N147"/>
          <cell r="O147"/>
          <cell r="P147"/>
          <cell r="Q147"/>
          <cell r="R147"/>
          <cell r="S147"/>
          <cell r="T147"/>
          <cell r="U147"/>
          <cell r="V147"/>
          <cell r="W147"/>
          <cell r="X147"/>
          <cell r="Y147"/>
          <cell r="Z147"/>
          <cell r="AA147"/>
          <cell r="AB147"/>
          <cell r="AC147"/>
          <cell r="AD147"/>
          <cell r="AE147"/>
        </row>
        <row r="148">
          <cell r="G148"/>
          <cell r="H148"/>
          <cell r="I148"/>
          <cell r="J148"/>
          <cell r="K148"/>
          <cell r="L148"/>
          <cell r="M148"/>
          <cell r="N148"/>
          <cell r="O148"/>
          <cell r="P148"/>
          <cell r="Q148"/>
          <cell r="R148"/>
          <cell r="S148"/>
          <cell r="T148"/>
          <cell r="U148"/>
          <cell r="V148"/>
          <cell r="W148"/>
          <cell r="X148"/>
          <cell r="Y148"/>
          <cell r="Z148"/>
          <cell r="AA148"/>
          <cell r="AB148"/>
          <cell r="AC148"/>
          <cell r="AD148"/>
          <cell r="AE148"/>
        </row>
        <row r="149">
          <cell r="G149"/>
          <cell r="H149"/>
          <cell r="I149"/>
          <cell r="J149"/>
          <cell r="K149"/>
          <cell r="L149"/>
          <cell r="M149"/>
          <cell r="N149"/>
          <cell r="O149"/>
          <cell r="P149"/>
          <cell r="Q149"/>
          <cell r="R149"/>
          <cell r="S149"/>
          <cell r="T149"/>
          <cell r="U149"/>
          <cell r="V149"/>
          <cell r="W149"/>
          <cell r="X149"/>
          <cell r="Y149"/>
          <cell r="Z149"/>
          <cell r="AA149"/>
          <cell r="AB149"/>
          <cell r="AC149"/>
          <cell r="AD149"/>
          <cell r="AE149"/>
        </row>
        <row r="150">
          <cell r="G150"/>
          <cell r="H150"/>
          <cell r="I150"/>
          <cell r="J150"/>
          <cell r="K150"/>
          <cell r="L150"/>
          <cell r="M150"/>
          <cell r="N150"/>
          <cell r="O150"/>
          <cell r="P150"/>
          <cell r="Q150"/>
          <cell r="R150"/>
          <cell r="S150"/>
          <cell r="T150"/>
          <cell r="U150"/>
          <cell r="V150"/>
          <cell r="W150"/>
          <cell r="X150"/>
          <cell r="Y150"/>
          <cell r="Z150"/>
          <cell r="AA150"/>
          <cell r="AB150"/>
          <cell r="AC150"/>
          <cell r="AD150"/>
          <cell r="AE150"/>
        </row>
        <row r="151">
          <cell r="G151"/>
          <cell r="H151"/>
          <cell r="I151"/>
          <cell r="J151"/>
          <cell r="K151"/>
          <cell r="L151"/>
          <cell r="M151"/>
          <cell r="N151"/>
          <cell r="O151"/>
          <cell r="P151"/>
          <cell r="Q151"/>
          <cell r="R151"/>
          <cell r="S151"/>
          <cell r="T151"/>
          <cell r="U151"/>
          <cell r="V151"/>
          <cell r="W151"/>
          <cell r="X151"/>
          <cell r="Y151"/>
          <cell r="Z151"/>
          <cell r="AA151"/>
          <cell r="AB151"/>
          <cell r="AC151"/>
          <cell r="AD151"/>
          <cell r="AE151"/>
        </row>
        <row r="152">
          <cell r="G152"/>
          <cell r="H152"/>
          <cell r="I152"/>
          <cell r="J152"/>
          <cell r="K152"/>
          <cell r="L152"/>
          <cell r="M152"/>
          <cell r="N152"/>
          <cell r="O152"/>
          <cell r="P152"/>
          <cell r="Q152"/>
          <cell r="R152"/>
          <cell r="S152"/>
          <cell r="T152"/>
          <cell r="U152"/>
          <cell r="V152"/>
          <cell r="W152"/>
          <cell r="X152"/>
          <cell r="Y152"/>
          <cell r="Z152"/>
          <cell r="AA152"/>
          <cell r="AB152"/>
          <cell r="AC152"/>
          <cell r="AD152"/>
          <cell r="AE152"/>
        </row>
        <row r="153">
          <cell r="G153"/>
          <cell r="H153"/>
          <cell r="I153"/>
          <cell r="J153"/>
          <cell r="K153"/>
          <cell r="L153"/>
          <cell r="M153"/>
          <cell r="N153"/>
          <cell r="O153"/>
          <cell r="P153"/>
          <cell r="Q153"/>
          <cell r="R153"/>
          <cell r="S153"/>
          <cell r="T153"/>
          <cell r="U153"/>
          <cell r="V153"/>
          <cell r="W153"/>
          <cell r="X153"/>
          <cell r="Y153"/>
          <cell r="Z153"/>
          <cell r="AA153"/>
          <cell r="AB153"/>
          <cell r="AC153"/>
          <cell r="AD153"/>
          <cell r="AE153"/>
        </row>
        <row r="154">
          <cell r="G154"/>
          <cell r="H154"/>
          <cell r="I154"/>
          <cell r="J154"/>
          <cell r="K154"/>
          <cell r="L154"/>
          <cell r="M154"/>
          <cell r="N154"/>
          <cell r="O154"/>
          <cell r="P154"/>
          <cell r="Q154"/>
          <cell r="R154"/>
          <cell r="S154"/>
          <cell r="T154"/>
          <cell r="U154"/>
          <cell r="V154"/>
          <cell r="W154"/>
          <cell r="X154"/>
          <cell r="Y154"/>
          <cell r="Z154"/>
          <cell r="AA154"/>
          <cell r="AB154"/>
          <cell r="AC154"/>
          <cell r="AD154"/>
          <cell r="AE154"/>
        </row>
        <row r="155">
          <cell r="G155"/>
          <cell r="H155"/>
          <cell r="I155"/>
          <cell r="J155"/>
          <cell r="K155"/>
          <cell r="L155"/>
          <cell r="M155"/>
          <cell r="N155"/>
          <cell r="O155"/>
          <cell r="P155"/>
          <cell r="Q155"/>
          <cell r="R155"/>
          <cell r="S155"/>
          <cell r="T155"/>
          <cell r="U155"/>
          <cell r="V155"/>
          <cell r="W155"/>
          <cell r="X155"/>
          <cell r="Y155"/>
          <cell r="Z155"/>
          <cell r="AA155"/>
          <cell r="AB155"/>
          <cell r="AC155"/>
          <cell r="AD155"/>
          <cell r="AE155"/>
        </row>
        <row r="156">
          <cell r="G156"/>
          <cell r="H156"/>
          <cell r="I156"/>
          <cell r="J156"/>
          <cell r="K156"/>
          <cell r="L156"/>
          <cell r="M156"/>
          <cell r="N156"/>
          <cell r="O156"/>
          <cell r="P156"/>
          <cell r="Q156"/>
          <cell r="R156"/>
          <cell r="S156"/>
          <cell r="T156"/>
          <cell r="U156"/>
          <cell r="V156"/>
          <cell r="W156"/>
          <cell r="X156"/>
          <cell r="Y156"/>
          <cell r="Z156"/>
          <cell r="AA156"/>
          <cell r="AB156"/>
          <cell r="AC156"/>
          <cell r="AD156"/>
          <cell r="AE156"/>
        </row>
        <row r="157">
          <cell r="G157"/>
          <cell r="H157"/>
          <cell r="I157"/>
          <cell r="J157"/>
          <cell r="K157"/>
          <cell r="L157"/>
          <cell r="M157"/>
          <cell r="N157"/>
          <cell r="O157"/>
          <cell r="P157"/>
          <cell r="Q157"/>
          <cell r="R157"/>
          <cell r="S157"/>
          <cell r="T157"/>
          <cell r="U157"/>
          <cell r="V157"/>
          <cell r="W157"/>
          <cell r="X157"/>
          <cell r="Y157"/>
          <cell r="Z157"/>
          <cell r="AA157"/>
          <cell r="AB157"/>
          <cell r="AC157"/>
          <cell r="AD157"/>
          <cell r="AE157"/>
        </row>
        <row r="158">
          <cell r="G158"/>
          <cell r="H158"/>
          <cell r="I158"/>
          <cell r="J158"/>
          <cell r="K158"/>
          <cell r="L158"/>
          <cell r="M158"/>
          <cell r="N158"/>
          <cell r="O158"/>
          <cell r="P158"/>
          <cell r="Q158"/>
          <cell r="R158"/>
          <cell r="S158"/>
          <cell r="T158"/>
          <cell r="U158"/>
          <cell r="V158"/>
          <cell r="W158"/>
          <cell r="X158"/>
          <cell r="Y158"/>
          <cell r="Z158"/>
          <cell r="AA158"/>
          <cell r="AB158"/>
          <cell r="AC158"/>
          <cell r="AD158"/>
          <cell r="AE158"/>
        </row>
        <row r="159">
          <cell r="G159"/>
          <cell r="H159"/>
          <cell r="I159"/>
          <cell r="J159"/>
          <cell r="K159"/>
          <cell r="L159"/>
          <cell r="M159"/>
          <cell r="N159"/>
          <cell r="O159"/>
          <cell r="P159"/>
          <cell r="Q159"/>
          <cell r="R159"/>
          <cell r="S159"/>
          <cell r="T159"/>
          <cell r="U159"/>
          <cell r="V159"/>
          <cell r="W159"/>
          <cell r="X159"/>
          <cell r="Y159"/>
          <cell r="Z159"/>
          <cell r="AA159"/>
          <cell r="AB159"/>
          <cell r="AC159"/>
          <cell r="AD159"/>
          <cell r="AE159"/>
        </row>
        <row r="160">
          <cell r="G160"/>
          <cell r="H160"/>
          <cell r="I160"/>
          <cell r="J160"/>
          <cell r="K160"/>
          <cell r="L160"/>
          <cell r="M160"/>
          <cell r="N160"/>
          <cell r="O160"/>
          <cell r="P160"/>
          <cell r="Q160"/>
          <cell r="R160"/>
          <cell r="S160"/>
          <cell r="T160"/>
          <cell r="U160"/>
          <cell r="V160"/>
          <cell r="W160"/>
          <cell r="X160"/>
          <cell r="Y160"/>
          <cell r="Z160"/>
          <cell r="AA160"/>
          <cell r="AB160"/>
          <cell r="AC160"/>
          <cell r="AD160"/>
          <cell r="AE160"/>
        </row>
        <row r="161">
          <cell r="G161"/>
          <cell r="H161"/>
          <cell r="I161"/>
          <cell r="J161"/>
          <cell r="K161"/>
          <cell r="L161"/>
          <cell r="M161"/>
          <cell r="N161"/>
          <cell r="O161"/>
          <cell r="P161"/>
          <cell r="Q161"/>
          <cell r="R161"/>
          <cell r="S161"/>
          <cell r="T161"/>
          <cell r="U161"/>
          <cell r="V161"/>
          <cell r="W161"/>
          <cell r="X161"/>
          <cell r="Y161"/>
          <cell r="Z161"/>
          <cell r="AA161"/>
          <cell r="AB161"/>
          <cell r="AC161"/>
          <cell r="AD161"/>
          <cell r="AE161"/>
        </row>
        <row r="162">
          <cell r="G162"/>
          <cell r="H162"/>
          <cell r="I162"/>
          <cell r="J162"/>
          <cell r="K162"/>
          <cell r="L162"/>
          <cell r="M162"/>
          <cell r="N162"/>
          <cell r="O162"/>
          <cell r="P162"/>
          <cell r="Q162"/>
          <cell r="R162"/>
          <cell r="S162"/>
          <cell r="T162"/>
          <cell r="U162"/>
          <cell r="V162"/>
          <cell r="W162"/>
          <cell r="X162"/>
          <cell r="Y162"/>
          <cell r="Z162"/>
          <cell r="AA162"/>
          <cell r="AB162"/>
          <cell r="AC162"/>
          <cell r="AD162"/>
          <cell r="AE162"/>
        </row>
        <row r="163">
          <cell r="G163"/>
          <cell r="H163"/>
          <cell r="I163"/>
          <cell r="J163"/>
          <cell r="K163"/>
          <cell r="L163"/>
          <cell r="M163"/>
          <cell r="N163"/>
          <cell r="O163"/>
          <cell r="P163"/>
          <cell r="Q163"/>
          <cell r="R163"/>
          <cell r="S163"/>
          <cell r="T163"/>
          <cell r="U163"/>
          <cell r="V163"/>
          <cell r="W163"/>
          <cell r="X163"/>
          <cell r="Y163"/>
          <cell r="Z163"/>
          <cell r="AA163"/>
          <cell r="AB163"/>
          <cell r="AC163"/>
          <cell r="AD163"/>
          <cell r="AE163"/>
        </row>
        <row r="164">
          <cell r="G164"/>
          <cell r="H164"/>
          <cell r="I164"/>
          <cell r="J164"/>
          <cell r="K164"/>
          <cell r="L164"/>
          <cell r="M164"/>
          <cell r="N164"/>
          <cell r="O164"/>
          <cell r="P164"/>
          <cell r="Q164"/>
          <cell r="R164"/>
          <cell r="S164"/>
          <cell r="T164"/>
          <cell r="U164"/>
          <cell r="V164"/>
          <cell r="W164"/>
          <cell r="X164"/>
          <cell r="Y164"/>
          <cell r="Z164"/>
          <cell r="AA164"/>
          <cell r="AB164"/>
          <cell r="AC164"/>
          <cell r="AD164"/>
          <cell r="AE164"/>
        </row>
        <row r="165">
          <cell r="G165"/>
          <cell r="H165"/>
          <cell r="I165"/>
          <cell r="J165"/>
          <cell r="K165"/>
          <cell r="L165"/>
          <cell r="M165"/>
          <cell r="N165"/>
          <cell r="O165"/>
          <cell r="P165"/>
          <cell r="Q165"/>
          <cell r="R165"/>
          <cell r="S165"/>
          <cell r="T165"/>
          <cell r="U165"/>
          <cell r="V165"/>
          <cell r="W165"/>
          <cell r="X165"/>
          <cell r="Y165"/>
          <cell r="Z165"/>
          <cell r="AA165"/>
          <cell r="AB165"/>
          <cell r="AC165"/>
          <cell r="AD165"/>
          <cell r="AE165"/>
        </row>
        <row r="166">
          <cell r="G166"/>
          <cell r="H166"/>
          <cell r="I166"/>
          <cell r="J166"/>
          <cell r="K166"/>
          <cell r="L166"/>
          <cell r="M166"/>
          <cell r="N166"/>
          <cell r="O166"/>
          <cell r="P166"/>
          <cell r="Q166"/>
          <cell r="R166"/>
          <cell r="S166"/>
          <cell r="T166"/>
          <cell r="U166"/>
          <cell r="V166"/>
          <cell r="W166"/>
          <cell r="X166"/>
          <cell r="Y166"/>
          <cell r="Z166"/>
          <cell r="AA166"/>
          <cell r="AB166"/>
          <cell r="AC166"/>
          <cell r="AD166"/>
          <cell r="AE166"/>
        </row>
        <row r="167">
          <cell r="G167"/>
          <cell r="H167"/>
          <cell r="I167"/>
          <cell r="J167"/>
          <cell r="K167"/>
          <cell r="L167"/>
          <cell r="M167"/>
          <cell r="N167"/>
          <cell r="O167"/>
          <cell r="P167"/>
          <cell r="Q167"/>
          <cell r="R167"/>
          <cell r="S167"/>
          <cell r="T167"/>
          <cell r="U167"/>
          <cell r="V167"/>
          <cell r="W167"/>
          <cell r="X167"/>
          <cell r="Y167"/>
          <cell r="Z167"/>
          <cell r="AA167"/>
          <cell r="AB167"/>
          <cell r="AC167"/>
          <cell r="AD167"/>
          <cell r="AE167"/>
        </row>
        <row r="168">
          <cell r="G168"/>
          <cell r="H168"/>
          <cell r="I168"/>
          <cell r="J168"/>
          <cell r="K168"/>
          <cell r="L168"/>
          <cell r="M168"/>
          <cell r="N168"/>
          <cell r="O168"/>
          <cell r="P168"/>
          <cell r="Q168"/>
          <cell r="R168"/>
          <cell r="S168"/>
          <cell r="T168"/>
          <cell r="U168"/>
          <cell r="V168"/>
          <cell r="W168"/>
          <cell r="X168"/>
          <cell r="Y168"/>
          <cell r="Z168"/>
          <cell r="AA168"/>
          <cell r="AB168"/>
          <cell r="AC168"/>
          <cell r="AD168"/>
          <cell r="AE168"/>
        </row>
        <row r="169">
          <cell r="G169"/>
          <cell r="H169"/>
          <cell r="I169"/>
          <cell r="J169"/>
          <cell r="K169"/>
          <cell r="L169"/>
          <cell r="M169"/>
          <cell r="N169"/>
          <cell r="O169"/>
          <cell r="P169"/>
          <cell r="Q169"/>
          <cell r="R169"/>
          <cell r="S169"/>
          <cell r="T169"/>
          <cell r="U169"/>
          <cell r="V169"/>
          <cell r="W169"/>
          <cell r="X169"/>
          <cell r="Y169"/>
          <cell r="Z169"/>
          <cell r="AA169"/>
          <cell r="AB169"/>
          <cell r="AC169"/>
          <cell r="AD169"/>
          <cell r="AE169"/>
        </row>
        <row r="170">
          <cell r="G170"/>
          <cell r="H170"/>
          <cell r="I170"/>
          <cell r="J170"/>
          <cell r="K170"/>
          <cell r="L170"/>
          <cell r="M170"/>
          <cell r="N170"/>
          <cell r="O170"/>
          <cell r="P170"/>
          <cell r="Q170"/>
          <cell r="R170"/>
          <cell r="S170"/>
          <cell r="T170"/>
          <cell r="U170"/>
          <cell r="V170"/>
          <cell r="W170"/>
          <cell r="X170"/>
          <cell r="Y170"/>
          <cell r="Z170"/>
          <cell r="AA170"/>
          <cell r="AB170"/>
          <cell r="AC170"/>
          <cell r="AD170"/>
          <cell r="AE170"/>
        </row>
        <row r="171">
          <cell r="G171"/>
          <cell r="H171"/>
          <cell r="I171"/>
          <cell r="J171"/>
          <cell r="K171"/>
          <cell r="L171"/>
          <cell r="M171"/>
          <cell r="N171"/>
          <cell r="O171"/>
          <cell r="P171"/>
          <cell r="Q171"/>
          <cell r="R171"/>
          <cell r="S171"/>
          <cell r="T171"/>
          <cell r="U171"/>
          <cell r="V171"/>
          <cell r="W171"/>
          <cell r="X171"/>
          <cell r="Y171"/>
          <cell r="Z171"/>
          <cell r="AA171"/>
          <cell r="AB171"/>
          <cell r="AC171"/>
          <cell r="AD171"/>
          <cell r="AE171"/>
        </row>
        <row r="172">
          <cell r="G172"/>
          <cell r="H172"/>
          <cell r="I172"/>
          <cell r="J172"/>
          <cell r="K172"/>
          <cell r="L172"/>
          <cell r="M172"/>
          <cell r="N172"/>
          <cell r="O172"/>
          <cell r="P172"/>
          <cell r="Q172"/>
          <cell r="R172"/>
          <cell r="S172"/>
          <cell r="T172"/>
          <cell r="U172"/>
          <cell r="V172"/>
          <cell r="W172"/>
          <cell r="X172"/>
          <cell r="Y172"/>
          <cell r="Z172"/>
          <cell r="AA172"/>
          <cell r="AB172"/>
          <cell r="AC172"/>
          <cell r="AD172"/>
          <cell r="AE172"/>
        </row>
        <row r="173">
          <cell r="G173"/>
          <cell r="H173"/>
          <cell r="I173"/>
          <cell r="J173"/>
          <cell r="K173"/>
          <cell r="L173"/>
          <cell r="M173"/>
          <cell r="N173"/>
          <cell r="O173"/>
          <cell r="P173"/>
          <cell r="Q173"/>
          <cell r="R173"/>
          <cell r="S173"/>
          <cell r="T173"/>
          <cell r="U173"/>
          <cell r="V173"/>
          <cell r="W173"/>
          <cell r="X173"/>
          <cell r="Y173"/>
          <cell r="Z173"/>
          <cell r="AA173"/>
          <cell r="AB173"/>
          <cell r="AC173"/>
          <cell r="AD173"/>
          <cell r="AE173"/>
        </row>
        <row r="174">
          <cell r="G174"/>
          <cell r="H174"/>
          <cell r="I174"/>
          <cell r="J174"/>
          <cell r="K174"/>
          <cell r="L174"/>
          <cell r="M174"/>
          <cell r="N174"/>
          <cell r="O174"/>
          <cell r="P174"/>
          <cell r="Q174"/>
          <cell r="R174"/>
          <cell r="S174"/>
          <cell r="T174"/>
          <cell r="U174"/>
          <cell r="V174"/>
          <cell r="W174"/>
          <cell r="X174"/>
          <cell r="Y174"/>
          <cell r="Z174"/>
          <cell r="AA174"/>
          <cell r="AB174"/>
          <cell r="AC174"/>
          <cell r="AD174"/>
          <cell r="AE174"/>
        </row>
        <row r="175">
          <cell r="G175"/>
          <cell r="H175"/>
          <cell r="I175"/>
          <cell r="J175"/>
          <cell r="K175"/>
          <cell r="L175"/>
          <cell r="M175"/>
          <cell r="N175"/>
          <cell r="O175"/>
          <cell r="P175"/>
          <cell r="Q175"/>
          <cell r="R175"/>
          <cell r="S175"/>
          <cell r="T175"/>
          <cell r="U175"/>
          <cell r="V175"/>
          <cell r="W175"/>
          <cell r="X175"/>
          <cell r="Y175"/>
          <cell r="Z175"/>
          <cell r="AA175"/>
          <cell r="AB175"/>
          <cell r="AC175"/>
          <cell r="AD175"/>
          <cell r="AE175"/>
        </row>
        <row r="176">
          <cell r="G176"/>
          <cell r="H176"/>
          <cell r="I176"/>
          <cell r="J176"/>
          <cell r="K176"/>
          <cell r="L176"/>
          <cell r="M176"/>
          <cell r="N176"/>
          <cell r="O176"/>
          <cell r="P176"/>
          <cell r="Q176"/>
          <cell r="R176"/>
          <cell r="S176"/>
          <cell r="T176"/>
          <cell r="U176"/>
          <cell r="V176"/>
          <cell r="W176"/>
          <cell r="X176"/>
          <cell r="Y176"/>
          <cell r="Z176"/>
          <cell r="AA176"/>
          <cell r="AB176"/>
          <cell r="AC176"/>
          <cell r="AD176"/>
          <cell r="AE176"/>
        </row>
        <row r="177">
          <cell r="G177"/>
          <cell r="H177"/>
          <cell r="I177"/>
          <cell r="J177"/>
          <cell r="K177"/>
          <cell r="L177"/>
          <cell r="M177"/>
          <cell r="N177"/>
          <cell r="O177"/>
          <cell r="P177"/>
          <cell r="Q177"/>
          <cell r="R177"/>
          <cell r="S177"/>
          <cell r="T177"/>
          <cell r="U177"/>
          <cell r="V177"/>
          <cell r="W177"/>
          <cell r="X177"/>
          <cell r="Y177"/>
          <cell r="Z177"/>
          <cell r="AA177"/>
          <cell r="AB177"/>
          <cell r="AC177"/>
          <cell r="AD177"/>
          <cell r="AE177"/>
        </row>
        <row r="178">
          <cell r="G178"/>
          <cell r="H178"/>
          <cell r="I178"/>
          <cell r="J178"/>
          <cell r="K178"/>
          <cell r="L178"/>
          <cell r="M178"/>
          <cell r="N178"/>
          <cell r="O178"/>
          <cell r="P178"/>
          <cell r="Q178"/>
          <cell r="R178"/>
          <cell r="S178"/>
          <cell r="T178"/>
          <cell r="U178"/>
          <cell r="V178"/>
          <cell r="W178"/>
          <cell r="X178"/>
          <cell r="Y178"/>
          <cell r="Z178"/>
          <cell r="AA178"/>
          <cell r="AB178"/>
          <cell r="AC178"/>
          <cell r="AD178"/>
          <cell r="AE178"/>
        </row>
        <row r="179">
          <cell r="G179"/>
          <cell r="H179"/>
          <cell r="I179"/>
          <cell r="J179"/>
          <cell r="K179"/>
          <cell r="L179"/>
          <cell r="M179"/>
          <cell r="N179"/>
          <cell r="O179"/>
          <cell r="P179"/>
          <cell r="Q179"/>
          <cell r="R179"/>
          <cell r="S179"/>
          <cell r="T179"/>
          <cell r="U179"/>
          <cell r="V179"/>
          <cell r="W179"/>
          <cell r="X179"/>
          <cell r="Y179"/>
          <cell r="Z179"/>
          <cell r="AA179"/>
          <cell r="AB179"/>
          <cell r="AC179"/>
          <cell r="AD179"/>
          <cell r="AE179"/>
        </row>
        <row r="180">
          <cell r="G180"/>
          <cell r="H180"/>
          <cell r="I180"/>
          <cell r="J180"/>
          <cell r="K180"/>
          <cell r="L180"/>
          <cell r="M180"/>
          <cell r="N180"/>
          <cell r="O180"/>
          <cell r="P180"/>
          <cell r="Q180"/>
          <cell r="R180"/>
          <cell r="S180"/>
          <cell r="T180"/>
          <cell r="U180"/>
          <cell r="V180"/>
          <cell r="W180"/>
          <cell r="X180"/>
          <cell r="Y180"/>
          <cell r="Z180"/>
          <cell r="AA180"/>
          <cell r="AB180"/>
          <cell r="AC180"/>
          <cell r="AD180"/>
          <cell r="AE180"/>
        </row>
        <row r="181">
          <cell r="G181"/>
          <cell r="H181"/>
          <cell r="I181"/>
          <cell r="J181"/>
          <cell r="K181"/>
          <cell r="L181"/>
          <cell r="M181"/>
          <cell r="N181"/>
          <cell r="O181"/>
          <cell r="P181"/>
          <cell r="Q181"/>
          <cell r="R181"/>
          <cell r="S181"/>
          <cell r="T181"/>
          <cell r="U181"/>
          <cell r="V181"/>
          <cell r="W181"/>
          <cell r="X181"/>
          <cell r="Y181"/>
          <cell r="Z181"/>
          <cell r="AA181"/>
          <cell r="AB181"/>
          <cell r="AC181"/>
          <cell r="AD181"/>
          <cell r="AE181"/>
        </row>
        <row r="182">
          <cell r="G182"/>
          <cell r="H182"/>
          <cell r="I182"/>
          <cell r="J182"/>
          <cell r="K182"/>
          <cell r="L182"/>
          <cell r="M182"/>
          <cell r="N182"/>
          <cell r="O182"/>
          <cell r="P182"/>
          <cell r="Q182"/>
          <cell r="R182"/>
          <cell r="S182"/>
          <cell r="T182"/>
          <cell r="U182"/>
          <cell r="V182"/>
          <cell r="W182"/>
          <cell r="X182"/>
          <cell r="Y182"/>
          <cell r="Z182"/>
          <cell r="AA182"/>
          <cell r="AB182"/>
          <cell r="AC182"/>
          <cell r="AD182"/>
          <cell r="AE182"/>
        </row>
        <row r="183">
          <cell r="G183"/>
          <cell r="H183"/>
          <cell r="I183"/>
          <cell r="J183"/>
          <cell r="K183"/>
          <cell r="L183"/>
          <cell r="M183"/>
          <cell r="N183"/>
          <cell r="O183"/>
          <cell r="P183"/>
          <cell r="Q183"/>
          <cell r="R183"/>
          <cell r="S183"/>
          <cell r="T183"/>
          <cell r="U183"/>
          <cell r="V183"/>
          <cell r="W183"/>
          <cell r="X183"/>
          <cell r="Y183"/>
          <cell r="Z183"/>
          <cell r="AA183"/>
          <cell r="AB183"/>
          <cell r="AC183"/>
          <cell r="AD183"/>
          <cell r="AE183"/>
        </row>
        <row r="184">
          <cell r="G184"/>
          <cell r="H184"/>
          <cell r="I184"/>
          <cell r="J184"/>
          <cell r="K184"/>
          <cell r="L184"/>
          <cell r="M184"/>
          <cell r="N184"/>
          <cell r="O184"/>
          <cell r="P184"/>
          <cell r="Q184"/>
          <cell r="R184"/>
          <cell r="S184"/>
          <cell r="T184"/>
          <cell r="U184"/>
          <cell r="V184"/>
          <cell r="W184"/>
          <cell r="X184"/>
          <cell r="Y184"/>
          <cell r="Z184"/>
          <cell r="AA184"/>
          <cell r="AB184"/>
          <cell r="AC184"/>
          <cell r="AD184"/>
          <cell r="AE184"/>
        </row>
        <row r="185">
          <cell r="G185"/>
          <cell r="H185"/>
          <cell r="I185"/>
          <cell r="J185"/>
          <cell r="K185"/>
          <cell r="L185"/>
          <cell r="M185"/>
          <cell r="N185"/>
          <cell r="O185"/>
          <cell r="P185"/>
          <cell r="Q185"/>
          <cell r="R185"/>
          <cell r="S185"/>
          <cell r="T185"/>
          <cell r="U185"/>
          <cell r="V185"/>
          <cell r="W185"/>
          <cell r="X185"/>
          <cell r="Y185"/>
          <cell r="Z185"/>
          <cell r="AA185"/>
          <cell r="AB185"/>
          <cell r="AC185"/>
          <cell r="AD185"/>
          <cell r="AE185"/>
        </row>
        <row r="186">
          <cell r="G186"/>
          <cell r="H186"/>
          <cell r="I186"/>
          <cell r="J186"/>
          <cell r="K186"/>
          <cell r="L186"/>
          <cell r="M186"/>
          <cell r="N186"/>
          <cell r="O186"/>
          <cell r="P186"/>
          <cell r="Q186"/>
          <cell r="R186"/>
          <cell r="S186"/>
          <cell r="T186"/>
          <cell r="U186"/>
          <cell r="V186"/>
          <cell r="W186"/>
          <cell r="X186"/>
          <cell r="Y186"/>
          <cell r="Z186"/>
          <cell r="AA186"/>
          <cell r="AB186"/>
          <cell r="AC186"/>
          <cell r="AD186"/>
          <cell r="AE186"/>
        </row>
        <row r="187">
          <cell r="G187"/>
          <cell r="H187"/>
          <cell r="I187"/>
          <cell r="J187"/>
          <cell r="K187"/>
          <cell r="L187"/>
          <cell r="M187"/>
          <cell r="N187"/>
          <cell r="O187"/>
          <cell r="P187"/>
          <cell r="Q187"/>
          <cell r="R187"/>
          <cell r="S187"/>
          <cell r="T187"/>
          <cell r="U187"/>
          <cell r="V187"/>
          <cell r="W187"/>
          <cell r="X187"/>
          <cell r="Y187"/>
          <cell r="Z187"/>
          <cell r="AA187"/>
          <cell r="AB187"/>
          <cell r="AC187"/>
          <cell r="AD187"/>
          <cell r="AE187"/>
        </row>
        <row r="188">
          <cell r="G188"/>
          <cell r="H188"/>
          <cell r="I188"/>
          <cell r="J188"/>
          <cell r="K188"/>
          <cell r="L188"/>
          <cell r="M188"/>
          <cell r="N188"/>
          <cell r="O188"/>
          <cell r="P188"/>
          <cell r="Q188"/>
          <cell r="R188"/>
          <cell r="S188"/>
          <cell r="T188"/>
          <cell r="U188"/>
          <cell r="V188"/>
          <cell r="W188"/>
          <cell r="X188"/>
          <cell r="Y188"/>
          <cell r="Z188"/>
          <cell r="AA188"/>
          <cell r="AB188"/>
          <cell r="AC188"/>
          <cell r="AD188"/>
          <cell r="AE188"/>
        </row>
        <row r="189">
          <cell r="G189"/>
          <cell r="H189"/>
          <cell r="I189"/>
          <cell r="J189"/>
          <cell r="K189"/>
          <cell r="L189"/>
          <cell r="M189"/>
          <cell r="N189"/>
          <cell r="O189"/>
          <cell r="P189"/>
          <cell r="Q189"/>
          <cell r="R189"/>
          <cell r="S189"/>
          <cell r="T189"/>
          <cell r="U189"/>
          <cell r="V189"/>
          <cell r="W189"/>
          <cell r="X189"/>
          <cell r="Y189"/>
          <cell r="Z189"/>
          <cell r="AA189"/>
          <cell r="AB189"/>
          <cell r="AC189"/>
          <cell r="AD189"/>
          <cell r="AE189"/>
        </row>
        <row r="190">
          <cell r="G190"/>
          <cell r="H190"/>
          <cell r="I190"/>
          <cell r="J190"/>
          <cell r="K190"/>
          <cell r="L190"/>
          <cell r="M190"/>
          <cell r="N190"/>
          <cell r="O190"/>
          <cell r="P190"/>
          <cell r="Q190"/>
          <cell r="R190"/>
          <cell r="S190"/>
          <cell r="T190"/>
          <cell r="U190"/>
          <cell r="V190"/>
          <cell r="W190"/>
          <cell r="X190"/>
          <cell r="Y190"/>
          <cell r="Z190"/>
          <cell r="AA190"/>
          <cell r="AB190"/>
          <cell r="AC190"/>
          <cell r="AD190"/>
          <cell r="AE190"/>
        </row>
        <row r="191">
          <cell r="G191"/>
          <cell r="H191"/>
          <cell r="I191"/>
          <cell r="J191"/>
          <cell r="K191"/>
          <cell r="L191"/>
          <cell r="M191"/>
          <cell r="N191"/>
          <cell r="O191"/>
          <cell r="P191"/>
          <cell r="Q191"/>
          <cell r="R191"/>
          <cell r="S191"/>
          <cell r="T191"/>
          <cell r="U191"/>
          <cell r="V191"/>
          <cell r="W191"/>
          <cell r="X191"/>
          <cell r="Y191"/>
          <cell r="Z191"/>
          <cell r="AA191"/>
          <cell r="AB191"/>
          <cell r="AC191"/>
          <cell r="AD191"/>
          <cell r="AE191"/>
        </row>
        <row r="192">
          <cell r="G192"/>
          <cell r="H192"/>
          <cell r="I192"/>
          <cell r="J192"/>
          <cell r="K192"/>
          <cell r="L192"/>
          <cell r="M192"/>
          <cell r="N192"/>
          <cell r="O192"/>
          <cell r="P192"/>
          <cell r="Q192"/>
          <cell r="R192"/>
          <cell r="S192"/>
          <cell r="T192"/>
          <cell r="U192"/>
          <cell r="V192"/>
          <cell r="W192"/>
          <cell r="X192"/>
          <cell r="Y192"/>
          <cell r="Z192"/>
          <cell r="AA192"/>
          <cell r="AB192"/>
          <cell r="AC192"/>
          <cell r="AD192"/>
          <cell r="AE192"/>
        </row>
        <row r="193">
          <cell r="G193"/>
          <cell r="H193"/>
          <cell r="I193"/>
          <cell r="J193"/>
          <cell r="K193"/>
          <cell r="L193"/>
          <cell r="M193"/>
          <cell r="N193"/>
          <cell r="O193"/>
          <cell r="P193"/>
          <cell r="Q193"/>
          <cell r="R193"/>
          <cell r="S193"/>
          <cell r="T193"/>
          <cell r="U193"/>
          <cell r="V193"/>
          <cell r="W193"/>
          <cell r="X193"/>
          <cell r="Y193"/>
          <cell r="Z193"/>
          <cell r="AA193"/>
          <cell r="AB193"/>
          <cell r="AC193"/>
          <cell r="AD193"/>
          <cell r="AE193"/>
        </row>
        <row r="194">
          <cell r="G194"/>
          <cell r="H194"/>
          <cell r="I194"/>
          <cell r="J194"/>
          <cell r="K194"/>
          <cell r="L194"/>
          <cell r="M194"/>
          <cell r="N194"/>
          <cell r="O194"/>
          <cell r="P194"/>
          <cell r="Q194"/>
          <cell r="R194"/>
          <cell r="S194"/>
          <cell r="T194"/>
          <cell r="U194"/>
          <cell r="V194"/>
          <cell r="W194"/>
          <cell r="X194"/>
          <cell r="Y194"/>
          <cell r="Z194"/>
          <cell r="AA194"/>
          <cell r="AB194"/>
          <cell r="AC194"/>
          <cell r="AD194"/>
          <cell r="AE194"/>
        </row>
        <row r="195">
          <cell r="G195"/>
          <cell r="H195"/>
          <cell r="I195"/>
          <cell r="J195"/>
          <cell r="K195"/>
          <cell r="L195"/>
          <cell r="M195"/>
          <cell r="N195"/>
          <cell r="O195"/>
          <cell r="P195"/>
          <cell r="Q195"/>
          <cell r="R195"/>
          <cell r="S195"/>
          <cell r="T195"/>
          <cell r="U195"/>
          <cell r="V195"/>
          <cell r="W195"/>
          <cell r="X195"/>
          <cell r="Y195"/>
          <cell r="Z195"/>
          <cell r="AA195"/>
          <cell r="AB195"/>
          <cell r="AC195"/>
          <cell r="AD195"/>
          <cell r="AE195"/>
        </row>
        <row r="196">
          <cell r="G196"/>
          <cell r="H196"/>
          <cell r="I196"/>
          <cell r="J196"/>
          <cell r="K196"/>
          <cell r="L196"/>
          <cell r="M196"/>
          <cell r="N196"/>
          <cell r="O196"/>
          <cell r="P196"/>
          <cell r="Q196"/>
          <cell r="R196"/>
          <cell r="S196"/>
          <cell r="T196"/>
          <cell r="U196"/>
          <cell r="V196"/>
          <cell r="W196"/>
          <cell r="X196"/>
          <cell r="Y196"/>
          <cell r="Z196"/>
          <cell r="AA196"/>
          <cell r="AB196"/>
          <cell r="AC196"/>
          <cell r="AD196"/>
          <cell r="AE196"/>
        </row>
        <row r="197">
          <cell r="G197"/>
          <cell r="H197"/>
          <cell r="I197"/>
          <cell r="J197"/>
          <cell r="K197"/>
          <cell r="L197"/>
          <cell r="M197"/>
          <cell r="N197"/>
          <cell r="O197"/>
          <cell r="P197"/>
          <cell r="Q197"/>
          <cell r="R197"/>
          <cell r="S197"/>
          <cell r="T197"/>
          <cell r="U197"/>
          <cell r="V197"/>
          <cell r="W197"/>
          <cell r="X197"/>
          <cell r="Y197"/>
          <cell r="Z197"/>
          <cell r="AA197"/>
          <cell r="AB197"/>
          <cell r="AC197"/>
          <cell r="AD197"/>
          <cell r="AE197"/>
        </row>
        <row r="198">
          <cell r="G198"/>
          <cell r="H198"/>
          <cell r="I198"/>
          <cell r="J198"/>
          <cell r="K198"/>
          <cell r="L198"/>
          <cell r="M198"/>
          <cell r="N198"/>
          <cell r="O198"/>
          <cell r="P198"/>
          <cell r="Q198"/>
          <cell r="R198"/>
          <cell r="S198"/>
          <cell r="T198"/>
          <cell r="U198"/>
          <cell r="V198"/>
          <cell r="W198"/>
          <cell r="X198"/>
          <cell r="Y198"/>
          <cell r="Z198"/>
          <cell r="AA198"/>
          <cell r="AB198"/>
          <cell r="AC198"/>
          <cell r="AD198"/>
          <cell r="AE198"/>
        </row>
        <row r="199">
          <cell r="G199"/>
          <cell r="H199"/>
          <cell r="I199"/>
          <cell r="J199"/>
          <cell r="K199"/>
          <cell r="L199"/>
          <cell r="M199"/>
          <cell r="N199"/>
          <cell r="O199"/>
          <cell r="P199"/>
          <cell r="Q199"/>
          <cell r="R199"/>
          <cell r="S199"/>
          <cell r="T199"/>
          <cell r="U199"/>
          <cell r="V199"/>
          <cell r="W199"/>
          <cell r="X199"/>
          <cell r="Y199"/>
          <cell r="Z199"/>
          <cell r="AA199"/>
          <cell r="AB199"/>
          <cell r="AC199"/>
          <cell r="AD199"/>
          <cell r="AE199"/>
        </row>
        <row r="200">
          <cell r="G200"/>
          <cell r="H200"/>
          <cell r="I200"/>
          <cell r="J200"/>
          <cell r="K200"/>
          <cell r="L200"/>
          <cell r="M200"/>
          <cell r="N200"/>
          <cell r="O200"/>
          <cell r="P200"/>
          <cell r="Q200"/>
          <cell r="R200"/>
          <cell r="S200"/>
          <cell r="T200"/>
          <cell r="U200"/>
          <cell r="V200"/>
          <cell r="W200"/>
          <cell r="X200"/>
          <cell r="Y200"/>
          <cell r="Z200"/>
          <cell r="AA200"/>
          <cell r="AB200"/>
          <cell r="AC200"/>
          <cell r="AD200"/>
          <cell r="AE200"/>
        </row>
        <row r="201">
          <cell r="G201"/>
          <cell r="H201"/>
          <cell r="I201"/>
          <cell r="J201"/>
          <cell r="K201"/>
          <cell r="L201"/>
          <cell r="M201"/>
          <cell r="N201"/>
          <cell r="O201"/>
          <cell r="P201"/>
          <cell r="Q201"/>
          <cell r="R201"/>
          <cell r="S201"/>
          <cell r="T201"/>
          <cell r="U201"/>
          <cell r="V201"/>
          <cell r="W201"/>
          <cell r="X201"/>
          <cell r="Y201"/>
          <cell r="Z201"/>
          <cell r="AA201"/>
          <cell r="AB201"/>
          <cell r="AC201"/>
          <cell r="AD201"/>
          <cell r="AE201"/>
        </row>
        <row r="202">
          <cell r="G202"/>
          <cell r="H202"/>
          <cell r="I202"/>
          <cell r="J202"/>
          <cell r="K202"/>
          <cell r="L202"/>
          <cell r="M202"/>
          <cell r="N202"/>
          <cell r="O202"/>
          <cell r="P202"/>
          <cell r="Q202"/>
          <cell r="R202"/>
          <cell r="S202"/>
          <cell r="T202"/>
          <cell r="U202"/>
          <cell r="V202"/>
          <cell r="W202"/>
          <cell r="X202"/>
          <cell r="Y202"/>
          <cell r="Z202"/>
          <cell r="AA202"/>
          <cell r="AB202"/>
          <cell r="AC202"/>
          <cell r="AD202"/>
          <cell r="AE202"/>
        </row>
        <row r="203">
          <cell r="G203"/>
          <cell r="H203"/>
          <cell r="I203"/>
          <cell r="J203"/>
          <cell r="K203"/>
          <cell r="L203"/>
          <cell r="M203"/>
          <cell r="N203"/>
          <cell r="O203"/>
          <cell r="P203"/>
          <cell r="Q203"/>
          <cell r="R203"/>
          <cell r="S203"/>
          <cell r="T203"/>
          <cell r="U203"/>
          <cell r="V203"/>
          <cell r="W203"/>
          <cell r="X203"/>
          <cell r="Y203"/>
          <cell r="Z203"/>
          <cell r="AA203"/>
          <cell r="AB203"/>
          <cell r="AC203"/>
          <cell r="AD203"/>
          <cell r="AE203"/>
        </row>
        <row r="204">
          <cell r="G204"/>
          <cell r="H204"/>
          <cell r="I204"/>
          <cell r="J204"/>
          <cell r="K204"/>
          <cell r="L204"/>
          <cell r="M204"/>
          <cell r="N204"/>
          <cell r="O204"/>
          <cell r="P204"/>
          <cell r="Q204"/>
          <cell r="R204"/>
          <cell r="S204"/>
          <cell r="T204"/>
          <cell r="U204"/>
          <cell r="V204"/>
          <cell r="W204"/>
          <cell r="X204"/>
          <cell r="Y204"/>
          <cell r="Z204"/>
          <cell r="AA204"/>
          <cell r="AB204"/>
          <cell r="AC204"/>
          <cell r="AD204"/>
          <cell r="AE204"/>
        </row>
        <row r="205">
          <cell r="G205"/>
          <cell r="H205"/>
          <cell r="I205"/>
          <cell r="J205"/>
          <cell r="K205"/>
          <cell r="L205"/>
          <cell r="M205"/>
          <cell r="N205"/>
          <cell r="O205"/>
          <cell r="P205"/>
          <cell r="Q205"/>
          <cell r="R205"/>
          <cell r="S205"/>
          <cell r="T205"/>
          <cell r="U205"/>
          <cell r="V205"/>
          <cell r="W205"/>
          <cell r="X205"/>
          <cell r="Y205"/>
          <cell r="Z205"/>
          <cell r="AA205"/>
          <cell r="AB205"/>
          <cell r="AC205"/>
          <cell r="AD205"/>
          <cell r="AE205"/>
        </row>
        <row r="206">
          <cell r="G206"/>
          <cell r="H206"/>
          <cell r="I206"/>
          <cell r="J206"/>
          <cell r="K206"/>
          <cell r="L206"/>
          <cell r="M206"/>
          <cell r="N206"/>
          <cell r="O206"/>
          <cell r="P206"/>
          <cell r="Q206"/>
          <cell r="R206"/>
          <cell r="S206"/>
          <cell r="T206"/>
          <cell r="U206"/>
          <cell r="V206"/>
          <cell r="W206"/>
          <cell r="X206"/>
          <cell r="Y206"/>
          <cell r="Z206"/>
          <cell r="AA206"/>
          <cell r="AB206"/>
          <cell r="AC206"/>
          <cell r="AD206"/>
          <cell r="AE206"/>
        </row>
        <row r="207">
          <cell r="G207"/>
          <cell r="H207"/>
          <cell r="I207"/>
          <cell r="J207"/>
          <cell r="K207"/>
          <cell r="L207"/>
          <cell r="M207"/>
          <cell r="N207"/>
          <cell r="O207"/>
          <cell r="P207"/>
          <cell r="Q207"/>
          <cell r="R207"/>
          <cell r="S207"/>
          <cell r="T207"/>
          <cell r="U207"/>
          <cell r="V207"/>
          <cell r="W207"/>
          <cell r="X207"/>
          <cell r="Y207"/>
          <cell r="Z207"/>
          <cell r="AA207"/>
          <cell r="AB207"/>
          <cell r="AC207"/>
          <cell r="AD207"/>
          <cell r="AE207"/>
        </row>
        <row r="208">
          <cell r="G208"/>
          <cell r="H208"/>
          <cell r="I208"/>
          <cell r="J208"/>
          <cell r="K208"/>
          <cell r="L208"/>
          <cell r="M208"/>
          <cell r="N208"/>
          <cell r="O208"/>
          <cell r="P208"/>
          <cell r="Q208"/>
          <cell r="R208"/>
          <cell r="S208"/>
          <cell r="T208"/>
          <cell r="U208"/>
          <cell r="V208"/>
          <cell r="W208"/>
          <cell r="X208"/>
          <cell r="Y208"/>
          <cell r="Z208"/>
          <cell r="AA208"/>
          <cell r="AB208"/>
          <cell r="AC208"/>
          <cell r="AD208"/>
          <cell r="AE208"/>
        </row>
        <row r="209">
          <cell r="G209"/>
          <cell r="H209"/>
          <cell r="I209"/>
          <cell r="J209"/>
          <cell r="K209"/>
          <cell r="L209"/>
          <cell r="M209"/>
          <cell r="N209"/>
          <cell r="O209"/>
          <cell r="P209"/>
          <cell r="Q209"/>
          <cell r="R209"/>
          <cell r="S209"/>
          <cell r="T209"/>
          <cell r="U209"/>
          <cell r="V209"/>
          <cell r="W209"/>
          <cell r="X209"/>
          <cell r="Y209"/>
          <cell r="Z209"/>
          <cell r="AA209"/>
          <cell r="AB209"/>
          <cell r="AC209"/>
          <cell r="AD209"/>
          <cell r="AE209"/>
        </row>
        <row r="210">
          <cell r="G210"/>
          <cell r="H210"/>
          <cell r="I210"/>
          <cell r="J210"/>
          <cell r="K210"/>
          <cell r="L210"/>
          <cell r="M210"/>
          <cell r="N210"/>
          <cell r="O210"/>
          <cell r="P210"/>
          <cell r="Q210"/>
          <cell r="R210"/>
          <cell r="S210"/>
          <cell r="T210"/>
          <cell r="U210"/>
          <cell r="V210"/>
          <cell r="W210"/>
          <cell r="X210"/>
          <cell r="Y210"/>
          <cell r="Z210"/>
          <cell r="AA210"/>
          <cell r="AB210"/>
          <cell r="AC210"/>
          <cell r="AD210"/>
          <cell r="AE210"/>
        </row>
        <row r="211">
          <cell r="G211"/>
          <cell r="H211"/>
          <cell r="I211"/>
          <cell r="J211"/>
          <cell r="K211"/>
          <cell r="L211"/>
          <cell r="M211"/>
          <cell r="N211"/>
          <cell r="O211"/>
          <cell r="P211"/>
          <cell r="Q211"/>
          <cell r="R211"/>
          <cell r="S211"/>
          <cell r="T211"/>
          <cell r="U211"/>
          <cell r="V211"/>
          <cell r="W211"/>
          <cell r="X211"/>
          <cell r="Y211"/>
          <cell r="Z211"/>
          <cell r="AA211"/>
          <cell r="AB211"/>
          <cell r="AC211"/>
          <cell r="AD211"/>
          <cell r="AE211"/>
        </row>
        <row r="212">
          <cell r="G212"/>
          <cell r="H212"/>
          <cell r="I212"/>
          <cell r="J212"/>
          <cell r="K212"/>
          <cell r="L212"/>
          <cell r="M212"/>
          <cell r="N212"/>
          <cell r="O212"/>
          <cell r="P212"/>
          <cell r="Q212"/>
          <cell r="R212"/>
          <cell r="S212"/>
          <cell r="T212"/>
          <cell r="U212"/>
          <cell r="V212"/>
          <cell r="W212"/>
          <cell r="X212"/>
          <cell r="Y212"/>
          <cell r="Z212"/>
          <cell r="AA212"/>
          <cell r="AB212"/>
          <cell r="AC212"/>
          <cell r="AD212"/>
          <cell r="AE212"/>
        </row>
        <row r="213">
          <cell r="G213"/>
          <cell r="H213"/>
          <cell r="I213"/>
          <cell r="J213"/>
          <cell r="K213"/>
          <cell r="L213"/>
          <cell r="M213"/>
          <cell r="N213"/>
          <cell r="O213"/>
          <cell r="P213"/>
          <cell r="Q213"/>
          <cell r="R213"/>
          <cell r="S213"/>
          <cell r="T213"/>
          <cell r="U213"/>
          <cell r="V213"/>
          <cell r="W213"/>
          <cell r="X213"/>
          <cell r="Y213"/>
          <cell r="Z213"/>
          <cell r="AA213"/>
          <cell r="AB213"/>
          <cell r="AC213"/>
          <cell r="AD213"/>
          <cell r="AE213"/>
        </row>
        <row r="214">
          <cell r="G214"/>
          <cell r="H214"/>
          <cell r="I214"/>
          <cell r="J214"/>
          <cell r="K214"/>
          <cell r="L214"/>
          <cell r="M214"/>
          <cell r="N214"/>
          <cell r="O214"/>
          <cell r="P214"/>
          <cell r="Q214"/>
          <cell r="R214"/>
          <cell r="S214"/>
          <cell r="T214"/>
          <cell r="U214"/>
          <cell r="V214"/>
          <cell r="W214"/>
          <cell r="X214"/>
          <cell r="Y214"/>
          <cell r="Z214"/>
          <cell r="AA214"/>
          <cell r="AB214"/>
          <cell r="AC214"/>
          <cell r="AD214"/>
          <cell r="AE214"/>
        </row>
        <row r="215">
          <cell r="G215"/>
          <cell r="H215"/>
          <cell r="I215"/>
          <cell r="J215"/>
          <cell r="K215"/>
          <cell r="L215"/>
          <cell r="M215"/>
          <cell r="N215"/>
          <cell r="O215"/>
          <cell r="P215"/>
          <cell r="Q215"/>
          <cell r="R215"/>
          <cell r="S215"/>
          <cell r="T215"/>
          <cell r="U215"/>
          <cell r="V215"/>
          <cell r="W215"/>
          <cell r="X215"/>
          <cell r="Y215"/>
          <cell r="Z215"/>
          <cell r="AA215"/>
          <cell r="AB215"/>
          <cell r="AC215"/>
          <cell r="AD215"/>
          <cell r="AE215"/>
        </row>
        <row r="216">
          <cell r="G216"/>
          <cell r="H216"/>
          <cell r="I216"/>
          <cell r="J216"/>
          <cell r="K216"/>
          <cell r="L216"/>
          <cell r="M216"/>
          <cell r="N216"/>
          <cell r="O216"/>
          <cell r="P216"/>
          <cell r="Q216"/>
          <cell r="R216"/>
          <cell r="S216"/>
          <cell r="T216"/>
          <cell r="U216"/>
          <cell r="V216"/>
          <cell r="W216"/>
          <cell r="X216"/>
          <cell r="Y216"/>
          <cell r="Z216"/>
          <cell r="AA216"/>
          <cell r="AB216"/>
          <cell r="AC216"/>
          <cell r="AD216"/>
          <cell r="AE216"/>
        </row>
        <row r="217">
          <cell r="G217"/>
          <cell r="H217"/>
          <cell r="I217"/>
          <cell r="J217"/>
          <cell r="K217"/>
          <cell r="L217"/>
          <cell r="M217"/>
          <cell r="N217"/>
          <cell r="O217"/>
          <cell r="P217"/>
          <cell r="Q217"/>
          <cell r="R217"/>
          <cell r="S217"/>
          <cell r="T217"/>
          <cell r="U217"/>
          <cell r="V217"/>
          <cell r="W217"/>
          <cell r="X217"/>
          <cell r="Y217"/>
          <cell r="Z217"/>
          <cell r="AA217"/>
          <cell r="AB217"/>
          <cell r="AC217"/>
          <cell r="AD217"/>
          <cell r="AE217"/>
        </row>
        <row r="218">
          <cell r="G218"/>
          <cell r="H218"/>
          <cell r="I218"/>
          <cell r="J218"/>
          <cell r="K218"/>
          <cell r="L218"/>
          <cell r="M218"/>
          <cell r="N218"/>
          <cell r="O218"/>
          <cell r="P218"/>
          <cell r="Q218"/>
          <cell r="R218"/>
          <cell r="S218"/>
          <cell r="T218"/>
          <cell r="U218"/>
          <cell r="V218"/>
          <cell r="W218"/>
          <cell r="X218"/>
          <cell r="Y218"/>
          <cell r="Z218"/>
          <cell r="AA218"/>
          <cell r="AB218"/>
          <cell r="AC218"/>
          <cell r="AD218"/>
          <cell r="AE218"/>
        </row>
        <row r="219">
          <cell r="G219"/>
          <cell r="H219"/>
          <cell r="I219"/>
          <cell r="J219"/>
          <cell r="K219"/>
          <cell r="L219"/>
          <cell r="M219"/>
          <cell r="N219"/>
          <cell r="O219"/>
          <cell r="P219"/>
          <cell r="Q219"/>
          <cell r="R219"/>
          <cell r="S219"/>
          <cell r="T219"/>
          <cell r="U219"/>
          <cell r="V219"/>
          <cell r="W219"/>
          <cell r="X219"/>
          <cell r="Y219"/>
          <cell r="Z219"/>
          <cell r="AA219"/>
          <cell r="AB219"/>
          <cell r="AC219"/>
          <cell r="AD219"/>
          <cell r="AE219"/>
        </row>
        <row r="220">
          <cell r="G220"/>
          <cell r="H220"/>
          <cell r="I220"/>
          <cell r="J220"/>
          <cell r="K220"/>
          <cell r="L220"/>
          <cell r="M220"/>
          <cell r="N220"/>
          <cell r="O220"/>
          <cell r="P220"/>
          <cell r="Q220"/>
          <cell r="R220"/>
          <cell r="S220"/>
          <cell r="T220"/>
          <cell r="U220"/>
          <cell r="V220"/>
          <cell r="W220"/>
          <cell r="X220"/>
          <cell r="Y220"/>
          <cell r="Z220"/>
          <cell r="AA220"/>
          <cell r="AB220"/>
          <cell r="AC220"/>
          <cell r="AD220"/>
          <cell r="AE220"/>
        </row>
        <row r="221">
          <cell r="G221"/>
          <cell r="H221"/>
          <cell r="I221"/>
          <cell r="J221"/>
          <cell r="K221"/>
          <cell r="L221"/>
          <cell r="M221"/>
          <cell r="N221"/>
          <cell r="O221"/>
          <cell r="P221"/>
          <cell r="Q221"/>
          <cell r="R221"/>
          <cell r="S221"/>
          <cell r="T221"/>
          <cell r="U221"/>
          <cell r="V221"/>
          <cell r="W221"/>
          <cell r="X221"/>
          <cell r="Y221"/>
          <cell r="Z221"/>
          <cell r="AA221"/>
          <cell r="AB221"/>
          <cell r="AC221"/>
          <cell r="AD221"/>
          <cell r="AE221"/>
        </row>
        <row r="222">
          <cell r="G222"/>
          <cell r="H222"/>
          <cell r="I222"/>
          <cell r="J222"/>
          <cell r="K222"/>
          <cell r="L222"/>
          <cell r="M222"/>
          <cell r="N222"/>
          <cell r="O222"/>
          <cell r="P222"/>
          <cell r="Q222"/>
          <cell r="R222"/>
          <cell r="S222"/>
          <cell r="T222"/>
          <cell r="U222"/>
          <cell r="V222"/>
          <cell r="W222"/>
          <cell r="X222"/>
          <cell r="Y222"/>
          <cell r="Z222"/>
          <cell r="AA222"/>
          <cell r="AB222"/>
          <cell r="AC222"/>
          <cell r="AD222"/>
          <cell r="AE222"/>
        </row>
        <row r="223">
          <cell r="G223"/>
          <cell r="H223"/>
          <cell r="I223"/>
          <cell r="J223"/>
          <cell r="K223"/>
          <cell r="L223"/>
          <cell r="M223"/>
          <cell r="N223"/>
          <cell r="O223"/>
          <cell r="P223"/>
          <cell r="Q223"/>
          <cell r="R223"/>
          <cell r="S223"/>
          <cell r="T223"/>
          <cell r="U223"/>
          <cell r="V223"/>
          <cell r="W223"/>
          <cell r="X223"/>
          <cell r="Y223"/>
          <cell r="Z223"/>
          <cell r="AA223"/>
          <cell r="AB223"/>
          <cell r="AC223"/>
          <cell r="AD223"/>
          <cell r="AE223"/>
        </row>
        <row r="224">
          <cell r="G224"/>
          <cell r="H224"/>
          <cell r="I224"/>
          <cell r="J224"/>
          <cell r="K224"/>
          <cell r="L224"/>
          <cell r="M224"/>
          <cell r="N224"/>
          <cell r="O224"/>
          <cell r="P224"/>
          <cell r="Q224"/>
          <cell r="R224"/>
          <cell r="S224"/>
          <cell r="T224"/>
          <cell r="U224"/>
          <cell r="V224"/>
          <cell r="W224"/>
          <cell r="X224"/>
          <cell r="Y224"/>
          <cell r="Z224"/>
          <cell r="AA224"/>
          <cell r="AB224"/>
          <cell r="AC224"/>
          <cell r="AD224"/>
          <cell r="AE224"/>
        </row>
        <row r="225">
          <cell r="G225"/>
          <cell r="H225"/>
          <cell r="I225"/>
          <cell r="J225"/>
          <cell r="K225"/>
          <cell r="L225"/>
          <cell r="M225"/>
          <cell r="N225"/>
          <cell r="O225"/>
          <cell r="P225"/>
          <cell r="Q225"/>
          <cell r="R225"/>
          <cell r="S225"/>
          <cell r="T225"/>
          <cell r="U225"/>
          <cell r="V225"/>
          <cell r="W225"/>
          <cell r="X225"/>
          <cell r="Y225"/>
          <cell r="Z225"/>
          <cell r="AA225"/>
          <cell r="AB225"/>
          <cell r="AC225"/>
          <cell r="AD225"/>
          <cell r="AE225"/>
        </row>
        <row r="226">
          <cell r="G226"/>
          <cell r="H226"/>
          <cell r="I226"/>
          <cell r="J226"/>
          <cell r="K226"/>
          <cell r="L226"/>
          <cell r="M226"/>
          <cell r="N226"/>
          <cell r="O226"/>
          <cell r="P226"/>
          <cell r="Q226"/>
          <cell r="R226"/>
          <cell r="S226"/>
          <cell r="T226"/>
          <cell r="U226"/>
          <cell r="V226"/>
          <cell r="W226"/>
          <cell r="X226"/>
          <cell r="Y226"/>
          <cell r="Z226"/>
          <cell r="AA226"/>
          <cell r="AB226"/>
          <cell r="AC226"/>
          <cell r="AD226"/>
          <cell r="AE226"/>
        </row>
        <row r="227">
          <cell r="G227"/>
          <cell r="H227"/>
          <cell r="I227"/>
          <cell r="J227"/>
          <cell r="K227"/>
          <cell r="L227"/>
          <cell r="M227"/>
          <cell r="N227"/>
          <cell r="O227"/>
          <cell r="P227"/>
          <cell r="Q227"/>
          <cell r="R227"/>
          <cell r="S227"/>
          <cell r="T227"/>
          <cell r="U227"/>
          <cell r="V227"/>
          <cell r="W227"/>
          <cell r="X227"/>
          <cell r="Y227"/>
          <cell r="Z227"/>
          <cell r="AA227"/>
          <cell r="AB227"/>
          <cell r="AC227"/>
          <cell r="AD227"/>
          <cell r="AE227"/>
        </row>
        <row r="228">
          <cell r="G228"/>
          <cell r="H228"/>
          <cell r="I228"/>
          <cell r="J228"/>
          <cell r="K228"/>
          <cell r="L228"/>
          <cell r="M228"/>
          <cell r="N228"/>
          <cell r="O228"/>
          <cell r="P228"/>
          <cell r="Q228"/>
          <cell r="R228"/>
          <cell r="S228"/>
          <cell r="T228"/>
          <cell r="U228"/>
          <cell r="V228"/>
          <cell r="W228"/>
          <cell r="X228"/>
          <cell r="Y228"/>
          <cell r="Z228"/>
          <cell r="AA228"/>
          <cell r="AB228"/>
          <cell r="AC228"/>
          <cell r="AD228"/>
          <cell r="AE228"/>
        </row>
        <row r="229">
          <cell r="G229"/>
          <cell r="H229"/>
          <cell r="I229"/>
          <cell r="J229"/>
          <cell r="K229"/>
          <cell r="L229"/>
          <cell r="M229"/>
          <cell r="N229"/>
          <cell r="O229"/>
          <cell r="P229"/>
          <cell r="Q229"/>
          <cell r="R229"/>
          <cell r="S229"/>
          <cell r="T229"/>
          <cell r="U229"/>
          <cell r="V229"/>
          <cell r="W229"/>
          <cell r="X229"/>
          <cell r="Y229"/>
          <cell r="Z229"/>
          <cell r="AA229"/>
          <cell r="AB229"/>
          <cell r="AC229"/>
          <cell r="AD229"/>
          <cell r="AE229"/>
        </row>
        <row r="230">
          <cell r="G230"/>
          <cell r="H230"/>
          <cell r="I230"/>
          <cell r="J230"/>
          <cell r="K230"/>
          <cell r="L230"/>
          <cell r="M230"/>
          <cell r="N230"/>
          <cell r="O230"/>
          <cell r="P230"/>
          <cell r="Q230"/>
          <cell r="R230"/>
          <cell r="S230"/>
          <cell r="T230"/>
          <cell r="U230"/>
          <cell r="V230"/>
          <cell r="W230"/>
          <cell r="X230"/>
          <cell r="Y230"/>
          <cell r="Z230"/>
          <cell r="AA230"/>
          <cell r="AB230"/>
          <cell r="AC230"/>
          <cell r="AD230"/>
          <cell r="AE230"/>
        </row>
        <row r="231">
          <cell r="G231"/>
          <cell r="H231"/>
          <cell r="I231"/>
          <cell r="J231"/>
          <cell r="K231"/>
          <cell r="L231"/>
          <cell r="M231"/>
          <cell r="N231"/>
          <cell r="O231"/>
          <cell r="P231"/>
          <cell r="Q231"/>
          <cell r="R231"/>
          <cell r="S231"/>
          <cell r="T231"/>
          <cell r="U231"/>
          <cell r="V231"/>
          <cell r="W231"/>
          <cell r="X231"/>
          <cell r="Y231"/>
          <cell r="Z231"/>
          <cell r="AA231"/>
          <cell r="AB231"/>
          <cell r="AC231"/>
          <cell r="AD231"/>
          <cell r="AE231"/>
        </row>
        <row r="232">
          <cell r="G232"/>
          <cell r="H232"/>
          <cell r="I232"/>
          <cell r="J232"/>
          <cell r="K232"/>
          <cell r="L232"/>
          <cell r="M232"/>
          <cell r="N232"/>
          <cell r="O232"/>
          <cell r="P232"/>
          <cell r="Q232"/>
          <cell r="R232"/>
          <cell r="S232"/>
          <cell r="T232"/>
          <cell r="U232"/>
          <cell r="V232"/>
          <cell r="W232"/>
          <cell r="X232"/>
          <cell r="Y232"/>
          <cell r="Z232"/>
          <cell r="AA232"/>
          <cell r="AB232"/>
          <cell r="AC232"/>
          <cell r="AD232"/>
          <cell r="AE232"/>
        </row>
        <row r="233">
          <cell r="G233"/>
          <cell r="H233"/>
          <cell r="I233"/>
          <cell r="J233"/>
          <cell r="K233"/>
          <cell r="L233"/>
          <cell r="M233"/>
          <cell r="N233"/>
          <cell r="O233"/>
          <cell r="P233"/>
          <cell r="Q233"/>
          <cell r="R233"/>
          <cell r="S233"/>
          <cell r="T233"/>
          <cell r="U233"/>
          <cell r="V233"/>
          <cell r="W233"/>
          <cell r="X233"/>
          <cell r="Y233"/>
          <cell r="Z233"/>
          <cell r="AA233"/>
          <cell r="AB233"/>
          <cell r="AC233"/>
          <cell r="AD233"/>
          <cell r="AE233"/>
        </row>
        <row r="234">
          <cell r="G234"/>
          <cell r="H234"/>
          <cell r="I234"/>
          <cell r="J234"/>
          <cell r="K234"/>
          <cell r="L234"/>
          <cell r="M234"/>
          <cell r="N234"/>
          <cell r="O234"/>
          <cell r="P234"/>
          <cell r="Q234"/>
          <cell r="R234"/>
          <cell r="S234"/>
          <cell r="T234"/>
          <cell r="U234"/>
          <cell r="V234"/>
          <cell r="W234"/>
          <cell r="X234"/>
          <cell r="Y234"/>
          <cell r="Z234"/>
          <cell r="AA234"/>
          <cell r="AB234"/>
          <cell r="AC234"/>
          <cell r="AD234"/>
          <cell r="AE234"/>
        </row>
        <row r="235">
          <cell r="G235"/>
          <cell r="H235"/>
          <cell r="I235"/>
          <cell r="J235"/>
          <cell r="K235"/>
          <cell r="L235"/>
          <cell r="M235"/>
          <cell r="N235"/>
          <cell r="O235"/>
          <cell r="P235"/>
          <cell r="Q235"/>
          <cell r="R235"/>
          <cell r="S235"/>
          <cell r="T235"/>
          <cell r="U235"/>
          <cell r="V235"/>
          <cell r="W235"/>
          <cell r="X235"/>
          <cell r="Y235"/>
          <cell r="Z235"/>
          <cell r="AA235"/>
          <cell r="AB235"/>
          <cell r="AC235"/>
          <cell r="AD235"/>
          <cell r="AE235"/>
        </row>
        <row r="236">
          <cell r="G236"/>
          <cell r="H236"/>
          <cell r="I236"/>
          <cell r="J236"/>
          <cell r="K236"/>
          <cell r="L236"/>
          <cell r="M236"/>
          <cell r="N236"/>
          <cell r="O236"/>
          <cell r="P236"/>
          <cell r="Q236"/>
          <cell r="R236"/>
          <cell r="S236"/>
          <cell r="T236"/>
          <cell r="U236"/>
          <cell r="V236"/>
          <cell r="W236"/>
          <cell r="X236"/>
          <cell r="Y236"/>
          <cell r="Z236"/>
          <cell r="AA236"/>
          <cell r="AB236"/>
          <cell r="AC236"/>
          <cell r="AD236"/>
          <cell r="AE236"/>
        </row>
        <row r="237">
          <cell r="G237"/>
          <cell r="H237"/>
          <cell r="I237"/>
          <cell r="J237"/>
          <cell r="K237"/>
          <cell r="L237"/>
          <cell r="M237"/>
          <cell r="N237"/>
          <cell r="O237"/>
          <cell r="P237"/>
          <cell r="Q237"/>
          <cell r="R237"/>
          <cell r="S237"/>
          <cell r="T237"/>
          <cell r="U237"/>
          <cell r="V237"/>
          <cell r="W237"/>
          <cell r="X237"/>
          <cell r="Y237"/>
          <cell r="Z237"/>
          <cell r="AA237"/>
          <cell r="AB237"/>
          <cell r="AC237"/>
          <cell r="AD237"/>
          <cell r="AE237"/>
        </row>
        <row r="238">
          <cell r="G238"/>
          <cell r="H238"/>
          <cell r="I238"/>
          <cell r="J238"/>
          <cell r="K238"/>
          <cell r="L238"/>
          <cell r="M238"/>
          <cell r="N238"/>
          <cell r="O238"/>
          <cell r="P238"/>
          <cell r="Q238"/>
          <cell r="R238"/>
          <cell r="S238"/>
          <cell r="T238"/>
          <cell r="U238"/>
          <cell r="V238"/>
          <cell r="W238"/>
          <cell r="X238"/>
          <cell r="Y238"/>
          <cell r="Z238"/>
          <cell r="AA238"/>
          <cell r="AB238"/>
          <cell r="AC238"/>
          <cell r="AD238"/>
          <cell r="AE238"/>
        </row>
        <row r="239">
          <cell r="G239"/>
          <cell r="H239"/>
          <cell r="I239"/>
          <cell r="J239"/>
          <cell r="K239"/>
          <cell r="L239"/>
          <cell r="M239"/>
          <cell r="N239"/>
          <cell r="O239"/>
          <cell r="P239"/>
          <cell r="Q239"/>
          <cell r="R239"/>
          <cell r="S239"/>
          <cell r="T239"/>
          <cell r="U239"/>
          <cell r="V239"/>
          <cell r="W239"/>
          <cell r="X239"/>
          <cell r="Y239"/>
          <cell r="Z239"/>
          <cell r="AA239"/>
          <cell r="AB239"/>
          <cell r="AC239"/>
          <cell r="AD239"/>
          <cell r="AE239"/>
        </row>
        <row r="240">
          <cell r="G240"/>
          <cell r="H240"/>
          <cell r="I240"/>
          <cell r="J240"/>
          <cell r="K240"/>
          <cell r="L240"/>
          <cell r="M240"/>
          <cell r="N240"/>
          <cell r="O240"/>
          <cell r="P240"/>
          <cell r="Q240"/>
          <cell r="R240"/>
          <cell r="S240"/>
          <cell r="T240"/>
          <cell r="U240"/>
          <cell r="V240"/>
          <cell r="W240"/>
          <cell r="X240"/>
          <cell r="Y240"/>
          <cell r="Z240"/>
          <cell r="AA240"/>
          <cell r="AB240"/>
          <cell r="AC240"/>
          <cell r="AD240"/>
          <cell r="AE240"/>
        </row>
        <row r="241">
          <cell r="G241"/>
          <cell r="H241"/>
          <cell r="I241"/>
          <cell r="J241"/>
          <cell r="K241"/>
          <cell r="L241"/>
          <cell r="M241"/>
          <cell r="N241"/>
          <cell r="O241"/>
          <cell r="P241"/>
          <cell r="Q241"/>
          <cell r="R241"/>
          <cell r="S241"/>
          <cell r="T241"/>
          <cell r="U241"/>
          <cell r="V241"/>
          <cell r="W241"/>
          <cell r="X241"/>
          <cell r="Y241"/>
          <cell r="Z241"/>
          <cell r="AA241"/>
          <cell r="AB241"/>
          <cell r="AC241"/>
          <cell r="AD241"/>
          <cell r="AE241"/>
        </row>
        <row r="242">
          <cell r="G242"/>
          <cell r="H242"/>
          <cell r="I242"/>
          <cell r="J242"/>
          <cell r="K242"/>
          <cell r="L242"/>
          <cell r="M242"/>
          <cell r="N242"/>
          <cell r="O242"/>
          <cell r="P242"/>
          <cell r="Q242"/>
          <cell r="R242"/>
          <cell r="S242"/>
          <cell r="T242"/>
          <cell r="U242"/>
          <cell r="V242"/>
          <cell r="W242"/>
          <cell r="X242"/>
          <cell r="Y242"/>
          <cell r="Z242"/>
          <cell r="AA242"/>
          <cell r="AB242"/>
          <cell r="AC242"/>
          <cell r="AD242"/>
          <cell r="AE242"/>
        </row>
        <row r="243">
          <cell r="G243"/>
          <cell r="H243"/>
          <cell r="I243"/>
          <cell r="J243"/>
          <cell r="K243"/>
          <cell r="L243"/>
          <cell r="M243"/>
          <cell r="N243"/>
          <cell r="O243"/>
          <cell r="P243"/>
          <cell r="Q243"/>
          <cell r="R243"/>
          <cell r="S243"/>
          <cell r="T243"/>
          <cell r="U243"/>
          <cell r="V243"/>
          <cell r="W243"/>
          <cell r="X243"/>
          <cell r="Y243"/>
          <cell r="Z243"/>
          <cell r="AA243"/>
          <cell r="AB243"/>
          <cell r="AC243"/>
          <cell r="AD243"/>
          <cell r="AE243"/>
        </row>
        <row r="244">
          <cell r="G244"/>
          <cell r="H244"/>
          <cell r="I244"/>
          <cell r="J244"/>
          <cell r="K244"/>
          <cell r="L244"/>
          <cell r="M244"/>
          <cell r="N244"/>
          <cell r="O244"/>
          <cell r="P244"/>
          <cell r="Q244"/>
          <cell r="R244"/>
          <cell r="S244"/>
          <cell r="T244"/>
          <cell r="U244"/>
          <cell r="V244"/>
          <cell r="W244"/>
          <cell r="X244"/>
          <cell r="Y244"/>
          <cell r="Z244"/>
          <cell r="AA244"/>
          <cell r="AB244"/>
          <cell r="AC244"/>
          <cell r="AD244"/>
          <cell r="AE244"/>
        </row>
        <row r="245">
          <cell r="G245"/>
          <cell r="H245"/>
          <cell r="I245"/>
          <cell r="J245"/>
          <cell r="K245"/>
          <cell r="L245"/>
          <cell r="M245"/>
          <cell r="N245"/>
          <cell r="O245"/>
          <cell r="P245"/>
          <cell r="Q245"/>
          <cell r="R245"/>
          <cell r="S245"/>
          <cell r="T245"/>
          <cell r="U245"/>
          <cell r="V245"/>
          <cell r="W245"/>
          <cell r="X245"/>
          <cell r="Y245"/>
          <cell r="Z245"/>
          <cell r="AA245"/>
          <cell r="AB245"/>
          <cell r="AC245"/>
          <cell r="AD245"/>
          <cell r="AE245"/>
        </row>
        <row r="246">
          <cell r="G246"/>
          <cell r="H246"/>
          <cell r="I246"/>
          <cell r="J246"/>
          <cell r="K246"/>
          <cell r="L246"/>
          <cell r="M246"/>
          <cell r="N246"/>
          <cell r="O246"/>
          <cell r="P246"/>
          <cell r="Q246"/>
          <cell r="R246"/>
          <cell r="S246"/>
          <cell r="T246"/>
          <cell r="U246"/>
          <cell r="V246"/>
          <cell r="W246"/>
          <cell r="X246"/>
          <cell r="Y246"/>
          <cell r="Z246"/>
          <cell r="AA246"/>
          <cell r="AB246"/>
          <cell r="AC246"/>
          <cell r="AD246"/>
          <cell r="AE246"/>
        </row>
        <row r="247">
          <cell r="G247"/>
          <cell r="H247"/>
          <cell r="I247"/>
          <cell r="J247"/>
          <cell r="K247"/>
          <cell r="L247"/>
          <cell r="M247"/>
          <cell r="N247"/>
          <cell r="O247"/>
          <cell r="P247"/>
          <cell r="Q247"/>
          <cell r="R247"/>
          <cell r="S247"/>
          <cell r="T247"/>
          <cell r="U247"/>
          <cell r="V247"/>
          <cell r="W247"/>
          <cell r="X247"/>
          <cell r="Y247"/>
          <cell r="Z247"/>
          <cell r="AA247"/>
          <cell r="AB247"/>
          <cell r="AC247"/>
          <cell r="AD247"/>
          <cell r="AE247"/>
        </row>
        <row r="248">
          <cell r="G248"/>
          <cell r="H248"/>
          <cell r="I248"/>
          <cell r="J248"/>
          <cell r="K248"/>
          <cell r="L248"/>
          <cell r="M248"/>
          <cell r="N248"/>
          <cell r="O248"/>
          <cell r="P248"/>
          <cell r="Q248"/>
          <cell r="R248"/>
          <cell r="S248"/>
          <cell r="T248"/>
          <cell r="U248"/>
          <cell r="V248"/>
          <cell r="W248"/>
          <cell r="X248"/>
          <cell r="Y248"/>
          <cell r="Z248"/>
          <cell r="AA248"/>
          <cell r="AB248"/>
          <cell r="AC248"/>
          <cell r="AD248"/>
          <cell r="AE248"/>
        </row>
        <row r="249">
          <cell r="G249"/>
          <cell r="H249"/>
          <cell r="I249"/>
          <cell r="J249"/>
          <cell r="K249"/>
          <cell r="L249"/>
          <cell r="M249"/>
          <cell r="N249"/>
          <cell r="O249"/>
          <cell r="P249"/>
          <cell r="Q249"/>
          <cell r="R249"/>
          <cell r="S249"/>
          <cell r="T249"/>
          <cell r="U249"/>
          <cell r="V249"/>
          <cell r="W249"/>
          <cell r="X249"/>
          <cell r="Y249"/>
          <cell r="Z249"/>
          <cell r="AA249"/>
          <cell r="AB249"/>
          <cell r="AC249"/>
          <cell r="AD249"/>
          <cell r="AE249"/>
        </row>
        <row r="250">
          <cell r="G250"/>
          <cell r="H250"/>
          <cell r="I250"/>
          <cell r="J250"/>
          <cell r="K250"/>
          <cell r="L250"/>
          <cell r="M250"/>
          <cell r="N250"/>
          <cell r="O250"/>
          <cell r="P250"/>
          <cell r="Q250"/>
          <cell r="R250"/>
          <cell r="S250"/>
          <cell r="T250"/>
          <cell r="U250"/>
          <cell r="V250"/>
          <cell r="W250"/>
          <cell r="X250"/>
          <cell r="Y250"/>
          <cell r="Z250"/>
          <cell r="AA250"/>
          <cell r="AB250"/>
          <cell r="AC250"/>
          <cell r="AD250"/>
          <cell r="AE250"/>
        </row>
        <row r="251">
          <cell r="G251"/>
          <cell r="H251"/>
          <cell r="I251"/>
          <cell r="J251"/>
          <cell r="K251"/>
          <cell r="L251"/>
          <cell r="M251"/>
          <cell r="N251"/>
          <cell r="O251"/>
          <cell r="P251"/>
          <cell r="Q251"/>
          <cell r="R251"/>
          <cell r="S251"/>
          <cell r="T251"/>
          <cell r="U251"/>
          <cell r="V251"/>
          <cell r="W251"/>
          <cell r="X251"/>
          <cell r="Y251"/>
          <cell r="Z251"/>
          <cell r="AA251"/>
          <cell r="AB251"/>
          <cell r="AC251"/>
          <cell r="AD251"/>
          <cell r="AE251"/>
        </row>
        <row r="252">
          <cell r="G252"/>
          <cell r="H252"/>
          <cell r="I252"/>
          <cell r="J252"/>
          <cell r="K252"/>
          <cell r="L252"/>
          <cell r="M252"/>
          <cell r="N252"/>
          <cell r="O252"/>
          <cell r="P252"/>
          <cell r="Q252"/>
          <cell r="R252"/>
          <cell r="S252"/>
          <cell r="T252"/>
          <cell r="U252"/>
          <cell r="V252"/>
          <cell r="W252"/>
          <cell r="X252"/>
          <cell r="Y252"/>
          <cell r="Z252"/>
          <cell r="AA252"/>
          <cell r="AB252"/>
          <cell r="AC252"/>
          <cell r="AD252"/>
          <cell r="AE252"/>
        </row>
        <row r="253">
          <cell r="G253"/>
          <cell r="H253"/>
          <cell r="I253"/>
          <cell r="J253"/>
          <cell r="K253"/>
          <cell r="L253"/>
          <cell r="M253"/>
          <cell r="N253"/>
          <cell r="O253"/>
          <cell r="P253"/>
          <cell r="Q253"/>
          <cell r="R253"/>
          <cell r="S253"/>
          <cell r="T253"/>
          <cell r="U253"/>
          <cell r="V253"/>
          <cell r="W253"/>
          <cell r="X253"/>
          <cell r="Y253"/>
          <cell r="Z253"/>
          <cell r="AA253"/>
          <cell r="AB253"/>
          <cell r="AC253"/>
          <cell r="AD253"/>
          <cell r="AE253"/>
        </row>
        <row r="254">
          <cell r="G254"/>
          <cell r="H254"/>
          <cell r="I254"/>
          <cell r="J254"/>
          <cell r="K254"/>
          <cell r="L254"/>
          <cell r="M254"/>
          <cell r="N254"/>
          <cell r="O254"/>
          <cell r="P254"/>
          <cell r="Q254"/>
          <cell r="R254"/>
          <cell r="S254"/>
          <cell r="T254"/>
          <cell r="U254"/>
          <cell r="V254"/>
          <cell r="W254"/>
          <cell r="X254"/>
          <cell r="Y254"/>
          <cell r="Z254"/>
          <cell r="AA254"/>
          <cell r="AB254"/>
          <cell r="AC254"/>
          <cell r="AD254"/>
          <cell r="AE254"/>
        </row>
        <row r="255">
          <cell r="G255"/>
          <cell r="H255"/>
          <cell r="I255"/>
          <cell r="J255"/>
          <cell r="K255"/>
          <cell r="L255"/>
          <cell r="M255"/>
          <cell r="N255"/>
          <cell r="O255"/>
          <cell r="P255"/>
          <cell r="Q255"/>
          <cell r="R255"/>
          <cell r="S255"/>
          <cell r="T255"/>
          <cell r="U255"/>
          <cell r="V255"/>
          <cell r="W255"/>
          <cell r="X255"/>
          <cell r="Y255"/>
          <cell r="Z255"/>
          <cell r="AA255"/>
          <cell r="AB255"/>
          <cell r="AC255"/>
          <cell r="AD255"/>
          <cell r="AE255"/>
        </row>
        <row r="256">
          <cell r="G256"/>
          <cell r="H256"/>
          <cell r="I256"/>
          <cell r="J256"/>
          <cell r="K256"/>
          <cell r="L256"/>
          <cell r="M256"/>
          <cell r="N256"/>
          <cell r="O256"/>
          <cell r="P256"/>
          <cell r="Q256"/>
          <cell r="R256"/>
          <cell r="S256"/>
          <cell r="T256"/>
          <cell r="U256"/>
          <cell r="V256"/>
          <cell r="W256"/>
          <cell r="X256"/>
          <cell r="Y256"/>
          <cell r="Z256"/>
          <cell r="AA256"/>
          <cell r="AB256"/>
          <cell r="AC256"/>
          <cell r="AD256"/>
          <cell r="AE256"/>
        </row>
        <row r="257">
          <cell r="G257"/>
          <cell r="H257"/>
          <cell r="I257"/>
          <cell r="J257"/>
          <cell r="K257"/>
          <cell r="L257"/>
          <cell r="M257"/>
          <cell r="N257"/>
          <cell r="O257"/>
          <cell r="P257"/>
          <cell r="Q257"/>
          <cell r="R257"/>
          <cell r="S257"/>
          <cell r="T257"/>
          <cell r="U257"/>
          <cell r="V257"/>
          <cell r="W257"/>
          <cell r="X257"/>
          <cell r="Y257"/>
          <cell r="Z257"/>
          <cell r="AA257"/>
          <cell r="AB257"/>
          <cell r="AC257"/>
          <cell r="AD257"/>
          <cell r="AE257"/>
        </row>
        <row r="258">
          <cell r="G258"/>
          <cell r="H258"/>
          <cell r="I258"/>
          <cell r="J258"/>
          <cell r="K258"/>
          <cell r="L258"/>
          <cell r="M258"/>
          <cell r="N258"/>
          <cell r="O258"/>
          <cell r="P258"/>
          <cell r="Q258"/>
          <cell r="R258"/>
          <cell r="S258"/>
          <cell r="T258"/>
          <cell r="U258"/>
          <cell r="V258"/>
          <cell r="W258"/>
          <cell r="X258"/>
          <cell r="Y258"/>
          <cell r="Z258"/>
          <cell r="AA258"/>
          <cell r="AB258"/>
          <cell r="AC258"/>
          <cell r="AD258"/>
          <cell r="AE258"/>
        </row>
        <row r="259">
          <cell r="G259"/>
          <cell r="H259"/>
          <cell r="I259"/>
          <cell r="J259"/>
          <cell r="K259"/>
          <cell r="L259"/>
          <cell r="M259"/>
          <cell r="N259"/>
          <cell r="O259"/>
          <cell r="P259"/>
          <cell r="Q259"/>
          <cell r="R259"/>
          <cell r="S259"/>
          <cell r="T259"/>
          <cell r="U259"/>
          <cell r="V259"/>
          <cell r="W259"/>
          <cell r="X259"/>
          <cell r="Y259"/>
          <cell r="Z259"/>
          <cell r="AA259"/>
          <cell r="AB259"/>
          <cell r="AC259"/>
          <cell r="AD259"/>
          <cell r="AE259"/>
        </row>
        <row r="260">
          <cell r="G260"/>
          <cell r="H260"/>
          <cell r="I260"/>
          <cell r="J260"/>
          <cell r="K260"/>
          <cell r="L260"/>
          <cell r="M260"/>
          <cell r="N260"/>
          <cell r="O260"/>
          <cell r="P260"/>
          <cell r="Q260"/>
          <cell r="R260"/>
          <cell r="S260"/>
          <cell r="T260"/>
          <cell r="U260"/>
          <cell r="V260"/>
          <cell r="W260"/>
          <cell r="X260"/>
          <cell r="Y260"/>
          <cell r="Z260"/>
          <cell r="AA260"/>
          <cell r="AB260"/>
          <cell r="AC260"/>
          <cell r="AD260"/>
          <cell r="AE260"/>
        </row>
        <row r="261">
          <cell r="G261"/>
          <cell r="H261"/>
          <cell r="I261"/>
          <cell r="J261"/>
          <cell r="K261"/>
          <cell r="L261"/>
          <cell r="M261"/>
          <cell r="N261"/>
          <cell r="O261"/>
          <cell r="P261"/>
          <cell r="Q261"/>
          <cell r="R261"/>
          <cell r="S261"/>
          <cell r="T261"/>
          <cell r="U261"/>
          <cell r="V261"/>
          <cell r="W261"/>
          <cell r="X261"/>
          <cell r="Y261"/>
          <cell r="Z261"/>
          <cell r="AA261"/>
          <cell r="AB261"/>
          <cell r="AC261"/>
          <cell r="AD261"/>
          <cell r="AE261"/>
        </row>
        <row r="262">
          <cell r="G262"/>
          <cell r="H262"/>
          <cell r="I262"/>
          <cell r="J262"/>
          <cell r="K262"/>
          <cell r="L262"/>
          <cell r="M262"/>
          <cell r="N262"/>
          <cell r="O262"/>
          <cell r="P262"/>
          <cell r="Q262"/>
          <cell r="R262"/>
          <cell r="S262"/>
          <cell r="T262"/>
          <cell r="U262"/>
          <cell r="V262"/>
          <cell r="W262"/>
          <cell r="X262"/>
          <cell r="Y262"/>
          <cell r="Z262"/>
          <cell r="AA262"/>
          <cell r="AB262"/>
          <cell r="AC262"/>
          <cell r="AD262"/>
          <cell r="AE262"/>
        </row>
        <row r="263">
          <cell r="G263"/>
          <cell r="H263"/>
          <cell r="I263"/>
          <cell r="J263"/>
          <cell r="K263"/>
          <cell r="L263"/>
          <cell r="M263"/>
          <cell r="N263"/>
          <cell r="O263"/>
          <cell r="P263"/>
          <cell r="Q263"/>
          <cell r="R263"/>
          <cell r="S263"/>
          <cell r="T263"/>
          <cell r="U263"/>
          <cell r="V263"/>
          <cell r="W263"/>
          <cell r="X263"/>
          <cell r="Y263"/>
          <cell r="Z263"/>
          <cell r="AA263"/>
          <cell r="AB263"/>
          <cell r="AC263"/>
          <cell r="AD263"/>
          <cell r="AE263"/>
        </row>
        <row r="264">
          <cell r="G264"/>
          <cell r="H264"/>
          <cell r="I264"/>
          <cell r="J264"/>
          <cell r="K264"/>
          <cell r="L264"/>
          <cell r="M264"/>
          <cell r="N264"/>
          <cell r="O264"/>
          <cell r="P264"/>
          <cell r="Q264"/>
          <cell r="R264"/>
          <cell r="S264"/>
          <cell r="T264"/>
          <cell r="U264"/>
          <cell r="V264"/>
          <cell r="W264"/>
          <cell r="X264"/>
          <cell r="Y264"/>
          <cell r="Z264"/>
          <cell r="AA264"/>
          <cell r="AB264"/>
          <cell r="AC264"/>
          <cell r="AD264"/>
          <cell r="AE264"/>
        </row>
        <row r="265">
          <cell r="G265"/>
          <cell r="H265"/>
          <cell r="I265"/>
          <cell r="J265"/>
          <cell r="K265"/>
          <cell r="L265"/>
          <cell r="M265"/>
          <cell r="N265"/>
          <cell r="O265"/>
          <cell r="P265"/>
          <cell r="Q265"/>
          <cell r="R265"/>
          <cell r="S265"/>
          <cell r="T265"/>
          <cell r="U265"/>
          <cell r="V265"/>
          <cell r="W265"/>
          <cell r="X265"/>
          <cell r="Y265"/>
          <cell r="Z265"/>
          <cell r="AA265"/>
          <cell r="AB265"/>
          <cell r="AC265"/>
          <cell r="AD265"/>
          <cell r="AE265"/>
        </row>
        <row r="266">
          <cell r="G266"/>
          <cell r="H266"/>
          <cell r="I266"/>
          <cell r="J266"/>
          <cell r="K266"/>
          <cell r="L266"/>
          <cell r="M266"/>
          <cell r="N266"/>
          <cell r="O266"/>
          <cell r="P266"/>
          <cell r="Q266"/>
          <cell r="R266"/>
          <cell r="S266"/>
          <cell r="T266"/>
          <cell r="U266"/>
          <cell r="V266"/>
          <cell r="W266"/>
          <cell r="X266"/>
          <cell r="Y266"/>
          <cell r="Z266"/>
          <cell r="AA266"/>
          <cell r="AB266"/>
          <cell r="AC266"/>
          <cell r="AD266"/>
          <cell r="AE266"/>
        </row>
        <row r="267">
          <cell r="G267"/>
          <cell r="H267"/>
          <cell r="I267"/>
          <cell r="J267"/>
          <cell r="K267"/>
          <cell r="L267"/>
          <cell r="M267"/>
          <cell r="N267"/>
          <cell r="O267"/>
          <cell r="P267"/>
          <cell r="Q267"/>
          <cell r="R267"/>
          <cell r="S267"/>
          <cell r="T267"/>
          <cell r="U267"/>
          <cell r="V267"/>
          <cell r="W267"/>
          <cell r="X267"/>
          <cell r="Y267"/>
          <cell r="Z267"/>
          <cell r="AA267"/>
          <cell r="AB267"/>
          <cell r="AC267"/>
          <cell r="AD267"/>
          <cell r="AE267"/>
        </row>
        <row r="268">
          <cell r="G268"/>
          <cell r="H268"/>
          <cell r="I268"/>
          <cell r="J268"/>
          <cell r="K268"/>
          <cell r="L268"/>
          <cell r="M268"/>
          <cell r="N268"/>
          <cell r="O268"/>
          <cell r="P268"/>
          <cell r="Q268"/>
          <cell r="R268"/>
          <cell r="S268"/>
          <cell r="T268"/>
          <cell r="U268"/>
          <cell r="V268"/>
          <cell r="W268"/>
          <cell r="X268"/>
          <cell r="Y268"/>
          <cell r="Z268"/>
          <cell r="AA268"/>
          <cell r="AB268"/>
          <cell r="AC268"/>
          <cell r="AD268"/>
          <cell r="AE268"/>
        </row>
        <row r="269">
          <cell r="G269"/>
          <cell r="H269"/>
          <cell r="I269"/>
          <cell r="J269"/>
          <cell r="K269"/>
          <cell r="L269"/>
          <cell r="M269"/>
          <cell r="N269"/>
          <cell r="O269"/>
          <cell r="P269"/>
          <cell r="Q269"/>
          <cell r="R269"/>
          <cell r="S269"/>
          <cell r="T269"/>
          <cell r="U269"/>
          <cell r="V269"/>
          <cell r="W269"/>
          <cell r="X269"/>
          <cell r="Y269"/>
          <cell r="Z269"/>
          <cell r="AA269"/>
          <cell r="AB269"/>
          <cell r="AC269"/>
          <cell r="AD269"/>
          <cell r="AE269"/>
        </row>
        <row r="270">
          <cell r="G270"/>
          <cell r="H270"/>
          <cell r="I270"/>
          <cell r="J270"/>
          <cell r="K270"/>
          <cell r="L270"/>
          <cell r="M270"/>
          <cell r="N270"/>
          <cell r="O270"/>
          <cell r="P270"/>
          <cell r="Q270"/>
          <cell r="R270"/>
          <cell r="S270"/>
          <cell r="T270"/>
          <cell r="U270"/>
          <cell r="V270"/>
          <cell r="W270"/>
          <cell r="X270"/>
          <cell r="Y270"/>
          <cell r="Z270"/>
          <cell r="AA270"/>
          <cell r="AB270"/>
          <cell r="AC270"/>
          <cell r="AD270"/>
          <cell r="AE270"/>
        </row>
        <row r="271">
          <cell r="G271"/>
          <cell r="H271"/>
          <cell r="I271"/>
          <cell r="J271"/>
          <cell r="K271"/>
          <cell r="L271"/>
          <cell r="M271"/>
          <cell r="N271"/>
          <cell r="O271"/>
          <cell r="P271"/>
          <cell r="Q271"/>
          <cell r="R271"/>
          <cell r="S271"/>
          <cell r="T271"/>
          <cell r="U271"/>
          <cell r="V271"/>
          <cell r="W271"/>
          <cell r="X271"/>
          <cell r="Y271"/>
          <cell r="Z271"/>
          <cell r="AA271"/>
          <cell r="AB271"/>
          <cell r="AC271"/>
          <cell r="AD271"/>
          <cell r="AE271"/>
        </row>
        <row r="272">
          <cell r="G272"/>
          <cell r="H272"/>
          <cell r="I272"/>
          <cell r="J272"/>
          <cell r="K272"/>
          <cell r="L272"/>
          <cell r="M272"/>
          <cell r="N272"/>
          <cell r="O272"/>
          <cell r="P272"/>
          <cell r="Q272"/>
          <cell r="R272"/>
          <cell r="S272"/>
          <cell r="T272"/>
          <cell r="U272"/>
          <cell r="V272"/>
          <cell r="W272"/>
          <cell r="X272"/>
          <cell r="Y272"/>
          <cell r="Z272"/>
          <cell r="AA272"/>
          <cell r="AB272"/>
          <cell r="AC272"/>
          <cell r="AD272"/>
          <cell r="AE272"/>
        </row>
        <row r="273">
          <cell r="G273"/>
          <cell r="H273"/>
          <cell r="I273"/>
          <cell r="J273"/>
          <cell r="K273"/>
          <cell r="L273"/>
          <cell r="M273"/>
          <cell r="N273"/>
          <cell r="O273"/>
          <cell r="P273"/>
          <cell r="Q273"/>
          <cell r="R273"/>
          <cell r="S273"/>
          <cell r="T273"/>
          <cell r="U273"/>
          <cell r="V273"/>
          <cell r="W273"/>
          <cell r="X273"/>
          <cell r="Y273"/>
          <cell r="Z273"/>
          <cell r="AA273"/>
          <cell r="AB273"/>
          <cell r="AC273"/>
          <cell r="AD273"/>
          <cell r="AE273"/>
        </row>
        <row r="274">
          <cell r="G274"/>
          <cell r="H274"/>
          <cell r="I274"/>
          <cell r="J274"/>
          <cell r="K274"/>
          <cell r="L274"/>
          <cell r="M274"/>
          <cell r="N274"/>
          <cell r="O274"/>
          <cell r="P274"/>
          <cell r="Q274"/>
          <cell r="R274"/>
          <cell r="S274"/>
          <cell r="T274"/>
          <cell r="U274"/>
          <cell r="V274"/>
          <cell r="W274"/>
          <cell r="X274"/>
          <cell r="Y274"/>
          <cell r="Z274"/>
          <cell r="AA274"/>
          <cell r="AB274"/>
          <cell r="AC274"/>
          <cell r="AD274"/>
          <cell r="AE274"/>
        </row>
        <row r="275">
          <cell r="G275"/>
          <cell r="H275"/>
          <cell r="I275"/>
          <cell r="J275"/>
          <cell r="K275"/>
          <cell r="L275"/>
          <cell r="M275"/>
          <cell r="N275"/>
          <cell r="O275"/>
          <cell r="P275"/>
          <cell r="Q275"/>
          <cell r="R275"/>
          <cell r="S275"/>
          <cell r="T275"/>
          <cell r="U275"/>
          <cell r="V275"/>
          <cell r="W275"/>
          <cell r="X275"/>
          <cell r="Y275"/>
          <cell r="Z275"/>
          <cell r="AA275"/>
          <cell r="AB275"/>
          <cell r="AC275"/>
          <cell r="AD275"/>
          <cell r="AE275"/>
        </row>
        <row r="276">
          <cell r="G276"/>
          <cell r="H276"/>
          <cell r="I276"/>
          <cell r="J276"/>
          <cell r="K276"/>
          <cell r="L276"/>
          <cell r="M276"/>
          <cell r="N276"/>
          <cell r="O276"/>
          <cell r="P276"/>
          <cell r="Q276"/>
          <cell r="R276"/>
          <cell r="S276"/>
          <cell r="T276"/>
          <cell r="U276"/>
          <cell r="V276"/>
          <cell r="W276"/>
          <cell r="X276"/>
          <cell r="Y276"/>
          <cell r="Z276"/>
          <cell r="AA276"/>
          <cell r="AB276"/>
          <cell r="AC276"/>
          <cell r="AD276"/>
          <cell r="AE276"/>
        </row>
        <row r="277">
          <cell r="G277"/>
          <cell r="H277"/>
          <cell r="I277"/>
          <cell r="J277"/>
          <cell r="K277"/>
          <cell r="L277"/>
          <cell r="M277"/>
          <cell r="N277"/>
          <cell r="O277"/>
          <cell r="P277"/>
          <cell r="Q277"/>
          <cell r="R277"/>
          <cell r="S277"/>
          <cell r="T277"/>
          <cell r="U277"/>
          <cell r="V277"/>
          <cell r="W277"/>
          <cell r="X277"/>
          <cell r="Y277"/>
          <cell r="Z277"/>
          <cell r="AA277"/>
          <cell r="AB277"/>
          <cell r="AC277"/>
          <cell r="AD277"/>
          <cell r="AE277"/>
        </row>
        <row r="278">
          <cell r="G278"/>
          <cell r="H278"/>
          <cell r="I278"/>
          <cell r="J278"/>
          <cell r="K278"/>
          <cell r="L278"/>
          <cell r="M278"/>
          <cell r="N278"/>
          <cell r="O278"/>
          <cell r="P278"/>
          <cell r="Q278"/>
          <cell r="R278"/>
          <cell r="S278"/>
          <cell r="T278"/>
          <cell r="U278"/>
          <cell r="V278"/>
          <cell r="W278"/>
          <cell r="X278"/>
          <cell r="Y278"/>
          <cell r="Z278"/>
          <cell r="AA278"/>
          <cell r="AB278"/>
          <cell r="AC278"/>
          <cell r="AD278"/>
          <cell r="AE278"/>
        </row>
        <row r="279">
          <cell r="G279"/>
          <cell r="H279"/>
          <cell r="I279"/>
          <cell r="J279"/>
          <cell r="K279"/>
          <cell r="L279"/>
          <cell r="M279"/>
          <cell r="N279"/>
          <cell r="O279"/>
          <cell r="P279"/>
          <cell r="Q279"/>
          <cell r="R279"/>
          <cell r="S279"/>
          <cell r="T279"/>
          <cell r="U279"/>
          <cell r="V279"/>
          <cell r="W279"/>
          <cell r="X279"/>
          <cell r="Y279"/>
          <cell r="Z279"/>
          <cell r="AA279"/>
          <cell r="AB279"/>
          <cell r="AC279"/>
          <cell r="AD279"/>
          <cell r="AE279"/>
        </row>
        <row r="280">
          <cell r="G280"/>
          <cell r="H280"/>
          <cell r="I280"/>
          <cell r="J280"/>
          <cell r="K280"/>
          <cell r="L280"/>
          <cell r="M280"/>
          <cell r="N280"/>
          <cell r="O280"/>
          <cell r="P280"/>
          <cell r="Q280"/>
          <cell r="R280"/>
          <cell r="S280"/>
          <cell r="T280"/>
          <cell r="U280"/>
          <cell r="V280"/>
          <cell r="W280"/>
          <cell r="X280"/>
          <cell r="Y280"/>
          <cell r="Z280"/>
          <cell r="AA280"/>
          <cell r="AB280"/>
          <cell r="AC280"/>
          <cell r="AD280"/>
          <cell r="AE280"/>
        </row>
        <row r="281">
          <cell r="G281"/>
          <cell r="H281"/>
          <cell r="I281"/>
          <cell r="J281"/>
          <cell r="K281"/>
          <cell r="L281"/>
          <cell r="M281"/>
          <cell r="N281"/>
          <cell r="O281"/>
          <cell r="P281"/>
          <cell r="Q281"/>
          <cell r="R281"/>
          <cell r="S281"/>
          <cell r="T281"/>
          <cell r="U281"/>
          <cell r="V281"/>
          <cell r="W281"/>
          <cell r="X281"/>
          <cell r="Y281"/>
          <cell r="Z281"/>
          <cell r="AA281"/>
          <cell r="AB281"/>
          <cell r="AC281"/>
          <cell r="AD281"/>
          <cell r="AE281"/>
        </row>
        <row r="282">
          <cell r="G282"/>
          <cell r="H282"/>
          <cell r="I282"/>
          <cell r="J282"/>
          <cell r="K282"/>
          <cell r="L282"/>
          <cell r="M282"/>
          <cell r="N282"/>
          <cell r="O282"/>
          <cell r="P282"/>
          <cell r="Q282"/>
          <cell r="R282"/>
          <cell r="S282"/>
          <cell r="T282"/>
          <cell r="U282"/>
          <cell r="V282"/>
          <cell r="W282"/>
          <cell r="X282"/>
          <cell r="Y282"/>
          <cell r="Z282"/>
          <cell r="AA282"/>
          <cell r="AB282"/>
          <cell r="AC282"/>
          <cell r="AD282"/>
          <cell r="AE282"/>
        </row>
        <row r="283">
          <cell r="G283"/>
          <cell r="H283"/>
          <cell r="I283"/>
          <cell r="J283"/>
          <cell r="K283"/>
          <cell r="L283"/>
          <cell r="M283"/>
          <cell r="N283"/>
          <cell r="O283"/>
          <cell r="P283"/>
          <cell r="Q283"/>
          <cell r="R283"/>
          <cell r="S283"/>
          <cell r="T283"/>
          <cell r="U283"/>
          <cell r="V283"/>
          <cell r="W283"/>
          <cell r="X283"/>
          <cell r="Y283"/>
          <cell r="Z283"/>
          <cell r="AA283"/>
          <cell r="AB283"/>
          <cell r="AC283"/>
          <cell r="AD283"/>
          <cell r="AE283"/>
        </row>
        <row r="284">
          <cell r="G284"/>
          <cell r="H284"/>
          <cell r="I284"/>
          <cell r="J284"/>
          <cell r="K284"/>
          <cell r="L284"/>
          <cell r="M284"/>
          <cell r="N284"/>
          <cell r="O284"/>
          <cell r="P284"/>
          <cell r="Q284"/>
          <cell r="R284"/>
          <cell r="S284"/>
          <cell r="T284"/>
          <cell r="U284"/>
          <cell r="V284"/>
          <cell r="W284"/>
          <cell r="X284"/>
          <cell r="Y284"/>
          <cell r="Z284"/>
          <cell r="AA284"/>
          <cell r="AB284"/>
          <cell r="AC284"/>
          <cell r="AD284"/>
          <cell r="AE284"/>
        </row>
        <row r="285">
          <cell r="G285"/>
          <cell r="H285"/>
          <cell r="I285"/>
          <cell r="J285"/>
          <cell r="K285"/>
          <cell r="L285"/>
          <cell r="M285"/>
          <cell r="N285"/>
          <cell r="O285"/>
          <cell r="P285"/>
          <cell r="Q285"/>
          <cell r="R285"/>
          <cell r="S285"/>
          <cell r="T285"/>
          <cell r="U285"/>
          <cell r="V285"/>
          <cell r="W285"/>
          <cell r="X285"/>
          <cell r="Y285"/>
          <cell r="Z285"/>
          <cell r="AA285"/>
          <cell r="AB285"/>
          <cell r="AC285"/>
          <cell r="AD285"/>
          <cell r="AE285"/>
        </row>
        <row r="286">
          <cell r="G286"/>
          <cell r="H286"/>
          <cell r="I286"/>
          <cell r="J286"/>
          <cell r="K286"/>
          <cell r="L286"/>
          <cell r="M286"/>
          <cell r="N286"/>
          <cell r="O286"/>
          <cell r="P286"/>
          <cell r="Q286"/>
          <cell r="R286"/>
          <cell r="S286"/>
          <cell r="T286"/>
          <cell r="U286"/>
          <cell r="V286"/>
          <cell r="W286"/>
          <cell r="X286"/>
          <cell r="Y286"/>
          <cell r="Z286"/>
          <cell r="AA286"/>
          <cell r="AB286"/>
          <cell r="AC286"/>
          <cell r="AD286"/>
          <cell r="AE286"/>
        </row>
        <row r="287">
          <cell r="G287"/>
          <cell r="H287"/>
          <cell r="I287"/>
          <cell r="J287"/>
          <cell r="K287"/>
          <cell r="L287"/>
          <cell r="M287"/>
          <cell r="N287"/>
          <cell r="O287"/>
          <cell r="P287"/>
          <cell r="Q287"/>
          <cell r="R287"/>
          <cell r="S287"/>
          <cell r="T287"/>
          <cell r="U287"/>
          <cell r="V287"/>
          <cell r="W287"/>
          <cell r="X287"/>
          <cell r="Y287"/>
          <cell r="Z287"/>
          <cell r="AA287"/>
          <cell r="AB287"/>
          <cell r="AC287"/>
          <cell r="AD287"/>
          <cell r="AE287"/>
        </row>
        <row r="288">
          <cell r="G288"/>
          <cell r="H288"/>
          <cell r="I288"/>
          <cell r="J288"/>
          <cell r="K288"/>
          <cell r="L288"/>
          <cell r="M288"/>
          <cell r="N288"/>
          <cell r="O288"/>
          <cell r="P288"/>
          <cell r="Q288"/>
          <cell r="R288"/>
          <cell r="S288"/>
          <cell r="T288"/>
          <cell r="U288"/>
          <cell r="V288"/>
          <cell r="W288"/>
          <cell r="X288"/>
          <cell r="Y288"/>
          <cell r="Z288"/>
          <cell r="AA288"/>
          <cell r="AB288"/>
          <cell r="AC288"/>
          <cell r="AD288"/>
          <cell r="AE288"/>
        </row>
        <row r="289">
          <cell r="G289"/>
          <cell r="H289"/>
          <cell r="I289"/>
          <cell r="J289"/>
          <cell r="K289"/>
          <cell r="L289"/>
          <cell r="M289"/>
          <cell r="N289"/>
          <cell r="O289"/>
          <cell r="P289"/>
          <cell r="Q289"/>
          <cell r="R289"/>
          <cell r="S289"/>
          <cell r="T289"/>
          <cell r="U289"/>
          <cell r="V289"/>
          <cell r="W289"/>
          <cell r="X289"/>
          <cell r="Y289"/>
          <cell r="Z289"/>
          <cell r="AA289"/>
          <cell r="AB289"/>
          <cell r="AC289"/>
          <cell r="AD289"/>
          <cell r="AE289"/>
        </row>
        <row r="290">
          <cell r="G290"/>
          <cell r="H290"/>
          <cell r="I290"/>
          <cell r="J290"/>
          <cell r="K290"/>
          <cell r="L290"/>
          <cell r="M290"/>
          <cell r="N290"/>
          <cell r="O290"/>
          <cell r="P290"/>
          <cell r="Q290"/>
          <cell r="R290"/>
          <cell r="S290"/>
          <cell r="T290"/>
          <cell r="U290"/>
          <cell r="V290"/>
          <cell r="W290"/>
          <cell r="X290"/>
          <cell r="Y290"/>
          <cell r="Z290"/>
          <cell r="AA290"/>
          <cell r="AB290"/>
          <cell r="AC290"/>
          <cell r="AD290"/>
          <cell r="AE290"/>
        </row>
        <row r="291">
          <cell r="G291"/>
          <cell r="H291"/>
          <cell r="I291"/>
          <cell r="J291"/>
          <cell r="K291"/>
          <cell r="L291"/>
          <cell r="M291"/>
          <cell r="N291"/>
          <cell r="O291"/>
          <cell r="P291"/>
          <cell r="Q291"/>
          <cell r="R291"/>
          <cell r="S291"/>
          <cell r="T291"/>
          <cell r="U291"/>
          <cell r="V291"/>
          <cell r="W291"/>
          <cell r="X291"/>
          <cell r="Y291"/>
          <cell r="Z291"/>
          <cell r="AA291"/>
          <cell r="AB291"/>
          <cell r="AC291"/>
          <cell r="AD291"/>
          <cell r="AE291"/>
        </row>
        <row r="292">
          <cell r="G292"/>
          <cell r="H292"/>
          <cell r="I292"/>
          <cell r="J292"/>
          <cell r="K292"/>
          <cell r="L292"/>
          <cell r="M292"/>
          <cell r="N292"/>
          <cell r="O292"/>
          <cell r="P292"/>
          <cell r="Q292"/>
          <cell r="R292"/>
          <cell r="S292"/>
          <cell r="T292"/>
          <cell r="U292"/>
          <cell r="V292"/>
          <cell r="W292"/>
          <cell r="X292"/>
          <cell r="Y292"/>
          <cell r="Z292"/>
          <cell r="AA292"/>
          <cell r="AB292"/>
          <cell r="AC292"/>
          <cell r="AD292"/>
          <cell r="AE292"/>
        </row>
        <row r="293">
          <cell r="G293"/>
          <cell r="H293"/>
          <cell r="I293"/>
          <cell r="J293"/>
          <cell r="K293"/>
          <cell r="L293"/>
          <cell r="M293"/>
          <cell r="N293"/>
          <cell r="O293"/>
          <cell r="P293"/>
          <cell r="Q293"/>
          <cell r="R293"/>
          <cell r="S293"/>
          <cell r="T293"/>
          <cell r="U293"/>
          <cell r="V293"/>
          <cell r="W293"/>
          <cell r="X293"/>
          <cell r="Y293"/>
          <cell r="Z293"/>
          <cell r="AA293"/>
          <cell r="AB293"/>
          <cell r="AC293"/>
          <cell r="AD293"/>
          <cell r="AE293"/>
        </row>
        <row r="294">
          <cell r="G294"/>
          <cell r="H294"/>
          <cell r="I294"/>
          <cell r="J294"/>
          <cell r="K294"/>
          <cell r="L294"/>
          <cell r="M294"/>
          <cell r="N294"/>
          <cell r="O294"/>
          <cell r="P294"/>
          <cell r="Q294"/>
          <cell r="R294"/>
          <cell r="S294"/>
          <cell r="T294"/>
          <cell r="U294"/>
          <cell r="V294"/>
          <cell r="W294"/>
          <cell r="X294"/>
          <cell r="Y294"/>
          <cell r="Z294"/>
          <cell r="AA294"/>
          <cell r="AB294"/>
          <cell r="AC294"/>
          <cell r="AD294"/>
          <cell r="AE294"/>
        </row>
        <row r="295">
          <cell r="G295"/>
          <cell r="H295"/>
          <cell r="I295"/>
          <cell r="J295"/>
          <cell r="K295"/>
          <cell r="L295"/>
          <cell r="M295"/>
          <cell r="N295"/>
          <cell r="O295"/>
          <cell r="P295"/>
          <cell r="Q295"/>
          <cell r="R295"/>
          <cell r="S295"/>
          <cell r="T295"/>
          <cell r="U295"/>
          <cell r="V295"/>
          <cell r="W295"/>
          <cell r="X295"/>
          <cell r="Y295"/>
          <cell r="Z295"/>
          <cell r="AA295"/>
          <cell r="AB295"/>
          <cell r="AC295"/>
          <cell r="AD295"/>
          <cell r="AE295"/>
        </row>
        <row r="296">
          <cell r="G296"/>
          <cell r="H296"/>
          <cell r="I296"/>
          <cell r="J296"/>
          <cell r="K296"/>
          <cell r="L296"/>
          <cell r="M296"/>
          <cell r="N296"/>
          <cell r="O296"/>
          <cell r="P296"/>
          <cell r="Q296"/>
          <cell r="R296"/>
          <cell r="S296"/>
          <cell r="T296"/>
          <cell r="U296"/>
          <cell r="V296"/>
          <cell r="W296"/>
          <cell r="X296"/>
          <cell r="Y296"/>
          <cell r="Z296"/>
          <cell r="AA296"/>
          <cell r="AB296"/>
          <cell r="AC296"/>
          <cell r="AD296"/>
          <cell r="AE296"/>
        </row>
        <row r="297">
          <cell r="G297"/>
          <cell r="H297"/>
          <cell r="I297"/>
          <cell r="J297"/>
          <cell r="K297"/>
          <cell r="L297"/>
          <cell r="M297"/>
          <cell r="N297"/>
          <cell r="O297"/>
          <cell r="P297"/>
          <cell r="Q297"/>
          <cell r="R297"/>
          <cell r="S297"/>
          <cell r="T297"/>
          <cell r="U297"/>
          <cell r="V297"/>
          <cell r="W297"/>
          <cell r="X297"/>
          <cell r="Y297"/>
          <cell r="Z297"/>
          <cell r="AA297"/>
          <cell r="AB297"/>
          <cell r="AC297"/>
          <cell r="AD297"/>
          <cell r="AE297"/>
        </row>
        <row r="298">
          <cell r="G298"/>
          <cell r="H298"/>
          <cell r="I298"/>
          <cell r="J298"/>
          <cell r="K298"/>
          <cell r="L298"/>
          <cell r="M298"/>
          <cell r="N298"/>
          <cell r="O298"/>
          <cell r="P298"/>
          <cell r="Q298"/>
          <cell r="R298"/>
          <cell r="S298"/>
          <cell r="T298"/>
          <cell r="U298"/>
          <cell r="V298"/>
          <cell r="W298"/>
          <cell r="X298"/>
          <cell r="Y298"/>
          <cell r="Z298"/>
          <cell r="AA298"/>
          <cell r="AB298"/>
          <cell r="AC298"/>
          <cell r="AD298"/>
          <cell r="AE298"/>
        </row>
        <row r="299">
          <cell r="G299"/>
          <cell r="H299"/>
          <cell r="I299"/>
          <cell r="J299"/>
          <cell r="K299"/>
          <cell r="L299"/>
          <cell r="M299"/>
          <cell r="N299"/>
          <cell r="O299"/>
          <cell r="P299"/>
          <cell r="Q299"/>
          <cell r="R299"/>
          <cell r="S299"/>
          <cell r="T299"/>
          <cell r="U299"/>
          <cell r="V299"/>
          <cell r="W299"/>
          <cell r="X299"/>
          <cell r="Y299"/>
          <cell r="Z299"/>
          <cell r="AA299"/>
          <cell r="AB299"/>
          <cell r="AC299"/>
          <cell r="AD299"/>
          <cell r="AE299"/>
        </row>
        <row r="300">
          <cell r="G300"/>
          <cell r="H300"/>
          <cell r="I300"/>
          <cell r="J300"/>
          <cell r="K300"/>
          <cell r="L300"/>
          <cell r="M300"/>
          <cell r="N300"/>
          <cell r="O300"/>
          <cell r="P300"/>
          <cell r="Q300"/>
          <cell r="R300"/>
          <cell r="S300"/>
          <cell r="T300"/>
          <cell r="U300"/>
          <cell r="V300"/>
          <cell r="W300"/>
          <cell r="X300"/>
          <cell r="Y300"/>
          <cell r="Z300"/>
          <cell r="AA300"/>
          <cell r="AB300"/>
          <cell r="AC300"/>
          <cell r="AD300"/>
          <cell r="AE300"/>
        </row>
        <row r="301">
          <cell r="G301"/>
          <cell r="H301"/>
          <cell r="I301"/>
          <cell r="J301"/>
          <cell r="K301"/>
          <cell r="L301"/>
          <cell r="M301"/>
          <cell r="N301"/>
          <cell r="O301"/>
          <cell r="P301"/>
          <cell r="Q301"/>
          <cell r="R301"/>
          <cell r="S301"/>
          <cell r="T301"/>
          <cell r="U301"/>
          <cell r="V301"/>
          <cell r="W301"/>
          <cell r="X301"/>
          <cell r="Y301"/>
          <cell r="Z301"/>
          <cell r="AA301"/>
          <cell r="AB301"/>
          <cell r="AC301"/>
          <cell r="AD301"/>
          <cell r="AE301"/>
        </row>
        <row r="302">
          <cell r="G302"/>
          <cell r="H302"/>
          <cell r="I302"/>
          <cell r="J302"/>
          <cell r="K302"/>
          <cell r="L302"/>
          <cell r="M302"/>
          <cell r="N302"/>
          <cell r="O302"/>
          <cell r="P302"/>
          <cell r="Q302"/>
          <cell r="R302"/>
          <cell r="S302"/>
          <cell r="T302"/>
          <cell r="U302"/>
          <cell r="V302"/>
          <cell r="W302"/>
          <cell r="X302"/>
          <cell r="Y302"/>
          <cell r="Z302"/>
          <cell r="AA302"/>
          <cell r="AB302"/>
          <cell r="AC302"/>
          <cell r="AD302"/>
          <cell r="AE302"/>
        </row>
        <row r="303">
          <cell r="G303"/>
          <cell r="H303"/>
          <cell r="I303"/>
          <cell r="J303"/>
          <cell r="K303"/>
          <cell r="L303"/>
          <cell r="M303"/>
          <cell r="N303"/>
          <cell r="O303"/>
          <cell r="P303"/>
          <cell r="Q303"/>
          <cell r="R303"/>
          <cell r="S303"/>
          <cell r="T303"/>
          <cell r="U303"/>
          <cell r="V303"/>
          <cell r="W303"/>
          <cell r="X303"/>
          <cell r="Y303"/>
          <cell r="Z303"/>
          <cell r="AA303"/>
          <cell r="AB303"/>
          <cell r="AC303"/>
          <cell r="AD303"/>
          <cell r="AE303"/>
        </row>
        <row r="304">
          <cell r="G304"/>
          <cell r="H304"/>
          <cell r="I304"/>
          <cell r="J304"/>
          <cell r="K304"/>
          <cell r="L304"/>
          <cell r="M304"/>
          <cell r="N304"/>
          <cell r="O304"/>
          <cell r="P304"/>
          <cell r="Q304"/>
          <cell r="R304"/>
          <cell r="S304"/>
          <cell r="T304"/>
          <cell r="U304"/>
          <cell r="V304"/>
          <cell r="W304"/>
          <cell r="X304"/>
          <cell r="Y304"/>
          <cell r="Z304"/>
          <cell r="AA304"/>
          <cell r="AB304"/>
          <cell r="AC304"/>
          <cell r="AD304"/>
          <cell r="AE304"/>
        </row>
        <row r="305">
          <cell r="G305"/>
          <cell r="H305"/>
          <cell r="I305"/>
          <cell r="J305"/>
          <cell r="K305"/>
          <cell r="L305"/>
          <cell r="M305"/>
          <cell r="N305"/>
          <cell r="O305"/>
          <cell r="P305"/>
          <cell r="Q305"/>
          <cell r="R305"/>
          <cell r="S305"/>
          <cell r="T305"/>
          <cell r="U305"/>
          <cell r="V305"/>
          <cell r="W305"/>
          <cell r="X305"/>
          <cell r="Y305"/>
          <cell r="Z305"/>
          <cell r="AA305"/>
          <cell r="AB305"/>
          <cell r="AC305"/>
          <cell r="AD305"/>
          <cell r="AE305"/>
        </row>
        <row r="306">
          <cell r="G306"/>
          <cell r="H306"/>
          <cell r="I306"/>
          <cell r="J306"/>
          <cell r="K306"/>
          <cell r="L306"/>
          <cell r="M306"/>
          <cell r="N306"/>
          <cell r="O306"/>
          <cell r="P306"/>
          <cell r="Q306"/>
          <cell r="R306"/>
          <cell r="S306"/>
          <cell r="T306"/>
          <cell r="U306"/>
          <cell r="V306"/>
          <cell r="W306"/>
          <cell r="X306"/>
          <cell r="Y306"/>
          <cell r="Z306"/>
          <cell r="AA306"/>
          <cell r="AB306"/>
          <cell r="AC306"/>
          <cell r="AD306"/>
          <cell r="AE306"/>
        </row>
        <row r="307">
          <cell r="G307"/>
          <cell r="H307"/>
          <cell r="I307"/>
          <cell r="J307"/>
          <cell r="K307"/>
          <cell r="L307"/>
          <cell r="M307"/>
          <cell r="N307"/>
          <cell r="O307"/>
          <cell r="P307"/>
          <cell r="Q307"/>
          <cell r="R307"/>
          <cell r="S307"/>
          <cell r="T307"/>
          <cell r="U307"/>
          <cell r="V307"/>
          <cell r="W307"/>
          <cell r="X307"/>
          <cell r="Y307"/>
          <cell r="Z307"/>
          <cell r="AA307"/>
          <cell r="AB307"/>
          <cell r="AC307"/>
          <cell r="AD307"/>
          <cell r="AE307"/>
        </row>
        <row r="308">
          <cell r="G308"/>
          <cell r="H308"/>
          <cell r="I308"/>
          <cell r="J308"/>
          <cell r="K308"/>
          <cell r="L308"/>
          <cell r="M308"/>
          <cell r="N308"/>
          <cell r="O308"/>
          <cell r="P308"/>
          <cell r="Q308"/>
          <cell r="R308"/>
          <cell r="S308"/>
          <cell r="T308"/>
          <cell r="U308"/>
          <cell r="V308"/>
          <cell r="W308"/>
          <cell r="X308"/>
          <cell r="Y308"/>
          <cell r="Z308"/>
          <cell r="AA308"/>
          <cell r="AB308"/>
          <cell r="AC308"/>
          <cell r="AD308"/>
          <cell r="AE308"/>
        </row>
        <row r="309">
          <cell r="G309"/>
          <cell r="H309"/>
          <cell r="I309"/>
          <cell r="J309"/>
          <cell r="K309"/>
          <cell r="L309"/>
          <cell r="M309"/>
          <cell r="N309"/>
          <cell r="O309"/>
          <cell r="P309"/>
          <cell r="Q309"/>
          <cell r="R309"/>
          <cell r="S309"/>
          <cell r="T309"/>
          <cell r="U309"/>
          <cell r="V309"/>
          <cell r="W309"/>
          <cell r="X309"/>
          <cell r="Y309"/>
          <cell r="Z309"/>
          <cell r="AA309"/>
          <cell r="AB309"/>
          <cell r="AC309"/>
          <cell r="AD309"/>
          <cell r="AE309"/>
        </row>
        <row r="310">
          <cell r="G310"/>
          <cell r="H310"/>
          <cell r="I310"/>
          <cell r="J310"/>
          <cell r="K310"/>
          <cell r="L310"/>
          <cell r="M310"/>
          <cell r="N310"/>
          <cell r="O310"/>
          <cell r="P310"/>
          <cell r="Q310"/>
          <cell r="R310"/>
          <cell r="S310"/>
          <cell r="T310"/>
          <cell r="U310"/>
          <cell r="V310"/>
          <cell r="W310"/>
          <cell r="X310"/>
          <cell r="Y310"/>
          <cell r="Z310"/>
          <cell r="AA310"/>
          <cell r="AB310"/>
          <cell r="AC310"/>
          <cell r="AD310"/>
          <cell r="AE310"/>
        </row>
        <row r="311">
          <cell r="G311"/>
          <cell r="H311"/>
          <cell r="I311"/>
          <cell r="J311"/>
          <cell r="K311"/>
          <cell r="L311"/>
          <cell r="M311"/>
          <cell r="N311"/>
          <cell r="O311"/>
          <cell r="P311"/>
          <cell r="Q311"/>
          <cell r="R311"/>
          <cell r="S311"/>
          <cell r="T311"/>
          <cell r="U311"/>
          <cell r="V311"/>
          <cell r="W311"/>
          <cell r="X311"/>
          <cell r="Y311"/>
          <cell r="Z311"/>
          <cell r="AA311"/>
          <cell r="AB311"/>
          <cell r="AC311"/>
          <cell r="AD311"/>
          <cell r="AE311"/>
        </row>
        <row r="312">
          <cell r="G312"/>
          <cell r="H312"/>
          <cell r="I312"/>
          <cell r="J312"/>
          <cell r="K312"/>
          <cell r="L312"/>
          <cell r="M312"/>
          <cell r="N312"/>
          <cell r="O312"/>
          <cell r="P312"/>
          <cell r="Q312"/>
          <cell r="R312"/>
          <cell r="S312"/>
          <cell r="T312"/>
          <cell r="U312"/>
          <cell r="V312"/>
          <cell r="W312"/>
          <cell r="X312"/>
          <cell r="Y312"/>
          <cell r="Z312"/>
          <cell r="AA312"/>
          <cell r="AB312"/>
          <cell r="AC312"/>
          <cell r="AD312"/>
          <cell r="AE312"/>
        </row>
        <row r="313">
          <cell r="G313"/>
          <cell r="H313"/>
          <cell r="I313"/>
          <cell r="J313"/>
          <cell r="K313"/>
          <cell r="L313"/>
          <cell r="M313"/>
          <cell r="N313"/>
          <cell r="O313"/>
          <cell r="P313"/>
          <cell r="Q313"/>
          <cell r="R313"/>
          <cell r="S313"/>
          <cell r="T313"/>
          <cell r="U313"/>
          <cell r="V313"/>
          <cell r="W313"/>
          <cell r="X313"/>
          <cell r="Y313"/>
          <cell r="Z313"/>
          <cell r="AA313"/>
          <cell r="AB313"/>
          <cell r="AC313"/>
          <cell r="AD313"/>
          <cell r="AE313"/>
        </row>
        <row r="314">
          <cell r="G314"/>
          <cell r="H314"/>
          <cell r="I314"/>
          <cell r="J314"/>
          <cell r="K314"/>
          <cell r="L314"/>
          <cell r="M314"/>
          <cell r="N314"/>
          <cell r="O314"/>
          <cell r="P314"/>
          <cell r="Q314"/>
          <cell r="R314"/>
          <cell r="S314"/>
          <cell r="T314"/>
          <cell r="U314"/>
          <cell r="V314"/>
          <cell r="W314"/>
          <cell r="X314"/>
          <cell r="Y314"/>
          <cell r="Z314"/>
          <cell r="AA314"/>
          <cell r="AB314"/>
          <cell r="AC314"/>
          <cell r="AD314"/>
          <cell r="AE314"/>
        </row>
        <row r="315">
          <cell r="G315"/>
          <cell r="H315"/>
          <cell r="I315"/>
          <cell r="J315"/>
          <cell r="K315"/>
          <cell r="L315"/>
          <cell r="M315"/>
          <cell r="N315"/>
          <cell r="O315"/>
          <cell r="P315"/>
          <cell r="Q315"/>
          <cell r="R315"/>
          <cell r="S315"/>
          <cell r="T315"/>
          <cell r="U315"/>
          <cell r="V315"/>
          <cell r="W315"/>
          <cell r="X315"/>
          <cell r="Y315"/>
          <cell r="Z315"/>
          <cell r="AA315"/>
          <cell r="AB315"/>
          <cell r="AC315"/>
          <cell r="AD315"/>
          <cell r="AE315"/>
        </row>
        <row r="316">
          <cell r="G316"/>
          <cell r="H316"/>
          <cell r="I316"/>
          <cell r="J316"/>
          <cell r="K316"/>
          <cell r="L316"/>
          <cell r="M316"/>
          <cell r="N316"/>
          <cell r="O316"/>
          <cell r="P316"/>
          <cell r="Q316"/>
          <cell r="R316"/>
          <cell r="S316"/>
          <cell r="T316"/>
          <cell r="U316"/>
          <cell r="V316"/>
          <cell r="W316"/>
          <cell r="X316"/>
          <cell r="Y316"/>
          <cell r="Z316"/>
          <cell r="AA316"/>
          <cell r="AB316"/>
          <cell r="AC316"/>
          <cell r="AD316"/>
          <cell r="AE316"/>
        </row>
        <row r="317">
          <cell r="G317"/>
          <cell r="H317"/>
          <cell r="I317"/>
          <cell r="J317"/>
          <cell r="K317"/>
          <cell r="L317"/>
          <cell r="M317"/>
          <cell r="N317"/>
          <cell r="O317"/>
          <cell r="P317"/>
          <cell r="Q317"/>
          <cell r="R317"/>
          <cell r="S317"/>
          <cell r="T317"/>
          <cell r="U317"/>
          <cell r="V317"/>
          <cell r="W317"/>
          <cell r="X317"/>
          <cell r="Y317"/>
          <cell r="Z317"/>
          <cell r="AA317"/>
          <cell r="AB317"/>
          <cell r="AC317"/>
          <cell r="AD317"/>
          <cell r="AE317"/>
        </row>
        <row r="318">
          <cell r="G318"/>
          <cell r="H318"/>
          <cell r="I318"/>
          <cell r="J318"/>
          <cell r="K318"/>
          <cell r="L318"/>
          <cell r="M318"/>
          <cell r="N318"/>
          <cell r="O318"/>
          <cell r="P318"/>
          <cell r="Q318"/>
          <cell r="R318"/>
          <cell r="S318"/>
          <cell r="T318"/>
          <cell r="U318"/>
          <cell r="V318"/>
          <cell r="W318"/>
          <cell r="X318"/>
          <cell r="Y318"/>
          <cell r="Z318"/>
          <cell r="AA318"/>
          <cell r="AB318"/>
          <cell r="AC318"/>
          <cell r="AD318"/>
          <cell r="AE318"/>
        </row>
        <row r="319">
          <cell r="G319"/>
          <cell r="H319"/>
          <cell r="I319"/>
          <cell r="J319"/>
          <cell r="K319"/>
          <cell r="L319"/>
          <cell r="M319"/>
          <cell r="N319"/>
          <cell r="O319"/>
          <cell r="P319"/>
          <cell r="Q319"/>
          <cell r="R319"/>
          <cell r="S319"/>
          <cell r="T319"/>
          <cell r="U319"/>
          <cell r="V319"/>
          <cell r="W319"/>
          <cell r="X319"/>
          <cell r="Y319"/>
          <cell r="Z319"/>
          <cell r="AA319"/>
          <cell r="AB319"/>
          <cell r="AC319"/>
          <cell r="AD319"/>
          <cell r="AE319"/>
        </row>
        <row r="320">
          <cell r="G320"/>
          <cell r="H320"/>
          <cell r="I320"/>
          <cell r="J320"/>
          <cell r="K320"/>
          <cell r="L320"/>
          <cell r="M320"/>
          <cell r="N320"/>
          <cell r="O320"/>
          <cell r="P320"/>
          <cell r="Q320"/>
          <cell r="R320"/>
          <cell r="S320"/>
          <cell r="T320"/>
          <cell r="U320"/>
          <cell r="V320"/>
          <cell r="W320"/>
          <cell r="X320"/>
          <cell r="Y320"/>
          <cell r="Z320"/>
          <cell r="AA320"/>
          <cell r="AB320"/>
          <cell r="AC320"/>
          <cell r="AD320"/>
          <cell r="AE320"/>
        </row>
        <row r="321">
          <cell r="G321"/>
          <cell r="H321"/>
          <cell r="I321"/>
          <cell r="J321"/>
          <cell r="K321"/>
          <cell r="L321"/>
          <cell r="M321"/>
          <cell r="N321"/>
          <cell r="O321"/>
          <cell r="P321"/>
          <cell r="Q321"/>
          <cell r="R321"/>
          <cell r="S321"/>
          <cell r="T321"/>
          <cell r="U321"/>
          <cell r="V321"/>
          <cell r="W321"/>
          <cell r="X321"/>
          <cell r="Y321"/>
          <cell r="Z321"/>
          <cell r="AA321"/>
          <cell r="AB321"/>
          <cell r="AC321"/>
          <cell r="AD321"/>
          <cell r="AE321"/>
        </row>
        <row r="322">
          <cell r="G322"/>
          <cell r="H322"/>
          <cell r="I322"/>
          <cell r="J322"/>
          <cell r="K322"/>
          <cell r="L322"/>
          <cell r="M322"/>
          <cell r="N322"/>
          <cell r="O322"/>
          <cell r="P322"/>
          <cell r="Q322"/>
          <cell r="R322"/>
          <cell r="S322"/>
          <cell r="T322"/>
          <cell r="U322"/>
          <cell r="V322"/>
          <cell r="W322"/>
          <cell r="X322"/>
          <cell r="Y322"/>
          <cell r="Z322"/>
          <cell r="AA322"/>
          <cell r="AB322"/>
          <cell r="AC322"/>
          <cell r="AD322"/>
          <cell r="AE322"/>
        </row>
        <row r="323">
          <cell r="G323"/>
          <cell r="H323"/>
          <cell r="I323"/>
          <cell r="J323"/>
          <cell r="K323"/>
          <cell r="L323"/>
          <cell r="M323"/>
          <cell r="N323"/>
          <cell r="O323"/>
          <cell r="P323"/>
          <cell r="Q323"/>
          <cell r="R323"/>
          <cell r="S323"/>
          <cell r="T323"/>
          <cell r="U323"/>
          <cell r="V323"/>
          <cell r="W323"/>
          <cell r="X323"/>
          <cell r="Y323"/>
          <cell r="Z323"/>
          <cell r="AA323"/>
          <cell r="AB323"/>
          <cell r="AC323"/>
          <cell r="AD323"/>
          <cell r="AE323"/>
        </row>
        <row r="324">
          <cell r="G324"/>
          <cell r="H324"/>
          <cell r="I324"/>
          <cell r="J324"/>
          <cell r="K324"/>
          <cell r="L324"/>
          <cell r="M324"/>
          <cell r="N324"/>
          <cell r="O324"/>
          <cell r="P324"/>
          <cell r="Q324"/>
          <cell r="R324"/>
          <cell r="S324"/>
          <cell r="T324"/>
          <cell r="U324"/>
          <cell r="V324"/>
          <cell r="W324"/>
          <cell r="X324"/>
          <cell r="Y324"/>
          <cell r="Z324"/>
          <cell r="AA324"/>
          <cell r="AB324"/>
          <cell r="AC324"/>
          <cell r="AD324"/>
          <cell r="AE324"/>
        </row>
        <row r="325">
          <cell r="G325"/>
          <cell r="H325"/>
          <cell r="I325"/>
          <cell r="J325"/>
          <cell r="K325"/>
          <cell r="L325"/>
          <cell r="M325"/>
          <cell r="N325"/>
          <cell r="O325"/>
          <cell r="P325"/>
          <cell r="Q325"/>
          <cell r="R325"/>
          <cell r="S325"/>
          <cell r="T325"/>
          <cell r="U325"/>
          <cell r="V325"/>
          <cell r="W325"/>
          <cell r="X325"/>
          <cell r="Y325"/>
          <cell r="Z325"/>
          <cell r="AA325"/>
          <cell r="AB325"/>
          <cell r="AC325"/>
          <cell r="AD325"/>
          <cell r="AE325"/>
        </row>
        <row r="326">
          <cell r="G326"/>
          <cell r="H326"/>
          <cell r="I326"/>
          <cell r="J326"/>
          <cell r="K326"/>
          <cell r="L326"/>
          <cell r="M326"/>
          <cell r="N326"/>
          <cell r="O326"/>
          <cell r="P326"/>
          <cell r="Q326"/>
          <cell r="R326"/>
          <cell r="S326"/>
          <cell r="T326"/>
          <cell r="U326"/>
          <cell r="V326"/>
          <cell r="W326"/>
          <cell r="X326"/>
          <cell r="Y326"/>
          <cell r="Z326"/>
          <cell r="AA326"/>
          <cell r="AB326"/>
          <cell r="AC326"/>
          <cell r="AD326"/>
          <cell r="AE326"/>
        </row>
        <row r="327">
          <cell r="G327"/>
          <cell r="H327"/>
          <cell r="I327"/>
          <cell r="J327"/>
          <cell r="K327"/>
          <cell r="L327"/>
          <cell r="M327"/>
          <cell r="N327"/>
          <cell r="O327"/>
          <cell r="P327"/>
          <cell r="Q327"/>
          <cell r="R327"/>
          <cell r="S327"/>
          <cell r="T327"/>
          <cell r="U327"/>
          <cell r="V327"/>
          <cell r="W327"/>
          <cell r="X327"/>
          <cell r="Y327"/>
          <cell r="Z327"/>
          <cell r="AA327"/>
          <cell r="AB327"/>
          <cell r="AC327"/>
          <cell r="AD327"/>
          <cell r="AE327"/>
        </row>
        <row r="328">
          <cell r="G328"/>
          <cell r="H328"/>
          <cell r="I328"/>
          <cell r="J328"/>
          <cell r="K328"/>
          <cell r="L328"/>
          <cell r="M328"/>
          <cell r="N328"/>
          <cell r="O328"/>
          <cell r="P328"/>
          <cell r="Q328"/>
          <cell r="R328"/>
          <cell r="S328"/>
          <cell r="T328"/>
          <cell r="U328"/>
          <cell r="V328"/>
          <cell r="W328"/>
          <cell r="X328"/>
          <cell r="Y328"/>
          <cell r="Z328"/>
          <cell r="AA328"/>
          <cell r="AB328"/>
          <cell r="AC328"/>
          <cell r="AD328"/>
          <cell r="AE328"/>
        </row>
        <row r="329">
          <cell r="G329"/>
          <cell r="H329"/>
          <cell r="I329"/>
          <cell r="J329"/>
          <cell r="K329"/>
          <cell r="L329"/>
          <cell r="M329"/>
          <cell r="N329"/>
          <cell r="O329"/>
          <cell r="P329"/>
          <cell r="Q329"/>
          <cell r="R329"/>
          <cell r="S329"/>
          <cell r="T329"/>
          <cell r="U329"/>
          <cell r="V329"/>
          <cell r="W329"/>
          <cell r="X329"/>
          <cell r="Y329"/>
          <cell r="Z329"/>
          <cell r="AA329"/>
          <cell r="AB329"/>
          <cell r="AC329"/>
          <cell r="AD329"/>
          <cell r="AE329"/>
        </row>
        <row r="330">
          <cell r="G330"/>
          <cell r="H330"/>
          <cell r="I330"/>
          <cell r="J330"/>
          <cell r="K330"/>
          <cell r="L330"/>
          <cell r="M330"/>
          <cell r="N330"/>
          <cell r="O330"/>
          <cell r="P330"/>
          <cell r="Q330"/>
          <cell r="R330"/>
          <cell r="S330"/>
          <cell r="T330"/>
          <cell r="U330"/>
          <cell r="V330"/>
          <cell r="W330"/>
          <cell r="X330"/>
          <cell r="Y330"/>
          <cell r="Z330"/>
          <cell r="AA330"/>
          <cell r="AB330"/>
          <cell r="AC330"/>
          <cell r="AD330"/>
          <cell r="AE330"/>
        </row>
        <row r="331">
          <cell r="G331"/>
          <cell r="H331"/>
          <cell r="I331"/>
          <cell r="J331"/>
          <cell r="K331"/>
          <cell r="L331"/>
          <cell r="M331"/>
          <cell r="N331"/>
          <cell r="O331"/>
          <cell r="P331"/>
          <cell r="Q331"/>
          <cell r="R331"/>
          <cell r="S331"/>
          <cell r="T331"/>
          <cell r="U331"/>
          <cell r="V331"/>
          <cell r="W331"/>
          <cell r="X331"/>
          <cell r="Y331"/>
          <cell r="Z331"/>
          <cell r="AA331"/>
          <cell r="AB331"/>
          <cell r="AC331"/>
          <cell r="AD331"/>
          <cell r="AE331"/>
        </row>
        <row r="332">
          <cell r="G332"/>
          <cell r="H332"/>
          <cell r="I332"/>
          <cell r="J332"/>
          <cell r="K332"/>
          <cell r="L332"/>
          <cell r="M332"/>
          <cell r="N332"/>
          <cell r="O332"/>
          <cell r="P332"/>
          <cell r="Q332"/>
          <cell r="R332"/>
          <cell r="S332"/>
          <cell r="T332"/>
          <cell r="U332"/>
          <cell r="V332"/>
          <cell r="W332"/>
          <cell r="X332"/>
          <cell r="Y332"/>
          <cell r="Z332"/>
          <cell r="AA332"/>
          <cell r="AB332"/>
          <cell r="AC332"/>
          <cell r="AD332"/>
          <cell r="AE332"/>
        </row>
        <row r="333">
          <cell r="G333"/>
          <cell r="H333"/>
          <cell r="I333"/>
          <cell r="J333"/>
          <cell r="K333"/>
          <cell r="L333"/>
          <cell r="M333"/>
          <cell r="N333"/>
          <cell r="O333"/>
          <cell r="P333"/>
          <cell r="Q333"/>
          <cell r="R333"/>
          <cell r="S333"/>
          <cell r="T333"/>
          <cell r="U333"/>
          <cell r="V333"/>
          <cell r="W333"/>
          <cell r="X333"/>
          <cell r="Y333"/>
          <cell r="Z333"/>
          <cell r="AA333"/>
          <cell r="AB333"/>
          <cell r="AC333"/>
          <cell r="AD333"/>
          <cell r="AE333"/>
        </row>
        <row r="334">
          <cell r="G334"/>
          <cell r="H334"/>
          <cell r="I334"/>
          <cell r="J334"/>
          <cell r="K334"/>
          <cell r="L334"/>
          <cell r="M334"/>
          <cell r="N334"/>
          <cell r="O334"/>
          <cell r="P334"/>
          <cell r="Q334"/>
          <cell r="R334"/>
          <cell r="S334"/>
          <cell r="T334"/>
          <cell r="U334"/>
          <cell r="V334"/>
          <cell r="W334"/>
          <cell r="X334"/>
          <cell r="Y334"/>
          <cell r="Z334"/>
          <cell r="AA334"/>
          <cell r="AB334"/>
          <cell r="AC334"/>
          <cell r="AD334"/>
          <cell r="AE334"/>
        </row>
        <row r="335">
          <cell r="G335"/>
          <cell r="H335"/>
          <cell r="I335"/>
          <cell r="J335"/>
          <cell r="K335"/>
          <cell r="L335"/>
          <cell r="M335"/>
          <cell r="N335"/>
          <cell r="O335"/>
          <cell r="P335"/>
          <cell r="Q335"/>
          <cell r="R335"/>
          <cell r="S335"/>
          <cell r="T335"/>
          <cell r="U335"/>
          <cell r="V335"/>
          <cell r="W335"/>
          <cell r="X335"/>
          <cell r="Y335"/>
          <cell r="Z335"/>
          <cell r="AA335"/>
          <cell r="AB335"/>
          <cell r="AC335"/>
          <cell r="AD335"/>
          <cell r="AE335"/>
        </row>
        <row r="336">
          <cell r="G336"/>
          <cell r="H336"/>
          <cell r="I336"/>
          <cell r="J336"/>
          <cell r="K336"/>
          <cell r="L336"/>
          <cell r="M336"/>
          <cell r="N336"/>
          <cell r="O336"/>
          <cell r="P336"/>
          <cell r="Q336"/>
          <cell r="R336"/>
          <cell r="S336"/>
          <cell r="T336"/>
          <cell r="U336"/>
          <cell r="V336"/>
          <cell r="W336"/>
          <cell r="X336"/>
          <cell r="Y336"/>
          <cell r="Z336"/>
          <cell r="AA336"/>
          <cell r="AB336"/>
          <cell r="AC336"/>
          <cell r="AD336"/>
          <cell r="AE336"/>
        </row>
        <row r="337">
          <cell r="G337"/>
          <cell r="H337"/>
          <cell r="I337"/>
          <cell r="J337"/>
          <cell r="K337"/>
          <cell r="L337"/>
          <cell r="M337"/>
          <cell r="N337"/>
          <cell r="O337"/>
          <cell r="P337"/>
          <cell r="Q337"/>
          <cell r="R337"/>
          <cell r="S337"/>
          <cell r="T337"/>
          <cell r="U337"/>
          <cell r="V337"/>
          <cell r="W337"/>
          <cell r="X337"/>
          <cell r="Y337"/>
          <cell r="Z337"/>
          <cell r="AA337"/>
          <cell r="AB337"/>
          <cell r="AC337"/>
          <cell r="AD337"/>
          <cell r="AE337"/>
        </row>
        <row r="338">
          <cell r="G338"/>
          <cell r="H338"/>
          <cell r="I338"/>
          <cell r="J338"/>
          <cell r="K338"/>
          <cell r="L338"/>
          <cell r="M338"/>
          <cell r="N338"/>
          <cell r="O338"/>
          <cell r="P338"/>
          <cell r="Q338"/>
          <cell r="R338"/>
          <cell r="S338"/>
          <cell r="T338"/>
          <cell r="U338"/>
          <cell r="V338"/>
          <cell r="W338"/>
          <cell r="X338"/>
          <cell r="Y338"/>
          <cell r="Z338"/>
          <cell r="AA338"/>
          <cell r="AB338"/>
          <cell r="AC338"/>
          <cell r="AD338"/>
          <cell r="AE338"/>
        </row>
        <row r="339">
          <cell r="G339"/>
          <cell r="H339"/>
          <cell r="I339"/>
          <cell r="J339"/>
          <cell r="K339"/>
          <cell r="L339"/>
          <cell r="M339"/>
          <cell r="N339"/>
          <cell r="O339"/>
          <cell r="P339"/>
          <cell r="Q339"/>
          <cell r="R339"/>
          <cell r="S339"/>
          <cell r="T339"/>
          <cell r="U339"/>
          <cell r="V339"/>
          <cell r="W339"/>
          <cell r="X339"/>
          <cell r="Y339"/>
          <cell r="Z339"/>
          <cell r="AA339"/>
          <cell r="AB339"/>
          <cell r="AC339"/>
          <cell r="AD339"/>
          <cell r="AE339"/>
        </row>
        <row r="340">
          <cell r="G340"/>
          <cell r="H340"/>
          <cell r="I340"/>
          <cell r="J340"/>
          <cell r="K340"/>
          <cell r="L340"/>
          <cell r="M340"/>
          <cell r="N340"/>
          <cell r="O340"/>
          <cell r="P340"/>
          <cell r="Q340"/>
          <cell r="R340"/>
          <cell r="S340"/>
          <cell r="T340"/>
          <cell r="U340"/>
          <cell r="V340"/>
          <cell r="W340"/>
          <cell r="X340"/>
          <cell r="Y340"/>
          <cell r="Z340"/>
          <cell r="AA340"/>
          <cell r="AB340"/>
          <cell r="AC340"/>
          <cell r="AD340"/>
          <cell r="AE340"/>
        </row>
        <row r="341">
          <cell r="G341"/>
          <cell r="H341"/>
          <cell r="I341"/>
          <cell r="J341"/>
          <cell r="K341"/>
          <cell r="L341"/>
          <cell r="M341"/>
          <cell r="N341"/>
          <cell r="O341"/>
          <cell r="P341"/>
          <cell r="Q341"/>
          <cell r="R341"/>
          <cell r="S341"/>
          <cell r="T341"/>
          <cell r="U341"/>
          <cell r="V341"/>
          <cell r="W341"/>
          <cell r="X341"/>
          <cell r="Y341"/>
          <cell r="Z341"/>
          <cell r="AA341"/>
          <cell r="AB341"/>
          <cell r="AC341"/>
          <cell r="AD341"/>
          <cell r="AE341"/>
        </row>
        <row r="342">
          <cell r="G342"/>
          <cell r="H342"/>
          <cell r="I342"/>
          <cell r="J342"/>
          <cell r="K342"/>
          <cell r="L342"/>
          <cell r="M342"/>
          <cell r="N342"/>
          <cell r="O342"/>
          <cell r="P342"/>
          <cell r="Q342"/>
          <cell r="R342"/>
          <cell r="S342"/>
          <cell r="T342"/>
          <cell r="U342"/>
          <cell r="V342"/>
          <cell r="W342"/>
          <cell r="X342"/>
          <cell r="Y342"/>
          <cell r="Z342"/>
          <cell r="AA342"/>
          <cell r="AB342"/>
          <cell r="AC342"/>
          <cell r="AD342"/>
          <cell r="AE342"/>
        </row>
        <row r="343">
          <cell r="G343"/>
          <cell r="H343"/>
          <cell r="I343"/>
          <cell r="J343"/>
          <cell r="K343"/>
          <cell r="L343"/>
          <cell r="M343"/>
          <cell r="N343"/>
          <cell r="O343"/>
          <cell r="P343"/>
          <cell r="Q343"/>
          <cell r="R343"/>
          <cell r="S343"/>
          <cell r="T343"/>
          <cell r="U343"/>
          <cell r="V343"/>
          <cell r="W343"/>
          <cell r="X343"/>
          <cell r="Y343"/>
          <cell r="Z343"/>
          <cell r="AA343"/>
          <cell r="AB343"/>
          <cell r="AC343"/>
          <cell r="AD343"/>
          <cell r="AE343"/>
        </row>
        <row r="344">
          <cell r="G344"/>
          <cell r="H344"/>
          <cell r="I344"/>
          <cell r="J344"/>
          <cell r="K344"/>
          <cell r="L344"/>
          <cell r="M344"/>
          <cell r="N344"/>
          <cell r="O344"/>
          <cell r="P344"/>
          <cell r="Q344"/>
          <cell r="R344"/>
          <cell r="S344"/>
          <cell r="T344"/>
          <cell r="U344"/>
          <cell r="V344"/>
          <cell r="W344"/>
          <cell r="X344"/>
          <cell r="Y344"/>
          <cell r="Z344"/>
          <cell r="AA344"/>
          <cell r="AB344"/>
          <cell r="AC344"/>
          <cell r="AD344"/>
          <cell r="AE344"/>
        </row>
        <row r="345">
          <cell r="G345"/>
          <cell r="H345"/>
          <cell r="I345"/>
          <cell r="J345"/>
          <cell r="K345"/>
          <cell r="L345"/>
          <cell r="M345"/>
          <cell r="N345"/>
          <cell r="O345"/>
          <cell r="P345"/>
          <cell r="Q345"/>
          <cell r="R345"/>
          <cell r="S345"/>
          <cell r="T345"/>
          <cell r="U345"/>
          <cell r="V345"/>
          <cell r="W345"/>
          <cell r="X345"/>
          <cell r="Y345"/>
          <cell r="Z345"/>
          <cell r="AA345"/>
          <cell r="AB345"/>
          <cell r="AC345"/>
          <cell r="AD345"/>
          <cell r="AE345"/>
        </row>
        <row r="346">
          <cell r="G346"/>
          <cell r="H346"/>
          <cell r="I346"/>
          <cell r="J346"/>
          <cell r="K346"/>
          <cell r="L346"/>
          <cell r="M346"/>
          <cell r="N346"/>
          <cell r="O346"/>
          <cell r="P346"/>
          <cell r="Q346"/>
          <cell r="R346"/>
          <cell r="S346"/>
          <cell r="T346"/>
          <cell r="U346"/>
          <cell r="V346"/>
          <cell r="W346"/>
          <cell r="X346"/>
          <cell r="Y346"/>
          <cell r="Z346"/>
          <cell r="AA346"/>
          <cell r="AB346"/>
          <cell r="AC346"/>
          <cell r="AD346"/>
          <cell r="AE346"/>
        </row>
        <row r="347">
          <cell r="G347"/>
          <cell r="H347"/>
          <cell r="I347"/>
          <cell r="J347"/>
          <cell r="K347"/>
          <cell r="L347"/>
          <cell r="M347"/>
          <cell r="N347"/>
          <cell r="O347"/>
          <cell r="P347"/>
          <cell r="Q347"/>
          <cell r="R347"/>
          <cell r="S347"/>
          <cell r="T347"/>
          <cell r="U347"/>
          <cell r="V347"/>
          <cell r="W347"/>
          <cell r="X347"/>
          <cell r="Y347"/>
          <cell r="Z347"/>
          <cell r="AA347"/>
          <cell r="AB347"/>
          <cell r="AC347"/>
          <cell r="AD347"/>
          <cell r="AE347"/>
        </row>
        <row r="348">
          <cell r="G348"/>
          <cell r="H348"/>
          <cell r="I348"/>
          <cell r="J348"/>
          <cell r="K348"/>
          <cell r="L348"/>
          <cell r="M348"/>
          <cell r="N348"/>
          <cell r="O348"/>
          <cell r="P348"/>
          <cell r="Q348"/>
          <cell r="R348"/>
          <cell r="S348"/>
          <cell r="T348"/>
          <cell r="U348"/>
          <cell r="V348"/>
          <cell r="W348"/>
          <cell r="X348"/>
          <cell r="Y348"/>
          <cell r="Z348"/>
          <cell r="AA348"/>
          <cell r="AB348"/>
          <cell r="AC348"/>
          <cell r="AD348"/>
          <cell r="AE348"/>
        </row>
        <row r="349">
          <cell r="G349"/>
          <cell r="H349"/>
          <cell r="I349"/>
          <cell r="J349"/>
          <cell r="K349"/>
          <cell r="L349"/>
          <cell r="M349"/>
          <cell r="N349"/>
          <cell r="O349"/>
          <cell r="P349"/>
          <cell r="Q349"/>
          <cell r="R349"/>
          <cell r="S349"/>
          <cell r="T349"/>
          <cell r="U349"/>
          <cell r="V349"/>
          <cell r="W349"/>
          <cell r="X349"/>
          <cell r="Y349"/>
          <cell r="Z349"/>
          <cell r="AA349"/>
          <cell r="AB349"/>
          <cell r="AC349"/>
          <cell r="AD349"/>
          <cell r="AE349"/>
        </row>
        <row r="350">
          <cell r="G350"/>
          <cell r="H350"/>
          <cell r="I350"/>
          <cell r="J350"/>
          <cell r="K350"/>
          <cell r="L350"/>
          <cell r="M350"/>
          <cell r="N350"/>
          <cell r="O350"/>
          <cell r="P350"/>
          <cell r="Q350"/>
          <cell r="R350"/>
          <cell r="S350"/>
          <cell r="T350"/>
          <cell r="U350"/>
          <cell r="V350"/>
          <cell r="W350"/>
          <cell r="X350"/>
          <cell r="Y350"/>
          <cell r="Z350"/>
          <cell r="AA350"/>
          <cell r="AB350"/>
          <cell r="AC350"/>
          <cell r="AD350"/>
          <cell r="AE350"/>
        </row>
        <row r="351">
          <cell r="G351"/>
          <cell r="H351"/>
          <cell r="I351"/>
          <cell r="J351"/>
          <cell r="K351"/>
          <cell r="L351"/>
          <cell r="M351"/>
          <cell r="N351"/>
          <cell r="O351"/>
          <cell r="P351"/>
          <cell r="Q351"/>
          <cell r="R351"/>
          <cell r="S351"/>
          <cell r="T351"/>
          <cell r="U351"/>
          <cell r="V351"/>
          <cell r="W351"/>
          <cell r="X351"/>
          <cell r="Y351"/>
          <cell r="Z351"/>
          <cell r="AA351"/>
          <cell r="AB351"/>
          <cell r="AC351"/>
          <cell r="AD351"/>
          <cell r="AE351"/>
        </row>
        <row r="352">
          <cell r="G352"/>
          <cell r="H352"/>
          <cell r="I352"/>
          <cell r="J352"/>
          <cell r="K352"/>
          <cell r="L352"/>
          <cell r="M352"/>
          <cell r="N352"/>
          <cell r="O352"/>
          <cell r="P352"/>
          <cell r="Q352"/>
          <cell r="R352"/>
          <cell r="S352"/>
          <cell r="T352"/>
          <cell r="U352"/>
          <cell r="V352"/>
          <cell r="W352"/>
          <cell r="X352"/>
          <cell r="Y352"/>
          <cell r="Z352"/>
          <cell r="AA352"/>
          <cell r="AB352"/>
          <cell r="AC352"/>
          <cell r="AD352"/>
          <cell r="AE352"/>
        </row>
        <row r="353">
          <cell r="G353"/>
          <cell r="H353"/>
          <cell r="I353"/>
          <cell r="J353"/>
          <cell r="K353"/>
          <cell r="L353"/>
          <cell r="M353"/>
          <cell r="N353"/>
          <cell r="O353"/>
          <cell r="P353"/>
          <cell r="Q353"/>
          <cell r="R353"/>
          <cell r="S353"/>
          <cell r="T353"/>
          <cell r="U353"/>
          <cell r="V353"/>
          <cell r="W353"/>
          <cell r="X353"/>
          <cell r="Y353"/>
          <cell r="Z353"/>
          <cell r="AA353"/>
          <cell r="AB353"/>
          <cell r="AC353"/>
          <cell r="AD353"/>
          <cell r="AE353"/>
        </row>
        <row r="354">
          <cell r="G354"/>
          <cell r="H354"/>
          <cell r="I354"/>
          <cell r="J354"/>
          <cell r="K354"/>
          <cell r="L354"/>
          <cell r="M354"/>
          <cell r="N354"/>
          <cell r="O354"/>
          <cell r="P354"/>
          <cell r="Q354"/>
          <cell r="R354"/>
          <cell r="S354"/>
          <cell r="T354"/>
          <cell r="U354"/>
          <cell r="V354"/>
          <cell r="W354"/>
          <cell r="X354"/>
          <cell r="Y354"/>
          <cell r="Z354"/>
          <cell r="AA354"/>
          <cell r="AB354"/>
          <cell r="AC354"/>
          <cell r="AD354"/>
          <cell r="AE354"/>
        </row>
        <row r="355">
          <cell r="G355"/>
          <cell r="H355"/>
          <cell r="I355"/>
          <cell r="J355"/>
          <cell r="K355"/>
          <cell r="L355"/>
          <cell r="M355"/>
          <cell r="N355"/>
          <cell r="O355"/>
          <cell r="P355"/>
          <cell r="Q355"/>
          <cell r="R355"/>
          <cell r="S355"/>
          <cell r="T355"/>
          <cell r="U355"/>
          <cell r="V355"/>
          <cell r="W355"/>
          <cell r="X355"/>
          <cell r="Y355"/>
          <cell r="Z355"/>
          <cell r="AA355"/>
          <cell r="AB355"/>
          <cell r="AC355"/>
          <cell r="AD355"/>
          <cell r="AE355"/>
        </row>
        <row r="356">
          <cell r="G356"/>
          <cell r="H356"/>
          <cell r="I356"/>
          <cell r="J356"/>
          <cell r="K356"/>
          <cell r="L356"/>
          <cell r="M356"/>
          <cell r="N356"/>
          <cell r="O356"/>
          <cell r="P356"/>
          <cell r="Q356"/>
          <cell r="R356"/>
          <cell r="S356"/>
          <cell r="T356"/>
          <cell r="U356"/>
          <cell r="V356"/>
          <cell r="W356"/>
          <cell r="X356"/>
          <cell r="Y356"/>
          <cell r="Z356"/>
          <cell r="AA356"/>
          <cell r="AB356"/>
          <cell r="AC356"/>
          <cell r="AD356"/>
          <cell r="AE356"/>
        </row>
        <row r="357">
          <cell r="G357"/>
          <cell r="H357"/>
          <cell r="I357"/>
          <cell r="J357"/>
          <cell r="K357"/>
          <cell r="L357"/>
          <cell r="M357"/>
          <cell r="N357"/>
          <cell r="O357"/>
          <cell r="P357"/>
          <cell r="Q357"/>
          <cell r="R357"/>
          <cell r="S357"/>
          <cell r="T357"/>
          <cell r="U357"/>
          <cell r="V357"/>
          <cell r="W357"/>
          <cell r="X357"/>
          <cell r="Y357"/>
          <cell r="Z357"/>
          <cell r="AA357"/>
          <cell r="AB357"/>
          <cell r="AC357"/>
          <cell r="AD357"/>
          <cell r="AE357"/>
        </row>
        <row r="358">
          <cell r="G358"/>
          <cell r="H358"/>
          <cell r="I358"/>
          <cell r="J358"/>
          <cell r="K358"/>
          <cell r="L358"/>
          <cell r="M358"/>
          <cell r="N358"/>
          <cell r="O358"/>
          <cell r="P358"/>
          <cell r="Q358"/>
          <cell r="R358"/>
          <cell r="S358"/>
          <cell r="T358"/>
          <cell r="U358"/>
          <cell r="V358"/>
          <cell r="W358"/>
          <cell r="X358"/>
          <cell r="Y358"/>
          <cell r="Z358"/>
          <cell r="AA358"/>
          <cell r="AB358"/>
          <cell r="AC358"/>
          <cell r="AD358"/>
          <cell r="AE358"/>
        </row>
        <row r="359">
          <cell r="G359"/>
          <cell r="H359"/>
          <cell r="I359"/>
          <cell r="J359"/>
          <cell r="K359"/>
          <cell r="L359"/>
          <cell r="M359"/>
          <cell r="N359"/>
          <cell r="O359"/>
          <cell r="P359"/>
          <cell r="Q359"/>
          <cell r="R359"/>
          <cell r="S359"/>
          <cell r="T359"/>
          <cell r="U359"/>
          <cell r="V359"/>
          <cell r="W359"/>
          <cell r="X359"/>
          <cell r="Y359"/>
          <cell r="Z359"/>
          <cell r="AA359"/>
          <cell r="AB359"/>
          <cell r="AC359"/>
          <cell r="AD359"/>
          <cell r="AE359"/>
        </row>
        <row r="360">
          <cell r="G360"/>
          <cell r="H360"/>
          <cell r="I360"/>
          <cell r="J360"/>
          <cell r="K360"/>
          <cell r="L360"/>
          <cell r="M360"/>
          <cell r="N360"/>
          <cell r="O360"/>
          <cell r="P360"/>
          <cell r="Q360"/>
          <cell r="R360"/>
          <cell r="S360"/>
          <cell r="T360"/>
          <cell r="U360"/>
          <cell r="V360"/>
          <cell r="W360"/>
          <cell r="X360"/>
          <cell r="Y360"/>
          <cell r="Z360"/>
          <cell r="AA360"/>
          <cell r="AB360"/>
          <cell r="AC360"/>
          <cell r="AD360"/>
          <cell r="AE360"/>
        </row>
        <row r="361">
          <cell r="G361"/>
          <cell r="H361"/>
          <cell r="I361"/>
          <cell r="J361"/>
          <cell r="K361"/>
          <cell r="L361"/>
          <cell r="M361"/>
          <cell r="N361"/>
          <cell r="O361"/>
          <cell r="P361"/>
          <cell r="Q361"/>
          <cell r="R361"/>
          <cell r="S361"/>
          <cell r="T361"/>
          <cell r="U361"/>
          <cell r="V361"/>
          <cell r="W361"/>
          <cell r="X361"/>
          <cell r="Y361"/>
          <cell r="Z361"/>
          <cell r="AA361"/>
          <cell r="AB361"/>
          <cell r="AC361"/>
          <cell r="AD361"/>
          <cell r="AE361"/>
        </row>
        <row r="362">
          <cell r="G362"/>
          <cell r="H362"/>
          <cell r="I362"/>
          <cell r="J362"/>
          <cell r="K362"/>
          <cell r="L362"/>
          <cell r="M362"/>
          <cell r="N362"/>
          <cell r="O362"/>
          <cell r="P362"/>
          <cell r="Q362"/>
          <cell r="R362"/>
          <cell r="S362"/>
          <cell r="T362"/>
          <cell r="U362"/>
          <cell r="V362"/>
          <cell r="W362"/>
          <cell r="X362"/>
          <cell r="Y362"/>
          <cell r="Z362"/>
          <cell r="AA362"/>
          <cell r="AB362"/>
          <cell r="AC362"/>
          <cell r="AD362"/>
          <cell r="AE362"/>
        </row>
        <row r="363">
          <cell r="G363"/>
          <cell r="H363"/>
          <cell r="I363"/>
          <cell r="J363"/>
          <cell r="K363"/>
          <cell r="L363"/>
          <cell r="M363"/>
          <cell r="N363"/>
          <cell r="O363"/>
          <cell r="P363"/>
          <cell r="Q363"/>
          <cell r="R363"/>
          <cell r="S363"/>
          <cell r="T363"/>
          <cell r="U363"/>
          <cell r="V363"/>
          <cell r="W363"/>
          <cell r="X363"/>
          <cell r="Y363"/>
          <cell r="Z363"/>
          <cell r="AA363"/>
          <cell r="AB363"/>
          <cell r="AC363"/>
          <cell r="AD363"/>
          <cell r="AE363"/>
        </row>
        <row r="364">
          <cell r="G364"/>
          <cell r="H364"/>
          <cell r="I364"/>
          <cell r="J364"/>
          <cell r="K364"/>
          <cell r="L364"/>
          <cell r="M364"/>
          <cell r="N364"/>
          <cell r="O364"/>
          <cell r="P364"/>
          <cell r="Q364"/>
          <cell r="R364"/>
          <cell r="S364"/>
          <cell r="T364"/>
          <cell r="U364"/>
          <cell r="V364"/>
          <cell r="W364"/>
          <cell r="X364"/>
          <cell r="Y364"/>
          <cell r="Z364"/>
          <cell r="AA364"/>
          <cell r="AB364"/>
          <cell r="AC364"/>
          <cell r="AD364"/>
          <cell r="AE364"/>
        </row>
        <row r="365">
          <cell r="G365"/>
          <cell r="H365"/>
          <cell r="I365"/>
          <cell r="J365"/>
          <cell r="K365"/>
          <cell r="L365"/>
          <cell r="M365"/>
          <cell r="N365"/>
          <cell r="O365"/>
          <cell r="P365"/>
          <cell r="Q365"/>
          <cell r="R365"/>
          <cell r="S365"/>
          <cell r="T365"/>
          <cell r="U365"/>
          <cell r="V365"/>
          <cell r="W365"/>
          <cell r="X365"/>
          <cell r="Y365"/>
          <cell r="Z365"/>
          <cell r="AA365"/>
          <cell r="AB365"/>
          <cell r="AC365"/>
          <cell r="AD365"/>
          <cell r="AE365"/>
        </row>
        <row r="366">
          <cell r="G366"/>
          <cell r="H366"/>
          <cell r="I366"/>
          <cell r="J366"/>
          <cell r="K366"/>
          <cell r="L366"/>
          <cell r="M366"/>
          <cell r="N366"/>
          <cell r="O366"/>
          <cell r="P366"/>
          <cell r="Q366"/>
          <cell r="R366"/>
          <cell r="S366"/>
          <cell r="T366"/>
          <cell r="U366"/>
          <cell r="V366"/>
          <cell r="W366"/>
          <cell r="X366"/>
          <cell r="Y366"/>
          <cell r="Z366"/>
          <cell r="AA366"/>
          <cell r="AB366"/>
          <cell r="AC366"/>
          <cell r="AD366"/>
          <cell r="AE366"/>
        </row>
        <row r="367">
          <cell r="G367"/>
          <cell r="H367"/>
          <cell r="I367"/>
          <cell r="J367"/>
          <cell r="K367"/>
          <cell r="L367"/>
          <cell r="M367"/>
          <cell r="N367"/>
          <cell r="O367"/>
          <cell r="P367"/>
          <cell r="Q367"/>
          <cell r="R367"/>
          <cell r="S367"/>
          <cell r="T367"/>
          <cell r="U367"/>
          <cell r="V367"/>
          <cell r="W367"/>
          <cell r="X367"/>
          <cell r="Y367"/>
          <cell r="Z367"/>
          <cell r="AA367"/>
          <cell r="AB367"/>
          <cell r="AC367"/>
          <cell r="AD367"/>
          <cell r="AE367"/>
        </row>
        <row r="368">
          <cell r="G368"/>
          <cell r="H368"/>
          <cell r="I368"/>
          <cell r="J368"/>
          <cell r="K368"/>
          <cell r="L368"/>
          <cell r="M368"/>
          <cell r="N368"/>
          <cell r="O368"/>
          <cell r="P368"/>
          <cell r="Q368"/>
          <cell r="R368"/>
          <cell r="S368"/>
          <cell r="T368"/>
          <cell r="U368"/>
          <cell r="V368"/>
          <cell r="W368"/>
          <cell r="X368"/>
          <cell r="Y368"/>
          <cell r="Z368"/>
          <cell r="AA368"/>
          <cell r="AB368"/>
          <cell r="AC368"/>
          <cell r="AD368"/>
          <cell r="AE368"/>
        </row>
        <row r="369">
          <cell r="G369"/>
          <cell r="H369"/>
          <cell r="I369"/>
          <cell r="J369"/>
          <cell r="K369"/>
          <cell r="L369"/>
          <cell r="M369"/>
          <cell r="N369"/>
          <cell r="O369"/>
          <cell r="P369"/>
          <cell r="Q369"/>
          <cell r="R369"/>
          <cell r="S369"/>
          <cell r="T369"/>
          <cell r="U369"/>
          <cell r="V369"/>
          <cell r="W369"/>
          <cell r="X369"/>
          <cell r="Y369"/>
          <cell r="Z369"/>
          <cell r="AA369"/>
          <cell r="AB369"/>
          <cell r="AC369"/>
          <cell r="AD369"/>
          <cell r="AE369"/>
        </row>
        <row r="370">
          <cell r="G370"/>
          <cell r="H370"/>
          <cell r="I370"/>
          <cell r="J370"/>
          <cell r="K370"/>
          <cell r="L370"/>
          <cell r="M370"/>
          <cell r="N370"/>
          <cell r="O370"/>
          <cell r="P370"/>
          <cell r="Q370"/>
          <cell r="R370"/>
          <cell r="S370"/>
          <cell r="T370"/>
          <cell r="U370"/>
          <cell r="V370"/>
          <cell r="W370"/>
          <cell r="X370"/>
          <cell r="Y370"/>
          <cell r="Z370"/>
          <cell r="AA370"/>
          <cell r="AB370"/>
          <cell r="AC370"/>
          <cell r="AD370"/>
          <cell r="AE370"/>
        </row>
        <row r="371">
          <cell r="G371"/>
          <cell r="H371"/>
          <cell r="I371"/>
          <cell r="J371"/>
          <cell r="K371"/>
          <cell r="L371"/>
          <cell r="M371"/>
          <cell r="N371"/>
          <cell r="O371"/>
          <cell r="P371"/>
          <cell r="Q371"/>
          <cell r="R371"/>
          <cell r="S371"/>
          <cell r="T371"/>
          <cell r="U371"/>
          <cell r="V371"/>
          <cell r="W371"/>
          <cell r="X371"/>
          <cell r="Y371"/>
          <cell r="Z371"/>
          <cell r="AA371"/>
          <cell r="AB371"/>
          <cell r="AC371"/>
          <cell r="AD371"/>
          <cell r="AE371"/>
        </row>
        <row r="372">
          <cell r="G372"/>
          <cell r="H372"/>
          <cell r="I372"/>
          <cell r="J372"/>
          <cell r="K372"/>
          <cell r="L372"/>
          <cell r="M372"/>
          <cell r="N372"/>
          <cell r="O372"/>
          <cell r="P372"/>
          <cell r="Q372"/>
          <cell r="R372"/>
          <cell r="S372"/>
          <cell r="T372"/>
          <cell r="U372"/>
          <cell r="V372"/>
          <cell r="W372"/>
          <cell r="X372"/>
          <cell r="Y372"/>
          <cell r="Z372"/>
          <cell r="AA372"/>
          <cell r="AB372"/>
          <cell r="AC372"/>
          <cell r="AD372"/>
          <cell r="AE372"/>
        </row>
        <row r="373">
          <cell r="G373"/>
          <cell r="H373"/>
          <cell r="I373"/>
          <cell r="J373"/>
          <cell r="K373"/>
          <cell r="L373"/>
          <cell r="M373"/>
          <cell r="N373"/>
          <cell r="O373"/>
          <cell r="P373"/>
          <cell r="Q373"/>
          <cell r="R373"/>
          <cell r="S373"/>
          <cell r="T373"/>
          <cell r="U373"/>
          <cell r="V373"/>
          <cell r="W373"/>
          <cell r="X373"/>
          <cell r="Y373"/>
          <cell r="Z373"/>
          <cell r="AA373"/>
          <cell r="AB373"/>
          <cell r="AC373"/>
          <cell r="AD373"/>
          <cell r="AE373"/>
        </row>
        <row r="374">
          <cell r="G374"/>
          <cell r="H374"/>
          <cell r="I374"/>
          <cell r="J374"/>
          <cell r="K374"/>
          <cell r="L374"/>
          <cell r="M374"/>
          <cell r="N374"/>
          <cell r="O374"/>
          <cell r="P374"/>
          <cell r="Q374"/>
          <cell r="R374"/>
          <cell r="S374"/>
          <cell r="T374"/>
          <cell r="U374"/>
          <cell r="V374"/>
          <cell r="W374"/>
          <cell r="X374"/>
          <cell r="Y374"/>
          <cell r="Z374"/>
          <cell r="AA374"/>
          <cell r="AB374"/>
          <cell r="AC374"/>
          <cell r="AD374"/>
          <cell r="AE374"/>
        </row>
        <row r="375">
          <cell r="G375"/>
          <cell r="H375"/>
          <cell r="I375"/>
          <cell r="J375"/>
          <cell r="K375"/>
          <cell r="L375"/>
          <cell r="M375"/>
          <cell r="N375"/>
          <cell r="O375"/>
          <cell r="P375"/>
          <cell r="Q375"/>
          <cell r="R375"/>
          <cell r="S375"/>
          <cell r="T375"/>
          <cell r="U375"/>
          <cell r="V375"/>
          <cell r="W375"/>
          <cell r="X375"/>
          <cell r="Y375"/>
          <cell r="Z375"/>
          <cell r="AA375"/>
          <cell r="AB375"/>
          <cell r="AC375"/>
          <cell r="AD375"/>
          <cell r="AE375"/>
        </row>
        <row r="376">
          <cell r="G376"/>
          <cell r="H376"/>
          <cell r="I376"/>
          <cell r="J376"/>
          <cell r="K376"/>
          <cell r="L376"/>
          <cell r="M376"/>
          <cell r="N376"/>
          <cell r="O376"/>
          <cell r="P376"/>
          <cell r="Q376"/>
          <cell r="R376"/>
          <cell r="S376"/>
          <cell r="T376"/>
          <cell r="U376"/>
          <cell r="V376"/>
          <cell r="W376"/>
          <cell r="X376"/>
          <cell r="Y376"/>
          <cell r="Z376"/>
          <cell r="AA376"/>
          <cell r="AB376"/>
          <cell r="AC376"/>
          <cell r="AD376"/>
          <cell r="AE376"/>
        </row>
        <row r="377">
          <cell r="G377"/>
          <cell r="H377"/>
          <cell r="I377"/>
          <cell r="J377"/>
          <cell r="K377"/>
          <cell r="L377"/>
          <cell r="M377"/>
          <cell r="N377"/>
          <cell r="O377"/>
          <cell r="P377"/>
          <cell r="Q377"/>
          <cell r="R377"/>
          <cell r="S377"/>
          <cell r="T377"/>
          <cell r="U377"/>
          <cell r="V377"/>
          <cell r="W377"/>
          <cell r="X377"/>
          <cell r="Y377"/>
          <cell r="Z377"/>
          <cell r="AA377"/>
          <cell r="AB377"/>
          <cell r="AC377"/>
          <cell r="AD377"/>
          <cell r="AE377"/>
        </row>
        <row r="378">
          <cell r="G378"/>
          <cell r="H378"/>
          <cell r="I378"/>
          <cell r="J378"/>
          <cell r="K378"/>
          <cell r="L378"/>
          <cell r="M378"/>
          <cell r="N378"/>
          <cell r="O378"/>
          <cell r="P378"/>
          <cell r="Q378"/>
          <cell r="R378"/>
          <cell r="S378"/>
          <cell r="T378"/>
          <cell r="U378"/>
          <cell r="V378"/>
          <cell r="W378"/>
          <cell r="X378"/>
          <cell r="Y378"/>
          <cell r="Z378"/>
          <cell r="AA378"/>
          <cell r="AB378"/>
          <cell r="AC378"/>
          <cell r="AD378"/>
          <cell r="AE378"/>
        </row>
        <row r="379">
          <cell r="G379"/>
          <cell r="H379"/>
          <cell r="I379"/>
          <cell r="J379"/>
          <cell r="K379"/>
          <cell r="L379"/>
          <cell r="M379"/>
          <cell r="N379"/>
          <cell r="O379"/>
          <cell r="P379"/>
          <cell r="Q379"/>
          <cell r="R379"/>
          <cell r="S379"/>
          <cell r="T379"/>
          <cell r="U379"/>
          <cell r="V379"/>
          <cell r="W379"/>
          <cell r="X379"/>
          <cell r="Y379"/>
          <cell r="Z379"/>
          <cell r="AA379"/>
          <cell r="AB379"/>
          <cell r="AC379"/>
          <cell r="AD379"/>
          <cell r="AE379"/>
        </row>
        <row r="380">
          <cell r="G380"/>
          <cell r="H380"/>
          <cell r="I380"/>
          <cell r="J380"/>
          <cell r="K380"/>
          <cell r="L380"/>
          <cell r="M380"/>
          <cell r="N380"/>
          <cell r="O380"/>
          <cell r="P380"/>
          <cell r="Q380"/>
          <cell r="R380"/>
          <cell r="S380"/>
          <cell r="T380"/>
          <cell r="U380"/>
          <cell r="V380"/>
          <cell r="W380"/>
          <cell r="X380"/>
          <cell r="Y380"/>
          <cell r="Z380"/>
          <cell r="AA380"/>
          <cell r="AB380"/>
          <cell r="AC380"/>
          <cell r="AD380"/>
          <cell r="AE380"/>
        </row>
        <row r="381">
          <cell r="G381"/>
          <cell r="H381"/>
          <cell r="I381"/>
          <cell r="J381"/>
          <cell r="K381"/>
          <cell r="L381"/>
          <cell r="M381"/>
          <cell r="N381"/>
          <cell r="O381"/>
          <cell r="P381"/>
          <cell r="Q381"/>
          <cell r="R381"/>
          <cell r="S381"/>
          <cell r="T381"/>
          <cell r="U381"/>
          <cell r="V381"/>
          <cell r="W381"/>
          <cell r="X381"/>
          <cell r="Y381"/>
          <cell r="Z381"/>
          <cell r="AA381"/>
          <cell r="AB381"/>
          <cell r="AC381"/>
          <cell r="AD381"/>
          <cell r="AE381"/>
        </row>
        <row r="382">
          <cell r="G382"/>
          <cell r="H382"/>
          <cell r="I382"/>
          <cell r="J382"/>
          <cell r="K382"/>
          <cell r="L382"/>
          <cell r="M382"/>
          <cell r="N382"/>
          <cell r="O382"/>
          <cell r="P382"/>
          <cell r="Q382"/>
          <cell r="R382"/>
          <cell r="S382"/>
          <cell r="T382"/>
          <cell r="U382"/>
          <cell r="V382"/>
          <cell r="W382"/>
          <cell r="X382"/>
          <cell r="Y382"/>
          <cell r="Z382"/>
          <cell r="AA382"/>
          <cell r="AB382"/>
          <cell r="AC382"/>
          <cell r="AD382"/>
          <cell r="AE382"/>
        </row>
        <row r="383">
          <cell r="G383"/>
          <cell r="H383"/>
          <cell r="I383"/>
          <cell r="J383"/>
          <cell r="K383"/>
          <cell r="L383"/>
          <cell r="M383"/>
          <cell r="N383"/>
          <cell r="O383"/>
          <cell r="P383"/>
          <cell r="Q383"/>
          <cell r="R383"/>
          <cell r="S383"/>
          <cell r="T383"/>
          <cell r="U383"/>
          <cell r="V383"/>
          <cell r="W383"/>
          <cell r="X383"/>
          <cell r="Y383"/>
          <cell r="Z383"/>
          <cell r="AA383"/>
          <cell r="AB383"/>
          <cell r="AC383"/>
          <cell r="AD383"/>
          <cell r="AE383"/>
        </row>
        <row r="384">
          <cell r="G384"/>
          <cell r="H384"/>
          <cell r="I384"/>
          <cell r="J384"/>
          <cell r="K384"/>
          <cell r="L384"/>
          <cell r="M384"/>
          <cell r="N384"/>
          <cell r="O384"/>
          <cell r="P384"/>
          <cell r="Q384"/>
          <cell r="R384"/>
          <cell r="S384"/>
          <cell r="T384"/>
          <cell r="U384"/>
          <cell r="V384"/>
          <cell r="W384"/>
          <cell r="X384"/>
          <cell r="Y384"/>
          <cell r="Z384"/>
          <cell r="AA384"/>
          <cell r="AB384"/>
          <cell r="AC384"/>
          <cell r="AD384"/>
          <cell r="AE384"/>
        </row>
        <row r="385">
          <cell r="G385"/>
          <cell r="H385"/>
          <cell r="I385"/>
          <cell r="J385"/>
          <cell r="K385"/>
          <cell r="L385"/>
          <cell r="M385"/>
          <cell r="N385"/>
          <cell r="O385"/>
          <cell r="P385"/>
          <cell r="Q385"/>
          <cell r="R385"/>
          <cell r="S385"/>
          <cell r="T385"/>
          <cell r="U385"/>
          <cell r="V385"/>
          <cell r="W385"/>
          <cell r="X385"/>
          <cell r="Y385"/>
          <cell r="Z385"/>
          <cell r="AA385"/>
          <cell r="AB385"/>
          <cell r="AC385"/>
          <cell r="AD385"/>
          <cell r="AE385"/>
        </row>
        <row r="386">
          <cell r="G386"/>
          <cell r="H386"/>
          <cell r="I386"/>
          <cell r="J386"/>
          <cell r="K386"/>
          <cell r="L386"/>
          <cell r="M386"/>
          <cell r="N386"/>
          <cell r="O386"/>
          <cell r="P386"/>
          <cell r="Q386"/>
          <cell r="R386"/>
          <cell r="S386"/>
          <cell r="T386"/>
          <cell r="U386"/>
          <cell r="V386"/>
          <cell r="W386"/>
          <cell r="X386"/>
          <cell r="Y386"/>
          <cell r="Z386"/>
          <cell r="AA386"/>
          <cell r="AB386"/>
          <cell r="AC386"/>
          <cell r="AD386"/>
          <cell r="AE386"/>
        </row>
        <row r="387">
          <cell r="G387"/>
          <cell r="H387"/>
          <cell r="I387"/>
          <cell r="J387"/>
          <cell r="K387"/>
          <cell r="L387"/>
          <cell r="M387"/>
          <cell r="N387"/>
          <cell r="O387"/>
          <cell r="P387"/>
          <cell r="Q387"/>
          <cell r="R387"/>
          <cell r="S387"/>
          <cell r="T387"/>
          <cell r="U387"/>
          <cell r="V387"/>
          <cell r="W387"/>
          <cell r="X387"/>
          <cell r="Y387"/>
          <cell r="Z387"/>
          <cell r="AA387"/>
          <cell r="AB387"/>
          <cell r="AC387"/>
          <cell r="AD387"/>
          <cell r="AE387"/>
        </row>
        <row r="388">
          <cell r="G388"/>
          <cell r="H388"/>
          <cell r="I388"/>
          <cell r="J388"/>
          <cell r="K388"/>
          <cell r="L388"/>
          <cell r="M388"/>
          <cell r="N388"/>
          <cell r="O388"/>
          <cell r="P388"/>
          <cell r="Q388"/>
          <cell r="R388"/>
          <cell r="S388"/>
          <cell r="T388"/>
          <cell r="U388"/>
          <cell r="V388"/>
          <cell r="W388"/>
          <cell r="X388"/>
          <cell r="Y388"/>
          <cell r="Z388"/>
          <cell r="AA388"/>
          <cell r="AB388"/>
          <cell r="AC388"/>
          <cell r="AD388"/>
          <cell r="AE388"/>
        </row>
        <row r="389">
          <cell r="G389"/>
          <cell r="H389"/>
          <cell r="I389"/>
          <cell r="J389"/>
          <cell r="K389"/>
          <cell r="L389"/>
          <cell r="M389"/>
          <cell r="N389"/>
          <cell r="O389"/>
          <cell r="P389"/>
          <cell r="Q389"/>
          <cell r="R389"/>
          <cell r="S389"/>
          <cell r="T389"/>
          <cell r="U389"/>
          <cell r="V389"/>
          <cell r="W389"/>
          <cell r="X389"/>
          <cell r="Y389"/>
          <cell r="Z389"/>
          <cell r="AA389"/>
          <cell r="AB389"/>
          <cell r="AC389"/>
          <cell r="AD389"/>
          <cell r="AE389"/>
        </row>
        <row r="390">
          <cell r="G390"/>
          <cell r="H390"/>
          <cell r="I390"/>
          <cell r="J390"/>
          <cell r="K390"/>
          <cell r="L390"/>
          <cell r="M390"/>
          <cell r="N390"/>
          <cell r="O390"/>
          <cell r="P390"/>
          <cell r="Q390"/>
          <cell r="R390"/>
          <cell r="S390"/>
          <cell r="T390"/>
          <cell r="U390"/>
          <cell r="V390"/>
          <cell r="W390"/>
          <cell r="X390"/>
          <cell r="Y390"/>
          <cell r="Z390"/>
          <cell r="AA390"/>
          <cell r="AB390"/>
          <cell r="AC390"/>
          <cell r="AD390"/>
          <cell r="AE390"/>
        </row>
        <row r="391">
          <cell r="G391"/>
          <cell r="H391"/>
          <cell r="I391"/>
          <cell r="J391"/>
          <cell r="K391"/>
          <cell r="L391"/>
          <cell r="M391"/>
          <cell r="N391"/>
          <cell r="O391"/>
          <cell r="P391"/>
          <cell r="Q391"/>
          <cell r="R391"/>
          <cell r="S391"/>
          <cell r="T391"/>
          <cell r="U391"/>
          <cell r="V391"/>
          <cell r="W391"/>
          <cell r="X391"/>
          <cell r="Y391"/>
          <cell r="Z391"/>
          <cell r="AA391"/>
          <cell r="AB391"/>
          <cell r="AC391"/>
          <cell r="AD391"/>
          <cell r="AE391"/>
        </row>
        <row r="392">
          <cell r="G392"/>
          <cell r="H392"/>
          <cell r="I392"/>
          <cell r="J392"/>
          <cell r="K392"/>
          <cell r="L392"/>
          <cell r="M392"/>
          <cell r="N392"/>
          <cell r="O392"/>
          <cell r="P392"/>
          <cell r="Q392"/>
          <cell r="R392"/>
          <cell r="S392"/>
          <cell r="T392"/>
          <cell r="U392"/>
          <cell r="V392"/>
          <cell r="W392"/>
          <cell r="X392"/>
          <cell r="Y392"/>
          <cell r="Z392"/>
          <cell r="AA392"/>
          <cell r="AB392"/>
          <cell r="AC392"/>
          <cell r="AD392"/>
          <cell r="AE392"/>
        </row>
        <row r="393">
          <cell r="G393"/>
          <cell r="H393"/>
          <cell r="I393"/>
          <cell r="J393"/>
          <cell r="K393"/>
          <cell r="L393"/>
          <cell r="M393"/>
          <cell r="N393"/>
          <cell r="O393"/>
          <cell r="P393"/>
          <cell r="Q393"/>
          <cell r="R393"/>
          <cell r="S393"/>
          <cell r="T393"/>
          <cell r="U393"/>
          <cell r="V393"/>
          <cell r="W393"/>
          <cell r="X393"/>
          <cell r="Y393"/>
          <cell r="Z393"/>
          <cell r="AA393"/>
          <cell r="AB393"/>
          <cell r="AC393"/>
          <cell r="AD393"/>
          <cell r="AE393"/>
        </row>
        <row r="394">
          <cell r="G394"/>
          <cell r="H394"/>
          <cell r="I394"/>
          <cell r="J394"/>
          <cell r="K394"/>
          <cell r="L394"/>
          <cell r="M394"/>
          <cell r="N394"/>
          <cell r="O394"/>
          <cell r="P394"/>
          <cell r="Q394"/>
          <cell r="R394"/>
          <cell r="S394"/>
          <cell r="T394"/>
          <cell r="U394"/>
          <cell r="V394"/>
          <cell r="W394"/>
          <cell r="X394"/>
          <cell r="Y394"/>
          <cell r="Z394"/>
          <cell r="AA394"/>
          <cell r="AB394"/>
          <cell r="AC394"/>
          <cell r="AD394"/>
          <cell r="AE394"/>
        </row>
        <row r="395">
          <cell r="G395"/>
          <cell r="H395"/>
          <cell r="I395"/>
          <cell r="J395"/>
          <cell r="K395"/>
          <cell r="L395"/>
          <cell r="M395"/>
          <cell r="N395"/>
          <cell r="O395"/>
          <cell r="P395"/>
          <cell r="Q395"/>
          <cell r="R395"/>
          <cell r="S395"/>
          <cell r="T395"/>
          <cell r="U395"/>
          <cell r="V395"/>
          <cell r="W395"/>
          <cell r="X395"/>
          <cell r="Y395"/>
          <cell r="Z395"/>
          <cell r="AA395"/>
          <cell r="AB395"/>
          <cell r="AC395"/>
          <cell r="AD395"/>
          <cell r="AE395"/>
        </row>
        <row r="396">
          <cell r="G396"/>
          <cell r="H396"/>
          <cell r="I396"/>
          <cell r="J396"/>
          <cell r="K396"/>
          <cell r="L396"/>
          <cell r="M396"/>
          <cell r="N396"/>
          <cell r="O396"/>
          <cell r="P396"/>
          <cell r="Q396"/>
          <cell r="R396"/>
          <cell r="S396"/>
          <cell r="T396"/>
          <cell r="U396"/>
          <cell r="V396"/>
          <cell r="W396"/>
          <cell r="X396"/>
          <cell r="Y396"/>
          <cell r="Z396"/>
          <cell r="AA396"/>
          <cell r="AB396"/>
          <cell r="AC396"/>
          <cell r="AD396"/>
          <cell r="AE396"/>
        </row>
        <row r="397">
          <cell r="G397"/>
          <cell r="H397"/>
          <cell r="I397"/>
          <cell r="J397"/>
          <cell r="K397"/>
          <cell r="L397"/>
          <cell r="M397"/>
          <cell r="N397"/>
          <cell r="O397"/>
          <cell r="P397"/>
          <cell r="Q397"/>
          <cell r="R397"/>
          <cell r="S397"/>
          <cell r="T397"/>
          <cell r="U397"/>
          <cell r="V397"/>
          <cell r="W397"/>
          <cell r="X397"/>
          <cell r="Y397"/>
          <cell r="Z397"/>
          <cell r="AA397"/>
          <cell r="AB397"/>
          <cell r="AC397"/>
          <cell r="AD397"/>
          <cell r="AE397"/>
        </row>
        <row r="398">
          <cell r="G398"/>
          <cell r="H398"/>
          <cell r="I398"/>
          <cell r="J398"/>
          <cell r="K398"/>
          <cell r="L398"/>
          <cell r="M398"/>
          <cell r="N398"/>
          <cell r="O398"/>
          <cell r="P398"/>
          <cell r="Q398"/>
          <cell r="R398"/>
          <cell r="S398"/>
          <cell r="T398"/>
          <cell r="U398"/>
          <cell r="V398"/>
          <cell r="W398"/>
          <cell r="X398"/>
          <cell r="Y398"/>
          <cell r="Z398"/>
          <cell r="AA398"/>
          <cell r="AB398"/>
          <cell r="AC398"/>
          <cell r="AD398"/>
          <cell r="AE398"/>
        </row>
        <row r="399">
          <cell r="G399"/>
          <cell r="H399"/>
          <cell r="I399"/>
          <cell r="J399"/>
          <cell r="K399"/>
          <cell r="L399"/>
          <cell r="M399"/>
          <cell r="N399"/>
          <cell r="O399"/>
          <cell r="P399"/>
          <cell r="Q399"/>
          <cell r="R399"/>
          <cell r="S399"/>
          <cell r="T399"/>
          <cell r="U399"/>
          <cell r="V399"/>
          <cell r="W399"/>
          <cell r="X399"/>
          <cell r="Y399"/>
          <cell r="Z399"/>
          <cell r="AA399"/>
          <cell r="AB399"/>
          <cell r="AC399"/>
          <cell r="AD399"/>
          <cell r="AE399"/>
        </row>
        <row r="400">
          <cell r="G400"/>
          <cell r="H400"/>
          <cell r="I400"/>
          <cell r="J400"/>
          <cell r="K400"/>
          <cell r="L400"/>
          <cell r="M400"/>
          <cell r="N400"/>
          <cell r="O400"/>
          <cell r="P400"/>
          <cell r="Q400"/>
          <cell r="R400"/>
          <cell r="S400"/>
          <cell r="T400"/>
          <cell r="U400"/>
          <cell r="V400"/>
          <cell r="W400"/>
          <cell r="X400"/>
          <cell r="Y400"/>
          <cell r="Z400"/>
          <cell r="AA400"/>
          <cell r="AB400"/>
          <cell r="AC400"/>
          <cell r="AD400"/>
          <cell r="AE400"/>
        </row>
        <row r="401">
          <cell r="G401"/>
          <cell r="H401"/>
          <cell r="I401"/>
          <cell r="J401"/>
          <cell r="K401"/>
          <cell r="L401"/>
          <cell r="M401"/>
          <cell r="N401"/>
          <cell r="O401"/>
          <cell r="P401"/>
          <cell r="Q401"/>
          <cell r="R401"/>
          <cell r="S401"/>
          <cell r="T401"/>
          <cell r="U401"/>
          <cell r="V401"/>
          <cell r="W401"/>
          <cell r="X401"/>
          <cell r="Y401"/>
          <cell r="Z401"/>
          <cell r="AA401"/>
          <cell r="AB401"/>
          <cell r="AC401"/>
          <cell r="AD401"/>
          <cell r="AE401"/>
        </row>
        <row r="402">
          <cell r="G402"/>
          <cell r="H402"/>
          <cell r="I402"/>
          <cell r="J402"/>
          <cell r="K402"/>
          <cell r="L402"/>
          <cell r="M402"/>
          <cell r="N402"/>
          <cell r="O402"/>
          <cell r="P402"/>
          <cell r="Q402"/>
          <cell r="R402"/>
          <cell r="S402"/>
          <cell r="T402"/>
          <cell r="U402"/>
          <cell r="V402"/>
          <cell r="W402"/>
          <cell r="X402"/>
          <cell r="Y402"/>
          <cell r="Z402"/>
          <cell r="AA402"/>
          <cell r="AB402"/>
          <cell r="AC402"/>
          <cell r="AD402"/>
          <cell r="AE402"/>
        </row>
        <row r="403">
          <cell r="G403"/>
          <cell r="H403"/>
          <cell r="I403"/>
          <cell r="J403"/>
          <cell r="K403"/>
          <cell r="L403"/>
          <cell r="M403"/>
          <cell r="N403"/>
          <cell r="O403"/>
          <cell r="P403"/>
          <cell r="Q403"/>
          <cell r="R403"/>
          <cell r="S403"/>
          <cell r="T403"/>
          <cell r="U403"/>
          <cell r="V403"/>
          <cell r="W403"/>
          <cell r="X403"/>
          <cell r="Y403"/>
          <cell r="Z403"/>
          <cell r="AA403"/>
          <cell r="AB403"/>
          <cell r="AC403"/>
          <cell r="AD403"/>
          <cell r="AE403"/>
        </row>
        <row r="404">
          <cell r="G404"/>
          <cell r="H404"/>
          <cell r="I404"/>
          <cell r="J404"/>
          <cell r="K404"/>
          <cell r="L404"/>
          <cell r="M404"/>
          <cell r="N404"/>
          <cell r="O404"/>
          <cell r="P404"/>
          <cell r="Q404"/>
          <cell r="R404"/>
          <cell r="S404"/>
          <cell r="T404"/>
          <cell r="U404"/>
          <cell r="V404"/>
          <cell r="W404"/>
          <cell r="X404"/>
          <cell r="Y404"/>
          <cell r="Z404"/>
          <cell r="AA404"/>
          <cell r="AB404"/>
          <cell r="AC404"/>
          <cell r="AD404"/>
          <cell r="AE404"/>
        </row>
        <row r="405">
          <cell r="G405"/>
          <cell r="H405"/>
          <cell r="I405"/>
          <cell r="J405"/>
          <cell r="K405"/>
          <cell r="L405"/>
          <cell r="M405"/>
          <cell r="N405"/>
          <cell r="O405"/>
          <cell r="P405"/>
          <cell r="Q405"/>
          <cell r="R405"/>
          <cell r="S405"/>
          <cell r="T405"/>
          <cell r="U405"/>
          <cell r="V405"/>
          <cell r="W405"/>
          <cell r="X405"/>
          <cell r="Y405"/>
          <cell r="Z405"/>
          <cell r="AA405"/>
          <cell r="AB405"/>
          <cell r="AC405"/>
          <cell r="AD405"/>
          <cell r="AE405"/>
        </row>
        <row r="406">
          <cell r="G406"/>
          <cell r="H406"/>
          <cell r="I406"/>
          <cell r="J406"/>
          <cell r="K406"/>
          <cell r="L406"/>
          <cell r="M406"/>
          <cell r="N406"/>
          <cell r="O406"/>
          <cell r="P406"/>
          <cell r="Q406"/>
          <cell r="R406"/>
          <cell r="S406"/>
          <cell r="T406"/>
          <cell r="U406"/>
          <cell r="V406"/>
          <cell r="W406"/>
          <cell r="X406"/>
          <cell r="Y406"/>
          <cell r="Z406"/>
          <cell r="AA406"/>
          <cell r="AB406"/>
          <cell r="AC406"/>
          <cell r="AD406"/>
          <cell r="AE406"/>
        </row>
        <row r="407">
          <cell r="G407"/>
          <cell r="H407"/>
          <cell r="I407"/>
          <cell r="J407"/>
          <cell r="K407"/>
          <cell r="L407"/>
          <cell r="M407"/>
          <cell r="N407"/>
          <cell r="O407"/>
          <cell r="P407"/>
          <cell r="Q407"/>
          <cell r="R407"/>
          <cell r="S407"/>
          <cell r="T407"/>
          <cell r="U407"/>
          <cell r="V407"/>
          <cell r="W407"/>
          <cell r="X407"/>
          <cell r="Y407"/>
          <cell r="Z407"/>
          <cell r="AA407"/>
          <cell r="AB407"/>
          <cell r="AC407"/>
          <cell r="AD407"/>
          <cell r="AE407"/>
        </row>
        <row r="408">
          <cell r="G408"/>
          <cell r="H408"/>
          <cell r="I408"/>
          <cell r="J408"/>
          <cell r="K408"/>
          <cell r="L408"/>
          <cell r="M408"/>
          <cell r="N408"/>
          <cell r="O408"/>
          <cell r="P408"/>
          <cell r="Q408"/>
          <cell r="R408"/>
          <cell r="S408"/>
          <cell r="T408"/>
          <cell r="U408"/>
          <cell r="V408"/>
          <cell r="W408"/>
          <cell r="X408"/>
          <cell r="Y408"/>
          <cell r="Z408"/>
          <cell r="AA408"/>
          <cell r="AB408"/>
          <cell r="AC408"/>
          <cell r="AD408"/>
          <cell r="AE408"/>
        </row>
        <row r="409">
          <cell r="G409"/>
          <cell r="H409"/>
          <cell r="I409"/>
          <cell r="J409"/>
          <cell r="K409"/>
          <cell r="L409"/>
          <cell r="M409"/>
          <cell r="N409"/>
          <cell r="O409"/>
          <cell r="P409"/>
          <cell r="Q409"/>
          <cell r="R409"/>
          <cell r="S409"/>
          <cell r="T409"/>
          <cell r="U409"/>
          <cell r="V409"/>
          <cell r="W409"/>
          <cell r="X409"/>
          <cell r="Y409"/>
          <cell r="Z409"/>
          <cell r="AA409"/>
          <cell r="AB409"/>
          <cell r="AC409"/>
          <cell r="AD409"/>
          <cell r="AE409"/>
        </row>
        <row r="410">
          <cell r="G410"/>
          <cell r="H410"/>
          <cell r="I410"/>
          <cell r="J410"/>
          <cell r="K410"/>
          <cell r="L410"/>
          <cell r="M410"/>
          <cell r="N410"/>
          <cell r="O410"/>
          <cell r="P410"/>
          <cell r="Q410"/>
          <cell r="R410"/>
          <cell r="S410"/>
          <cell r="T410"/>
          <cell r="U410"/>
          <cell r="V410"/>
          <cell r="W410"/>
          <cell r="X410"/>
          <cell r="Y410"/>
          <cell r="Z410"/>
          <cell r="AA410"/>
          <cell r="AB410"/>
          <cell r="AC410"/>
          <cell r="AD410"/>
          <cell r="AE410"/>
        </row>
        <row r="411">
          <cell r="G411"/>
          <cell r="H411"/>
          <cell r="I411"/>
          <cell r="J411"/>
          <cell r="K411"/>
          <cell r="L411"/>
          <cell r="M411"/>
          <cell r="N411"/>
          <cell r="O411"/>
          <cell r="P411"/>
          <cell r="Q411"/>
          <cell r="R411"/>
          <cell r="S411"/>
          <cell r="T411"/>
          <cell r="U411"/>
          <cell r="V411"/>
          <cell r="W411"/>
          <cell r="X411"/>
          <cell r="Y411"/>
          <cell r="Z411"/>
          <cell r="AA411"/>
          <cell r="AB411"/>
          <cell r="AC411"/>
          <cell r="AD411"/>
          <cell r="AE411"/>
        </row>
        <row r="412">
          <cell r="G412"/>
          <cell r="H412"/>
          <cell r="I412"/>
          <cell r="J412"/>
          <cell r="K412"/>
          <cell r="L412"/>
          <cell r="M412"/>
          <cell r="N412"/>
          <cell r="O412"/>
          <cell r="P412"/>
          <cell r="Q412"/>
          <cell r="R412"/>
          <cell r="S412"/>
          <cell r="T412"/>
          <cell r="U412"/>
          <cell r="V412"/>
          <cell r="W412"/>
          <cell r="X412"/>
          <cell r="Y412"/>
          <cell r="Z412"/>
          <cell r="AA412"/>
          <cell r="AB412"/>
          <cell r="AC412"/>
          <cell r="AD412"/>
          <cell r="AE412"/>
        </row>
        <row r="413">
          <cell r="G413"/>
          <cell r="H413"/>
          <cell r="I413"/>
          <cell r="J413"/>
          <cell r="K413"/>
          <cell r="L413"/>
          <cell r="M413"/>
          <cell r="N413"/>
          <cell r="O413"/>
          <cell r="P413"/>
          <cell r="Q413"/>
          <cell r="R413"/>
          <cell r="S413"/>
          <cell r="T413"/>
          <cell r="U413"/>
          <cell r="V413"/>
          <cell r="W413"/>
          <cell r="X413"/>
          <cell r="Y413"/>
          <cell r="Z413"/>
          <cell r="AA413"/>
          <cell r="AB413"/>
          <cell r="AC413"/>
          <cell r="AD413"/>
          <cell r="AE413"/>
        </row>
        <row r="414">
          <cell r="G414"/>
          <cell r="H414"/>
          <cell r="I414"/>
          <cell r="J414"/>
          <cell r="K414"/>
          <cell r="L414"/>
          <cell r="M414"/>
          <cell r="N414"/>
          <cell r="O414"/>
          <cell r="P414"/>
          <cell r="Q414"/>
          <cell r="R414"/>
          <cell r="S414"/>
          <cell r="T414"/>
          <cell r="U414"/>
          <cell r="V414"/>
          <cell r="W414"/>
          <cell r="X414"/>
          <cell r="Y414"/>
          <cell r="Z414"/>
          <cell r="AA414"/>
          <cell r="AB414"/>
          <cell r="AC414"/>
          <cell r="AD414"/>
          <cell r="AE414"/>
        </row>
        <row r="415">
          <cell r="G415"/>
          <cell r="H415"/>
          <cell r="I415"/>
          <cell r="J415"/>
          <cell r="K415"/>
          <cell r="L415"/>
          <cell r="M415"/>
          <cell r="N415"/>
          <cell r="O415"/>
          <cell r="P415"/>
          <cell r="Q415"/>
          <cell r="R415"/>
          <cell r="S415"/>
          <cell r="T415"/>
          <cell r="U415"/>
          <cell r="V415"/>
          <cell r="W415"/>
          <cell r="X415"/>
          <cell r="Y415"/>
          <cell r="Z415"/>
          <cell r="AA415"/>
          <cell r="AB415"/>
          <cell r="AC415"/>
          <cell r="AD415"/>
          <cell r="AE415"/>
        </row>
        <row r="416">
          <cell r="G416"/>
          <cell r="H416"/>
          <cell r="I416"/>
          <cell r="J416"/>
          <cell r="K416"/>
          <cell r="L416"/>
          <cell r="M416"/>
          <cell r="N416"/>
          <cell r="O416"/>
          <cell r="P416"/>
          <cell r="Q416"/>
          <cell r="R416"/>
          <cell r="S416"/>
          <cell r="T416"/>
          <cell r="U416"/>
          <cell r="V416"/>
          <cell r="W416"/>
          <cell r="X416"/>
          <cell r="Y416"/>
          <cell r="Z416"/>
          <cell r="AA416"/>
          <cell r="AB416"/>
          <cell r="AC416"/>
          <cell r="AD416"/>
          <cell r="AE416"/>
        </row>
        <row r="417">
          <cell r="G417"/>
          <cell r="H417"/>
          <cell r="I417"/>
          <cell r="J417"/>
          <cell r="K417"/>
          <cell r="L417"/>
          <cell r="M417"/>
          <cell r="N417"/>
          <cell r="O417"/>
          <cell r="P417"/>
          <cell r="Q417"/>
          <cell r="R417"/>
          <cell r="S417"/>
          <cell r="T417"/>
          <cell r="U417"/>
          <cell r="V417"/>
          <cell r="W417"/>
          <cell r="X417"/>
          <cell r="Y417"/>
          <cell r="Z417"/>
          <cell r="AA417"/>
          <cell r="AB417"/>
          <cell r="AC417"/>
          <cell r="AD417"/>
          <cell r="AE417"/>
        </row>
        <row r="418">
          <cell r="G418"/>
          <cell r="H418"/>
          <cell r="I418"/>
          <cell r="J418"/>
          <cell r="K418"/>
          <cell r="L418"/>
          <cell r="M418"/>
          <cell r="N418"/>
          <cell r="O418"/>
          <cell r="P418"/>
          <cell r="Q418"/>
          <cell r="R418"/>
          <cell r="S418"/>
          <cell r="T418"/>
          <cell r="U418"/>
          <cell r="V418"/>
          <cell r="W418"/>
          <cell r="X418"/>
          <cell r="Y418"/>
          <cell r="Z418"/>
          <cell r="AA418"/>
          <cell r="AB418"/>
          <cell r="AC418"/>
          <cell r="AD418"/>
          <cell r="AE418"/>
        </row>
        <row r="419">
          <cell r="G419"/>
          <cell r="H419"/>
          <cell r="I419"/>
          <cell r="J419"/>
          <cell r="K419"/>
          <cell r="L419"/>
          <cell r="M419"/>
          <cell r="N419"/>
          <cell r="O419"/>
          <cell r="P419"/>
          <cell r="Q419"/>
          <cell r="R419"/>
          <cell r="S419"/>
          <cell r="T419"/>
          <cell r="U419"/>
          <cell r="V419"/>
          <cell r="W419"/>
          <cell r="X419"/>
          <cell r="Y419"/>
          <cell r="Z419"/>
          <cell r="AA419"/>
          <cell r="AB419"/>
          <cell r="AC419"/>
          <cell r="AD419"/>
          <cell r="AE419"/>
        </row>
        <row r="420">
          <cell r="G420"/>
          <cell r="H420"/>
          <cell r="I420"/>
          <cell r="J420"/>
          <cell r="K420"/>
          <cell r="L420"/>
          <cell r="M420"/>
          <cell r="N420"/>
          <cell r="O420"/>
          <cell r="P420"/>
          <cell r="Q420"/>
          <cell r="R420"/>
          <cell r="S420"/>
          <cell r="T420"/>
          <cell r="U420"/>
          <cell r="V420"/>
          <cell r="W420"/>
          <cell r="X420"/>
          <cell r="Y420"/>
          <cell r="Z420"/>
          <cell r="AA420"/>
          <cell r="AB420"/>
          <cell r="AC420"/>
          <cell r="AD420"/>
          <cell r="AE420"/>
        </row>
        <row r="421">
          <cell r="G421"/>
          <cell r="H421"/>
          <cell r="I421"/>
          <cell r="J421"/>
          <cell r="K421"/>
          <cell r="L421"/>
          <cell r="M421"/>
          <cell r="N421"/>
          <cell r="O421"/>
          <cell r="P421"/>
          <cell r="Q421"/>
          <cell r="R421"/>
          <cell r="S421"/>
          <cell r="T421"/>
          <cell r="U421"/>
          <cell r="V421"/>
          <cell r="W421"/>
          <cell r="X421"/>
          <cell r="Y421"/>
          <cell r="Z421"/>
          <cell r="AA421"/>
          <cell r="AB421"/>
          <cell r="AC421"/>
          <cell r="AD421"/>
          <cell r="AE421"/>
        </row>
        <row r="422">
          <cell r="G422"/>
          <cell r="H422"/>
          <cell r="I422"/>
          <cell r="J422"/>
          <cell r="K422"/>
          <cell r="L422"/>
          <cell r="M422"/>
          <cell r="N422"/>
          <cell r="O422"/>
          <cell r="P422"/>
          <cell r="Q422"/>
          <cell r="R422"/>
          <cell r="S422"/>
          <cell r="T422"/>
          <cell r="U422"/>
          <cell r="V422"/>
          <cell r="W422"/>
          <cell r="X422"/>
          <cell r="Y422"/>
          <cell r="Z422"/>
          <cell r="AA422"/>
          <cell r="AB422"/>
          <cell r="AC422"/>
          <cell r="AD422"/>
          <cell r="AE422"/>
        </row>
        <row r="423">
          <cell r="G423"/>
          <cell r="H423"/>
          <cell r="I423"/>
          <cell r="J423"/>
          <cell r="K423"/>
          <cell r="L423"/>
          <cell r="M423"/>
          <cell r="N423"/>
          <cell r="O423"/>
          <cell r="P423"/>
          <cell r="Q423"/>
          <cell r="R423"/>
          <cell r="S423"/>
          <cell r="T423"/>
          <cell r="U423"/>
          <cell r="V423"/>
          <cell r="W423"/>
          <cell r="X423"/>
          <cell r="Y423"/>
          <cell r="Z423"/>
          <cell r="AA423"/>
          <cell r="AB423"/>
          <cell r="AC423"/>
          <cell r="AD423"/>
          <cell r="AE423"/>
        </row>
        <row r="424">
          <cell r="G424"/>
          <cell r="H424"/>
          <cell r="I424"/>
          <cell r="J424"/>
          <cell r="K424"/>
          <cell r="L424"/>
          <cell r="M424"/>
          <cell r="N424"/>
          <cell r="O424"/>
          <cell r="P424"/>
          <cell r="Q424"/>
          <cell r="R424"/>
          <cell r="S424"/>
          <cell r="T424"/>
          <cell r="U424"/>
          <cell r="V424"/>
          <cell r="W424"/>
          <cell r="X424"/>
          <cell r="Y424"/>
          <cell r="Z424"/>
          <cell r="AA424"/>
          <cell r="AB424"/>
          <cell r="AC424"/>
          <cell r="AD424"/>
          <cell r="AE424"/>
        </row>
        <row r="425">
          <cell r="G425"/>
          <cell r="H425"/>
          <cell r="I425"/>
          <cell r="J425"/>
          <cell r="K425"/>
          <cell r="L425"/>
          <cell r="M425"/>
          <cell r="N425"/>
          <cell r="O425"/>
          <cell r="P425"/>
          <cell r="Q425"/>
          <cell r="R425"/>
          <cell r="S425"/>
          <cell r="T425"/>
          <cell r="U425"/>
          <cell r="V425"/>
          <cell r="W425"/>
          <cell r="X425"/>
          <cell r="Y425"/>
          <cell r="Z425"/>
          <cell r="AA425"/>
          <cell r="AB425"/>
          <cell r="AC425"/>
          <cell r="AD425"/>
          <cell r="AE425"/>
        </row>
        <row r="426">
          <cell r="G426"/>
          <cell r="H426"/>
          <cell r="I426"/>
          <cell r="J426"/>
          <cell r="K426"/>
          <cell r="L426"/>
          <cell r="M426"/>
          <cell r="N426"/>
          <cell r="O426"/>
          <cell r="P426"/>
          <cell r="Q426"/>
          <cell r="R426"/>
          <cell r="S426"/>
          <cell r="T426"/>
          <cell r="U426"/>
          <cell r="V426"/>
          <cell r="W426"/>
          <cell r="X426"/>
          <cell r="Y426"/>
          <cell r="Z426"/>
          <cell r="AA426"/>
          <cell r="AB426"/>
          <cell r="AC426"/>
          <cell r="AD426"/>
          <cell r="AE426"/>
        </row>
        <row r="427">
          <cell r="G427"/>
          <cell r="H427"/>
          <cell r="I427"/>
          <cell r="J427"/>
          <cell r="K427"/>
          <cell r="L427"/>
          <cell r="M427"/>
          <cell r="N427"/>
          <cell r="O427"/>
          <cell r="P427"/>
          <cell r="Q427"/>
          <cell r="R427"/>
          <cell r="S427"/>
          <cell r="T427"/>
          <cell r="U427"/>
          <cell r="V427"/>
          <cell r="W427"/>
          <cell r="X427"/>
          <cell r="Y427"/>
          <cell r="Z427"/>
          <cell r="AA427"/>
          <cell r="AB427"/>
          <cell r="AC427"/>
          <cell r="AD427"/>
          <cell r="AE427"/>
        </row>
        <row r="428">
          <cell r="G428"/>
          <cell r="H428"/>
          <cell r="I428"/>
          <cell r="J428"/>
          <cell r="K428"/>
          <cell r="L428"/>
          <cell r="M428"/>
          <cell r="N428"/>
          <cell r="O428"/>
          <cell r="P428"/>
          <cell r="Q428"/>
          <cell r="R428"/>
          <cell r="S428"/>
          <cell r="T428"/>
          <cell r="U428"/>
          <cell r="V428"/>
          <cell r="W428"/>
          <cell r="X428"/>
          <cell r="Y428"/>
          <cell r="Z428"/>
          <cell r="AA428"/>
          <cell r="AB428"/>
          <cell r="AC428"/>
          <cell r="AD428"/>
          <cell r="AE428"/>
        </row>
        <row r="429">
          <cell r="G429"/>
          <cell r="H429"/>
          <cell r="I429"/>
          <cell r="J429"/>
          <cell r="K429"/>
          <cell r="L429"/>
          <cell r="M429"/>
          <cell r="N429"/>
          <cell r="O429"/>
          <cell r="P429"/>
          <cell r="Q429"/>
          <cell r="R429"/>
          <cell r="S429"/>
          <cell r="T429"/>
          <cell r="U429"/>
          <cell r="V429"/>
          <cell r="W429"/>
          <cell r="X429"/>
          <cell r="Y429"/>
          <cell r="Z429"/>
          <cell r="AA429"/>
          <cell r="AB429"/>
          <cell r="AC429"/>
          <cell r="AD429"/>
          <cell r="AE429"/>
        </row>
        <row r="430">
          <cell r="G430"/>
          <cell r="H430"/>
          <cell r="I430"/>
          <cell r="J430"/>
          <cell r="K430"/>
          <cell r="L430"/>
          <cell r="M430"/>
          <cell r="N430"/>
          <cell r="O430"/>
          <cell r="P430"/>
          <cell r="Q430"/>
          <cell r="R430"/>
          <cell r="S430"/>
          <cell r="T430"/>
          <cell r="U430"/>
          <cell r="V430"/>
          <cell r="W430"/>
          <cell r="X430"/>
          <cell r="Y430"/>
          <cell r="Z430"/>
          <cell r="AA430"/>
          <cell r="AB430"/>
          <cell r="AC430"/>
          <cell r="AD430"/>
          <cell r="AE430"/>
        </row>
        <row r="431">
          <cell r="G431"/>
          <cell r="H431"/>
          <cell r="I431"/>
          <cell r="J431"/>
          <cell r="K431"/>
          <cell r="L431"/>
          <cell r="M431"/>
          <cell r="N431"/>
          <cell r="O431"/>
          <cell r="P431"/>
          <cell r="Q431"/>
          <cell r="R431"/>
          <cell r="S431"/>
          <cell r="T431"/>
          <cell r="U431"/>
          <cell r="V431"/>
          <cell r="W431"/>
          <cell r="X431"/>
          <cell r="Y431"/>
          <cell r="Z431"/>
          <cell r="AA431"/>
          <cell r="AB431"/>
          <cell r="AC431"/>
          <cell r="AD431"/>
          <cell r="AE431"/>
        </row>
        <row r="432">
          <cell r="G432"/>
          <cell r="H432"/>
          <cell r="I432"/>
          <cell r="J432"/>
          <cell r="K432"/>
          <cell r="L432"/>
          <cell r="M432"/>
          <cell r="N432"/>
          <cell r="O432"/>
          <cell r="P432"/>
          <cell r="Q432"/>
          <cell r="R432"/>
          <cell r="S432"/>
          <cell r="T432"/>
          <cell r="U432"/>
          <cell r="V432"/>
          <cell r="W432"/>
          <cell r="X432"/>
          <cell r="Y432"/>
          <cell r="Z432"/>
          <cell r="AA432"/>
          <cell r="AB432"/>
          <cell r="AC432"/>
          <cell r="AD432"/>
          <cell r="AE432"/>
        </row>
        <row r="433">
          <cell r="G433"/>
          <cell r="H433"/>
          <cell r="I433"/>
          <cell r="J433"/>
          <cell r="K433"/>
          <cell r="L433"/>
          <cell r="M433"/>
          <cell r="N433"/>
          <cell r="O433"/>
          <cell r="P433"/>
          <cell r="Q433"/>
          <cell r="R433"/>
          <cell r="S433"/>
          <cell r="T433"/>
          <cell r="U433"/>
          <cell r="V433"/>
          <cell r="W433"/>
          <cell r="X433"/>
          <cell r="Y433"/>
          <cell r="Z433"/>
          <cell r="AA433"/>
          <cell r="AB433"/>
          <cell r="AC433"/>
          <cell r="AD433"/>
          <cell r="AE433"/>
        </row>
        <row r="434">
          <cell r="G434"/>
          <cell r="H434"/>
          <cell r="I434"/>
          <cell r="J434"/>
          <cell r="K434"/>
          <cell r="L434"/>
          <cell r="M434"/>
          <cell r="N434"/>
          <cell r="O434"/>
          <cell r="P434"/>
          <cell r="Q434"/>
          <cell r="R434"/>
          <cell r="S434"/>
          <cell r="T434"/>
          <cell r="U434"/>
          <cell r="V434"/>
          <cell r="W434"/>
          <cell r="X434"/>
          <cell r="Y434"/>
          <cell r="Z434"/>
          <cell r="AA434"/>
          <cell r="AB434"/>
          <cell r="AC434"/>
          <cell r="AD434"/>
          <cell r="AE434"/>
        </row>
        <row r="435">
          <cell r="G435"/>
          <cell r="H435"/>
          <cell r="I435"/>
          <cell r="J435"/>
          <cell r="K435"/>
          <cell r="L435"/>
          <cell r="M435"/>
          <cell r="N435"/>
          <cell r="O435"/>
          <cell r="P435"/>
          <cell r="Q435"/>
          <cell r="R435"/>
          <cell r="S435"/>
          <cell r="T435"/>
          <cell r="U435"/>
          <cell r="V435"/>
          <cell r="W435"/>
          <cell r="X435"/>
          <cell r="Y435"/>
          <cell r="Z435"/>
          <cell r="AA435"/>
          <cell r="AB435"/>
          <cell r="AC435"/>
          <cell r="AD435"/>
          <cell r="AE435"/>
        </row>
        <row r="436">
          <cell r="G436"/>
          <cell r="H436"/>
          <cell r="I436"/>
          <cell r="J436"/>
          <cell r="K436"/>
          <cell r="L436"/>
          <cell r="M436"/>
          <cell r="N436"/>
          <cell r="O436"/>
          <cell r="P436"/>
          <cell r="Q436"/>
          <cell r="R436"/>
          <cell r="S436"/>
          <cell r="T436"/>
          <cell r="U436"/>
          <cell r="V436"/>
          <cell r="W436"/>
          <cell r="X436"/>
          <cell r="Y436"/>
          <cell r="Z436"/>
          <cell r="AA436"/>
          <cell r="AB436"/>
          <cell r="AC436"/>
          <cell r="AD436"/>
          <cell r="AE436"/>
        </row>
        <row r="437">
          <cell r="G437"/>
          <cell r="H437"/>
          <cell r="I437"/>
          <cell r="J437"/>
          <cell r="K437"/>
          <cell r="L437"/>
          <cell r="M437"/>
          <cell r="N437"/>
          <cell r="O437"/>
          <cell r="P437"/>
          <cell r="Q437"/>
          <cell r="R437"/>
          <cell r="S437"/>
          <cell r="T437"/>
          <cell r="U437"/>
          <cell r="V437"/>
          <cell r="W437"/>
          <cell r="X437"/>
          <cell r="Y437"/>
          <cell r="Z437"/>
          <cell r="AA437"/>
          <cell r="AB437"/>
          <cell r="AC437"/>
          <cell r="AD437"/>
          <cell r="AE437"/>
        </row>
        <row r="438">
          <cell r="G438"/>
          <cell r="H438"/>
          <cell r="I438"/>
          <cell r="J438"/>
          <cell r="K438"/>
          <cell r="L438"/>
          <cell r="M438"/>
          <cell r="N438"/>
          <cell r="O438"/>
          <cell r="P438"/>
          <cell r="Q438"/>
          <cell r="R438"/>
          <cell r="S438"/>
          <cell r="T438"/>
          <cell r="U438"/>
          <cell r="V438"/>
          <cell r="W438"/>
          <cell r="X438"/>
          <cell r="Y438"/>
          <cell r="Z438"/>
          <cell r="AA438"/>
          <cell r="AB438"/>
          <cell r="AC438"/>
          <cell r="AD438"/>
          <cell r="AE438"/>
        </row>
        <row r="439">
          <cell r="G439"/>
          <cell r="H439"/>
          <cell r="I439"/>
          <cell r="J439"/>
          <cell r="K439"/>
          <cell r="L439"/>
          <cell r="M439"/>
          <cell r="N439"/>
          <cell r="O439"/>
          <cell r="P439"/>
          <cell r="Q439"/>
          <cell r="R439"/>
          <cell r="S439"/>
          <cell r="T439"/>
          <cell r="U439"/>
          <cell r="V439"/>
          <cell r="W439"/>
          <cell r="X439"/>
          <cell r="Y439"/>
          <cell r="Z439"/>
          <cell r="AA439"/>
          <cell r="AB439"/>
          <cell r="AC439"/>
          <cell r="AD439"/>
          <cell r="AE439"/>
        </row>
        <row r="440">
          <cell r="G440"/>
          <cell r="H440"/>
          <cell r="I440"/>
          <cell r="J440"/>
          <cell r="K440"/>
          <cell r="L440"/>
          <cell r="M440"/>
          <cell r="N440"/>
          <cell r="O440"/>
          <cell r="P440"/>
          <cell r="Q440"/>
          <cell r="R440"/>
          <cell r="S440"/>
          <cell r="T440"/>
          <cell r="U440"/>
          <cell r="V440"/>
          <cell r="W440"/>
          <cell r="X440"/>
          <cell r="Y440"/>
          <cell r="Z440"/>
          <cell r="AA440"/>
          <cell r="AB440"/>
          <cell r="AC440"/>
          <cell r="AD440"/>
          <cell r="AE440"/>
        </row>
        <row r="441">
          <cell r="G441"/>
          <cell r="H441"/>
          <cell r="I441"/>
          <cell r="J441"/>
          <cell r="K441"/>
          <cell r="L441"/>
          <cell r="M441"/>
          <cell r="N441"/>
          <cell r="O441"/>
          <cell r="P441"/>
          <cell r="Q441"/>
          <cell r="R441"/>
          <cell r="S441"/>
          <cell r="T441"/>
          <cell r="U441"/>
          <cell r="V441"/>
          <cell r="W441"/>
          <cell r="X441"/>
          <cell r="Y441"/>
          <cell r="Z441"/>
          <cell r="AA441"/>
          <cell r="AB441"/>
          <cell r="AC441"/>
          <cell r="AD441"/>
          <cell r="AE441"/>
        </row>
        <row r="442">
          <cell r="G442"/>
          <cell r="H442"/>
          <cell r="I442"/>
          <cell r="J442"/>
          <cell r="K442"/>
          <cell r="L442"/>
          <cell r="M442"/>
          <cell r="N442"/>
          <cell r="O442"/>
          <cell r="P442"/>
          <cell r="Q442"/>
          <cell r="R442"/>
          <cell r="S442"/>
          <cell r="T442"/>
          <cell r="U442"/>
          <cell r="V442"/>
          <cell r="W442"/>
          <cell r="X442"/>
          <cell r="Y442"/>
          <cell r="Z442"/>
          <cell r="AA442"/>
          <cell r="AB442"/>
          <cell r="AC442"/>
          <cell r="AD442"/>
          <cell r="AE442"/>
        </row>
        <row r="443">
          <cell r="G443"/>
          <cell r="H443"/>
          <cell r="I443"/>
          <cell r="J443"/>
          <cell r="K443"/>
          <cell r="L443"/>
          <cell r="M443"/>
          <cell r="N443"/>
          <cell r="O443"/>
          <cell r="P443"/>
          <cell r="Q443"/>
          <cell r="R443"/>
          <cell r="S443"/>
          <cell r="T443"/>
          <cell r="U443"/>
          <cell r="V443"/>
          <cell r="W443"/>
          <cell r="X443"/>
          <cell r="Y443"/>
          <cell r="Z443"/>
          <cell r="AA443"/>
          <cell r="AB443"/>
          <cell r="AC443"/>
          <cell r="AD443"/>
          <cell r="AE443"/>
        </row>
        <row r="444">
          <cell r="G444"/>
          <cell r="H444"/>
          <cell r="I444"/>
          <cell r="J444"/>
          <cell r="K444"/>
          <cell r="L444"/>
          <cell r="M444"/>
          <cell r="N444"/>
          <cell r="O444"/>
          <cell r="P444"/>
          <cell r="Q444"/>
          <cell r="R444"/>
          <cell r="S444"/>
          <cell r="T444"/>
          <cell r="U444"/>
          <cell r="V444"/>
          <cell r="W444"/>
          <cell r="X444"/>
          <cell r="Y444"/>
          <cell r="Z444"/>
          <cell r="AA444"/>
          <cell r="AB444"/>
          <cell r="AC444"/>
          <cell r="AD444"/>
          <cell r="AE444"/>
        </row>
        <row r="445">
          <cell r="G445"/>
          <cell r="H445"/>
          <cell r="I445"/>
          <cell r="J445"/>
          <cell r="K445"/>
          <cell r="L445"/>
          <cell r="M445"/>
          <cell r="N445"/>
          <cell r="O445"/>
          <cell r="P445"/>
          <cell r="Q445"/>
          <cell r="R445"/>
          <cell r="S445"/>
          <cell r="T445"/>
          <cell r="U445"/>
          <cell r="V445"/>
          <cell r="W445"/>
          <cell r="X445"/>
          <cell r="Y445"/>
          <cell r="Z445"/>
          <cell r="AA445"/>
          <cell r="AB445"/>
          <cell r="AC445"/>
          <cell r="AD445"/>
          <cell r="AE445"/>
        </row>
        <row r="446">
          <cell r="G446"/>
          <cell r="H446"/>
          <cell r="I446"/>
          <cell r="J446"/>
          <cell r="K446"/>
          <cell r="L446"/>
          <cell r="M446"/>
          <cell r="N446"/>
          <cell r="O446"/>
          <cell r="P446"/>
          <cell r="Q446"/>
          <cell r="R446"/>
          <cell r="S446"/>
          <cell r="T446"/>
          <cell r="U446"/>
          <cell r="V446"/>
          <cell r="W446"/>
          <cell r="X446"/>
          <cell r="Y446"/>
          <cell r="Z446"/>
          <cell r="AA446"/>
          <cell r="AB446"/>
          <cell r="AC446"/>
          <cell r="AD446"/>
          <cell r="AE446"/>
        </row>
        <row r="447">
          <cell r="G447"/>
          <cell r="H447"/>
          <cell r="I447"/>
          <cell r="J447"/>
          <cell r="K447"/>
          <cell r="L447"/>
          <cell r="M447"/>
          <cell r="N447"/>
          <cell r="O447"/>
          <cell r="P447"/>
          <cell r="Q447"/>
          <cell r="R447"/>
          <cell r="S447"/>
          <cell r="T447"/>
          <cell r="U447"/>
          <cell r="V447"/>
          <cell r="W447"/>
          <cell r="X447"/>
          <cell r="Y447"/>
          <cell r="Z447"/>
          <cell r="AA447"/>
          <cell r="AB447"/>
          <cell r="AC447"/>
          <cell r="AD447"/>
          <cell r="AE447"/>
        </row>
        <row r="448">
          <cell r="G448"/>
          <cell r="H448"/>
          <cell r="I448"/>
          <cell r="J448"/>
          <cell r="K448"/>
          <cell r="L448"/>
          <cell r="M448"/>
          <cell r="N448"/>
          <cell r="O448"/>
          <cell r="P448"/>
          <cell r="Q448"/>
          <cell r="R448"/>
          <cell r="S448"/>
          <cell r="T448"/>
          <cell r="U448"/>
          <cell r="V448"/>
          <cell r="W448"/>
          <cell r="X448"/>
          <cell r="Y448"/>
          <cell r="Z448"/>
          <cell r="AA448"/>
          <cell r="AB448"/>
          <cell r="AC448"/>
          <cell r="AD448"/>
          <cell r="AE448"/>
        </row>
        <row r="449">
          <cell r="G449"/>
          <cell r="H449"/>
          <cell r="I449"/>
          <cell r="J449"/>
          <cell r="K449"/>
          <cell r="L449"/>
          <cell r="M449"/>
          <cell r="N449"/>
          <cell r="O449"/>
          <cell r="P449"/>
          <cell r="Q449"/>
          <cell r="R449"/>
          <cell r="S449"/>
          <cell r="T449"/>
          <cell r="U449"/>
          <cell r="V449"/>
          <cell r="W449"/>
          <cell r="X449"/>
          <cell r="Y449"/>
          <cell r="Z449"/>
          <cell r="AA449"/>
          <cell r="AB449"/>
          <cell r="AC449"/>
          <cell r="AD449"/>
          <cell r="AE449"/>
        </row>
        <row r="450">
          <cell r="G450"/>
          <cell r="H450"/>
          <cell r="I450"/>
          <cell r="J450"/>
          <cell r="K450"/>
          <cell r="L450"/>
          <cell r="M450"/>
          <cell r="N450"/>
          <cell r="O450"/>
          <cell r="P450"/>
          <cell r="Q450"/>
          <cell r="R450"/>
          <cell r="S450"/>
          <cell r="T450"/>
          <cell r="U450"/>
          <cell r="V450"/>
          <cell r="W450"/>
          <cell r="X450"/>
          <cell r="Y450"/>
          <cell r="Z450"/>
          <cell r="AA450"/>
          <cell r="AB450"/>
          <cell r="AC450"/>
          <cell r="AD450"/>
          <cell r="AE450"/>
        </row>
        <row r="451">
          <cell r="G451"/>
          <cell r="H451"/>
          <cell r="I451"/>
          <cell r="J451"/>
          <cell r="K451"/>
          <cell r="L451"/>
          <cell r="M451"/>
          <cell r="N451"/>
          <cell r="O451"/>
          <cell r="P451"/>
          <cell r="Q451"/>
          <cell r="R451"/>
          <cell r="S451"/>
          <cell r="T451"/>
          <cell r="U451"/>
          <cell r="V451"/>
          <cell r="W451"/>
          <cell r="X451"/>
          <cell r="Y451"/>
          <cell r="Z451"/>
          <cell r="AA451"/>
          <cell r="AB451"/>
          <cell r="AC451"/>
          <cell r="AD451"/>
          <cell r="AE451"/>
        </row>
        <row r="452">
          <cell r="G452"/>
          <cell r="H452"/>
          <cell r="I452"/>
          <cell r="J452"/>
          <cell r="K452"/>
          <cell r="L452"/>
          <cell r="M452"/>
          <cell r="N452"/>
          <cell r="O452"/>
          <cell r="P452"/>
          <cell r="Q452"/>
          <cell r="R452"/>
          <cell r="S452"/>
          <cell r="T452"/>
          <cell r="U452"/>
          <cell r="V452"/>
          <cell r="W452"/>
          <cell r="X452"/>
          <cell r="Y452"/>
          <cell r="Z452"/>
          <cell r="AA452"/>
          <cell r="AB452"/>
          <cell r="AC452"/>
          <cell r="AD452"/>
          <cell r="AE452"/>
        </row>
        <row r="453">
          <cell r="G453"/>
          <cell r="H453"/>
          <cell r="I453"/>
          <cell r="J453"/>
          <cell r="K453"/>
          <cell r="L453"/>
          <cell r="M453"/>
          <cell r="N453"/>
          <cell r="O453"/>
          <cell r="P453"/>
          <cell r="Q453"/>
          <cell r="R453"/>
          <cell r="S453"/>
          <cell r="T453"/>
          <cell r="U453"/>
          <cell r="V453"/>
          <cell r="W453"/>
          <cell r="X453"/>
          <cell r="Y453"/>
          <cell r="Z453"/>
          <cell r="AA453"/>
          <cell r="AB453"/>
          <cell r="AC453"/>
          <cell r="AD453"/>
          <cell r="AE453"/>
        </row>
        <row r="454">
          <cell r="G454"/>
          <cell r="H454"/>
          <cell r="I454"/>
          <cell r="J454"/>
          <cell r="K454"/>
          <cell r="L454"/>
          <cell r="M454"/>
          <cell r="N454"/>
          <cell r="O454"/>
          <cell r="P454"/>
          <cell r="Q454"/>
          <cell r="R454"/>
          <cell r="S454"/>
          <cell r="T454"/>
          <cell r="U454"/>
          <cell r="V454"/>
          <cell r="W454"/>
          <cell r="X454"/>
          <cell r="Y454"/>
          <cell r="Z454"/>
          <cell r="AA454"/>
          <cell r="AB454"/>
          <cell r="AC454"/>
          <cell r="AD454"/>
          <cell r="AE454"/>
        </row>
        <row r="455">
          <cell r="G455"/>
          <cell r="H455"/>
          <cell r="I455"/>
          <cell r="J455"/>
          <cell r="K455"/>
          <cell r="L455"/>
          <cell r="M455"/>
          <cell r="N455"/>
          <cell r="O455"/>
          <cell r="P455"/>
          <cell r="Q455"/>
          <cell r="R455"/>
          <cell r="S455"/>
          <cell r="T455"/>
          <cell r="U455"/>
          <cell r="V455"/>
          <cell r="W455"/>
          <cell r="X455"/>
          <cell r="Y455"/>
          <cell r="Z455"/>
          <cell r="AA455"/>
          <cell r="AB455"/>
          <cell r="AC455"/>
          <cell r="AD455"/>
          <cell r="AE455"/>
        </row>
        <row r="456">
          <cell r="G456"/>
          <cell r="H456"/>
          <cell r="I456"/>
          <cell r="J456"/>
          <cell r="K456"/>
          <cell r="L456"/>
          <cell r="M456"/>
          <cell r="N456"/>
          <cell r="O456"/>
          <cell r="P456"/>
          <cell r="Q456"/>
          <cell r="R456"/>
          <cell r="S456"/>
          <cell r="T456"/>
          <cell r="U456"/>
          <cell r="V456"/>
          <cell r="W456"/>
          <cell r="X456"/>
          <cell r="Y456"/>
          <cell r="Z456"/>
          <cell r="AA456"/>
          <cell r="AB456"/>
          <cell r="AC456"/>
          <cell r="AD456"/>
          <cell r="AE456"/>
        </row>
        <row r="457">
          <cell r="G457"/>
          <cell r="H457"/>
          <cell r="I457"/>
          <cell r="J457"/>
          <cell r="K457"/>
          <cell r="L457"/>
          <cell r="M457"/>
          <cell r="N457"/>
          <cell r="O457"/>
          <cell r="P457"/>
          <cell r="Q457"/>
          <cell r="R457"/>
          <cell r="S457"/>
          <cell r="T457"/>
          <cell r="U457"/>
          <cell r="V457"/>
          <cell r="W457"/>
          <cell r="X457"/>
          <cell r="Y457"/>
          <cell r="Z457"/>
          <cell r="AA457"/>
          <cell r="AB457"/>
          <cell r="AC457"/>
          <cell r="AD457"/>
          <cell r="AE457"/>
        </row>
        <row r="458">
          <cell r="G458"/>
          <cell r="H458"/>
          <cell r="I458"/>
          <cell r="J458"/>
          <cell r="K458"/>
          <cell r="L458"/>
          <cell r="M458"/>
          <cell r="N458"/>
          <cell r="O458"/>
          <cell r="P458"/>
          <cell r="Q458"/>
          <cell r="R458"/>
          <cell r="S458"/>
          <cell r="T458"/>
          <cell r="U458"/>
          <cell r="V458"/>
          <cell r="W458"/>
          <cell r="X458"/>
          <cell r="Y458"/>
          <cell r="Z458"/>
          <cell r="AA458"/>
          <cell r="AB458"/>
          <cell r="AC458"/>
          <cell r="AD458"/>
          <cell r="AE458"/>
        </row>
        <row r="459">
          <cell r="G459"/>
          <cell r="H459"/>
          <cell r="I459"/>
          <cell r="J459"/>
          <cell r="K459"/>
          <cell r="L459"/>
          <cell r="M459"/>
          <cell r="N459"/>
          <cell r="O459"/>
          <cell r="P459"/>
          <cell r="Q459"/>
          <cell r="R459"/>
          <cell r="S459"/>
          <cell r="T459"/>
          <cell r="U459"/>
          <cell r="V459"/>
          <cell r="W459"/>
          <cell r="X459"/>
          <cell r="Y459"/>
          <cell r="Z459"/>
          <cell r="AA459"/>
          <cell r="AB459"/>
          <cell r="AC459"/>
          <cell r="AD459"/>
          <cell r="AE459"/>
        </row>
        <row r="460">
          <cell r="G460"/>
          <cell r="H460"/>
          <cell r="I460"/>
          <cell r="J460"/>
          <cell r="K460"/>
          <cell r="L460"/>
          <cell r="M460"/>
          <cell r="N460"/>
          <cell r="O460"/>
          <cell r="P460"/>
          <cell r="Q460"/>
          <cell r="R460"/>
          <cell r="S460"/>
          <cell r="T460"/>
          <cell r="U460"/>
          <cell r="V460"/>
          <cell r="W460"/>
          <cell r="X460"/>
          <cell r="Y460"/>
          <cell r="Z460"/>
          <cell r="AA460"/>
          <cell r="AB460"/>
          <cell r="AC460"/>
          <cell r="AD460"/>
          <cell r="AE460"/>
        </row>
        <row r="461">
          <cell r="G461"/>
          <cell r="H461"/>
          <cell r="I461"/>
          <cell r="J461"/>
          <cell r="K461"/>
          <cell r="L461"/>
          <cell r="M461"/>
          <cell r="N461"/>
          <cell r="O461"/>
          <cell r="P461"/>
          <cell r="Q461"/>
          <cell r="R461"/>
          <cell r="S461"/>
          <cell r="T461"/>
          <cell r="U461"/>
          <cell r="V461"/>
          <cell r="W461"/>
          <cell r="X461"/>
          <cell r="Y461"/>
          <cell r="Z461"/>
          <cell r="AA461"/>
          <cell r="AB461"/>
          <cell r="AC461"/>
          <cell r="AD461"/>
          <cell r="AE461"/>
        </row>
        <row r="462">
          <cell r="G462"/>
          <cell r="H462"/>
          <cell r="I462"/>
          <cell r="J462"/>
          <cell r="K462"/>
          <cell r="L462"/>
          <cell r="M462"/>
          <cell r="N462"/>
          <cell r="O462"/>
          <cell r="P462"/>
          <cell r="Q462"/>
          <cell r="R462"/>
          <cell r="S462"/>
          <cell r="T462"/>
          <cell r="U462"/>
          <cell r="V462"/>
          <cell r="W462"/>
          <cell r="X462"/>
          <cell r="Y462"/>
          <cell r="Z462"/>
          <cell r="AA462"/>
          <cell r="AB462"/>
          <cell r="AC462"/>
          <cell r="AD462"/>
          <cell r="AE462"/>
        </row>
        <row r="463">
          <cell r="G463"/>
          <cell r="H463"/>
          <cell r="I463"/>
          <cell r="J463"/>
          <cell r="K463"/>
          <cell r="L463"/>
          <cell r="M463"/>
          <cell r="N463"/>
          <cell r="O463"/>
          <cell r="P463"/>
          <cell r="Q463"/>
          <cell r="R463"/>
          <cell r="S463"/>
          <cell r="T463"/>
          <cell r="U463"/>
          <cell r="V463"/>
          <cell r="W463"/>
          <cell r="X463"/>
          <cell r="Y463"/>
          <cell r="Z463"/>
          <cell r="AA463"/>
          <cell r="AB463"/>
          <cell r="AC463"/>
          <cell r="AD463"/>
          <cell r="AE463"/>
        </row>
        <row r="464">
          <cell r="G464"/>
          <cell r="H464"/>
          <cell r="I464"/>
          <cell r="J464"/>
          <cell r="K464"/>
          <cell r="L464"/>
          <cell r="M464"/>
          <cell r="N464"/>
          <cell r="O464"/>
          <cell r="P464"/>
          <cell r="Q464"/>
          <cell r="R464"/>
          <cell r="S464"/>
          <cell r="T464"/>
          <cell r="U464"/>
          <cell r="V464"/>
          <cell r="W464"/>
          <cell r="X464"/>
          <cell r="Y464"/>
          <cell r="Z464"/>
          <cell r="AA464"/>
          <cell r="AB464"/>
          <cell r="AC464"/>
          <cell r="AD464"/>
          <cell r="AE464"/>
        </row>
        <row r="465">
          <cell r="G465"/>
          <cell r="H465"/>
          <cell r="I465"/>
          <cell r="J465"/>
          <cell r="K465"/>
          <cell r="L465"/>
          <cell r="M465"/>
          <cell r="N465"/>
          <cell r="O465"/>
          <cell r="P465"/>
          <cell r="Q465"/>
          <cell r="R465"/>
          <cell r="S465"/>
          <cell r="T465"/>
          <cell r="U465"/>
          <cell r="V465"/>
          <cell r="W465"/>
          <cell r="X465"/>
          <cell r="Y465"/>
          <cell r="Z465"/>
          <cell r="AA465"/>
          <cell r="AB465"/>
          <cell r="AC465"/>
          <cell r="AD465"/>
          <cell r="AE465"/>
        </row>
        <row r="466">
          <cell r="G466"/>
          <cell r="H466"/>
          <cell r="I466"/>
          <cell r="J466"/>
          <cell r="K466"/>
          <cell r="L466"/>
          <cell r="M466"/>
          <cell r="N466"/>
          <cell r="O466"/>
          <cell r="P466"/>
          <cell r="Q466"/>
          <cell r="R466"/>
          <cell r="S466"/>
          <cell r="T466"/>
          <cell r="U466"/>
          <cell r="V466"/>
          <cell r="W466"/>
          <cell r="X466"/>
          <cell r="Y466"/>
          <cell r="Z466"/>
          <cell r="AA466"/>
          <cell r="AB466"/>
          <cell r="AC466"/>
          <cell r="AD466"/>
          <cell r="AE466"/>
        </row>
        <row r="467">
          <cell r="G467"/>
          <cell r="H467"/>
          <cell r="I467"/>
          <cell r="J467"/>
          <cell r="K467"/>
          <cell r="L467"/>
          <cell r="M467"/>
          <cell r="N467"/>
          <cell r="O467"/>
          <cell r="P467"/>
          <cell r="Q467"/>
          <cell r="R467"/>
          <cell r="S467"/>
          <cell r="T467"/>
          <cell r="U467"/>
          <cell r="V467"/>
          <cell r="W467"/>
          <cell r="X467"/>
          <cell r="Y467"/>
          <cell r="Z467"/>
          <cell r="AA467"/>
          <cell r="AB467"/>
          <cell r="AC467"/>
          <cell r="AD467"/>
          <cell r="AE467"/>
        </row>
        <row r="468">
          <cell r="G468"/>
          <cell r="H468"/>
          <cell r="I468"/>
          <cell r="J468"/>
          <cell r="K468"/>
          <cell r="L468"/>
          <cell r="M468"/>
          <cell r="N468"/>
          <cell r="O468"/>
          <cell r="P468"/>
          <cell r="Q468"/>
          <cell r="R468"/>
          <cell r="S468"/>
          <cell r="T468"/>
          <cell r="U468"/>
          <cell r="V468"/>
          <cell r="W468"/>
          <cell r="X468"/>
          <cell r="Y468"/>
          <cell r="Z468"/>
          <cell r="AA468"/>
          <cell r="AB468"/>
          <cell r="AC468"/>
          <cell r="AD468"/>
          <cell r="AE468"/>
        </row>
        <row r="469">
          <cell r="G469"/>
          <cell r="H469"/>
          <cell r="I469"/>
          <cell r="J469"/>
          <cell r="K469"/>
          <cell r="L469"/>
          <cell r="M469"/>
          <cell r="N469"/>
          <cell r="O469"/>
          <cell r="P469"/>
          <cell r="Q469"/>
          <cell r="R469"/>
          <cell r="S469"/>
          <cell r="T469"/>
          <cell r="U469"/>
          <cell r="V469"/>
          <cell r="W469"/>
          <cell r="X469"/>
          <cell r="Y469"/>
          <cell r="Z469"/>
          <cell r="AA469"/>
          <cell r="AB469"/>
          <cell r="AC469"/>
          <cell r="AD469"/>
          <cell r="AE469"/>
        </row>
        <row r="470">
          <cell r="G470"/>
          <cell r="H470"/>
          <cell r="I470"/>
          <cell r="J470"/>
          <cell r="K470"/>
          <cell r="L470"/>
          <cell r="M470"/>
          <cell r="N470"/>
          <cell r="O470"/>
          <cell r="P470"/>
          <cell r="Q470"/>
          <cell r="R470"/>
          <cell r="S470"/>
          <cell r="T470"/>
          <cell r="U470"/>
          <cell r="V470"/>
          <cell r="W470"/>
          <cell r="X470"/>
          <cell r="Y470"/>
          <cell r="Z470"/>
          <cell r="AA470"/>
          <cell r="AB470"/>
          <cell r="AC470"/>
          <cell r="AD470"/>
          <cell r="AE470"/>
        </row>
        <row r="471">
          <cell r="G471"/>
          <cell r="H471"/>
          <cell r="I471"/>
          <cell r="J471"/>
          <cell r="K471"/>
          <cell r="L471"/>
          <cell r="M471"/>
          <cell r="N471"/>
          <cell r="O471"/>
          <cell r="P471"/>
          <cell r="Q471"/>
          <cell r="R471"/>
          <cell r="S471"/>
          <cell r="T471"/>
          <cell r="U471"/>
          <cell r="V471"/>
          <cell r="W471"/>
          <cell r="X471"/>
          <cell r="Y471"/>
          <cell r="Z471"/>
          <cell r="AA471"/>
          <cell r="AB471"/>
          <cell r="AC471"/>
          <cell r="AD471"/>
          <cell r="AE471"/>
        </row>
        <row r="472">
          <cell r="G472"/>
          <cell r="H472"/>
          <cell r="I472"/>
          <cell r="J472"/>
          <cell r="K472"/>
          <cell r="L472"/>
          <cell r="M472"/>
          <cell r="N472"/>
          <cell r="O472"/>
          <cell r="P472"/>
          <cell r="Q472"/>
          <cell r="R472"/>
          <cell r="S472"/>
          <cell r="T472"/>
          <cell r="U472"/>
          <cell r="V472"/>
          <cell r="W472"/>
          <cell r="X472"/>
          <cell r="Y472"/>
          <cell r="Z472"/>
          <cell r="AA472"/>
          <cell r="AB472"/>
          <cell r="AC472"/>
          <cell r="AD472"/>
          <cell r="AE472"/>
        </row>
        <row r="473">
          <cell r="G473"/>
          <cell r="H473"/>
          <cell r="I473"/>
          <cell r="J473"/>
          <cell r="K473"/>
          <cell r="L473"/>
          <cell r="M473"/>
          <cell r="N473"/>
          <cell r="O473"/>
          <cell r="P473"/>
          <cell r="Q473"/>
          <cell r="R473"/>
          <cell r="S473"/>
          <cell r="T473"/>
          <cell r="U473"/>
          <cell r="V473"/>
          <cell r="W473"/>
          <cell r="X473"/>
          <cell r="Y473"/>
          <cell r="Z473"/>
          <cell r="AA473"/>
          <cell r="AB473"/>
          <cell r="AC473"/>
          <cell r="AD473"/>
          <cell r="AE473"/>
        </row>
        <row r="474">
          <cell r="G474"/>
          <cell r="H474"/>
          <cell r="I474"/>
          <cell r="J474"/>
          <cell r="K474"/>
          <cell r="L474"/>
          <cell r="M474"/>
          <cell r="N474"/>
          <cell r="O474"/>
          <cell r="P474"/>
          <cell r="Q474"/>
          <cell r="R474"/>
          <cell r="S474"/>
          <cell r="T474"/>
          <cell r="U474"/>
          <cell r="V474"/>
          <cell r="W474"/>
          <cell r="X474"/>
          <cell r="Y474"/>
          <cell r="Z474"/>
          <cell r="AA474"/>
          <cell r="AB474"/>
          <cell r="AC474"/>
          <cell r="AD474"/>
          <cell r="AE474"/>
        </row>
        <row r="475">
          <cell r="G475"/>
          <cell r="H475"/>
          <cell r="I475"/>
          <cell r="J475"/>
          <cell r="K475"/>
          <cell r="L475"/>
          <cell r="M475"/>
          <cell r="N475"/>
          <cell r="O475"/>
          <cell r="P475"/>
          <cell r="Q475"/>
          <cell r="R475"/>
          <cell r="S475"/>
          <cell r="T475"/>
          <cell r="U475"/>
          <cell r="V475"/>
          <cell r="W475"/>
          <cell r="X475"/>
          <cell r="Y475"/>
          <cell r="Z475"/>
          <cell r="AA475"/>
          <cell r="AB475"/>
          <cell r="AC475"/>
          <cell r="AD475"/>
          <cell r="AE475"/>
        </row>
        <row r="476">
          <cell r="G476"/>
          <cell r="H476"/>
          <cell r="I476"/>
          <cell r="J476"/>
          <cell r="K476"/>
          <cell r="L476"/>
          <cell r="M476"/>
          <cell r="N476"/>
          <cell r="O476"/>
          <cell r="P476"/>
          <cell r="Q476"/>
          <cell r="R476"/>
          <cell r="S476"/>
          <cell r="T476"/>
          <cell r="U476"/>
          <cell r="V476"/>
          <cell r="W476"/>
          <cell r="X476"/>
          <cell r="Y476"/>
          <cell r="Z476"/>
          <cell r="AA476"/>
          <cell r="AB476"/>
          <cell r="AC476"/>
          <cell r="AD476"/>
          <cell r="AE476"/>
        </row>
        <row r="477">
          <cell r="G477"/>
          <cell r="H477"/>
          <cell r="I477"/>
          <cell r="J477"/>
          <cell r="K477"/>
          <cell r="L477"/>
          <cell r="M477"/>
          <cell r="N477"/>
          <cell r="O477"/>
          <cell r="P477"/>
          <cell r="Q477"/>
          <cell r="R477"/>
          <cell r="S477"/>
          <cell r="T477"/>
          <cell r="U477"/>
          <cell r="V477"/>
          <cell r="W477"/>
          <cell r="X477"/>
          <cell r="Y477"/>
          <cell r="Z477"/>
          <cell r="AA477"/>
          <cell r="AB477"/>
          <cell r="AC477"/>
          <cell r="AD477"/>
          <cell r="AE477"/>
        </row>
        <row r="478">
          <cell r="G478"/>
          <cell r="H478"/>
          <cell r="I478"/>
          <cell r="J478"/>
          <cell r="K478"/>
          <cell r="L478"/>
          <cell r="M478"/>
          <cell r="N478"/>
          <cell r="O478"/>
          <cell r="P478"/>
          <cell r="Q478"/>
          <cell r="R478"/>
          <cell r="S478"/>
          <cell r="T478"/>
          <cell r="U478"/>
          <cell r="V478"/>
          <cell r="W478"/>
          <cell r="X478"/>
          <cell r="Y478"/>
          <cell r="Z478"/>
          <cell r="AA478"/>
          <cell r="AB478"/>
          <cell r="AC478"/>
          <cell r="AD478"/>
          <cell r="AE478"/>
        </row>
        <row r="479">
          <cell r="G479"/>
          <cell r="H479"/>
          <cell r="I479"/>
          <cell r="J479"/>
          <cell r="K479"/>
          <cell r="L479"/>
          <cell r="M479"/>
          <cell r="N479"/>
          <cell r="O479"/>
          <cell r="P479"/>
          <cell r="Q479"/>
          <cell r="R479"/>
          <cell r="S479"/>
          <cell r="T479"/>
          <cell r="U479"/>
          <cell r="V479"/>
          <cell r="W479"/>
          <cell r="X479"/>
          <cell r="Y479"/>
          <cell r="Z479"/>
          <cell r="AA479"/>
          <cell r="AB479"/>
          <cell r="AC479"/>
          <cell r="AD479"/>
          <cell r="AE479"/>
        </row>
        <row r="480">
          <cell r="G480"/>
          <cell r="H480"/>
          <cell r="I480"/>
          <cell r="J480"/>
          <cell r="K480"/>
          <cell r="L480"/>
          <cell r="M480"/>
          <cell r="N480"/>
          <cell r="O480"/>
          <cell r="P480"/>
          <cell r="Q480"/>
          <cell r="R480"/>
          <cell r="S480"/>
          <cell r="T480"/>
          <cell r="U480"/>
          <cell r="V480"/>
          <cell r="W480"/>
          <cell r="X480"/>
          <cell r="Y480"/>
          <cell r="Z480"/>
          <cell r="AA480"/>
          <cell r="AB480"/>
          <cell r="AC480"/>
          <cell r="AD480"/>
          <cell r="AE480"/>
        </row>
        <row r="481">
          <cell r="G481"/>
          <cell r="H481"/>
          <cell r="I481"/>
          <cell r="J481"/>
          <cell r="K481"/>
          <cell r="L481"/>
          <cell r="M481"/>
          <cell r="N481"/>
          <cell r="O481"/>
          <cell r="P481"/>
          <cell r="Q481"/>
          <cell r="R481"/>
          <cell r="S481"/>
          <cell r="T481"/>
          <cell r="U481"/>
          <cell r="V481"/>
          <cell r="W481"/>
          <cell r="X481"/>
          <cell r="Y481"/>
          <cell r="Z481"/>
          <cell r="AA481"/>
          <cell r="AB481"/>
          <cell r="AC481"/>
          <cell r="AD481"/>
          <cell r="AE481"/>
        </row>
        <row r="482">
          <cell r="G482"/>
          <cell r="H482"/>
          <cell r="I482"/>
          <cell r="J482"/>
          <cell r="K482"/>
          <cell r="L482"/>
          <cell r="M482"/>
          <cell r="N482"/>
          <cell r="O482"/>
          <cell r="P482"/>
          <cell r="Q482"/>
          <cell r="R482"/>
          <cell r="S482"/>
          <cell r="T482"/>
          <cell r="U482"/>
          <cell r="V482"/>
          <cell r="W482"/>
          <cell r="X482"/>
          <cell r="Y482"/>
          <cell r="Z482"/>
          <cell r="AA482"/>
          <cell r="AB482"/>
          <cell r="AC482"/>
          <cell r="AD482"/>
          <cell r="AE482"/>
        </row>
        <row r="483">
          <cell r="G483"/>
          <cell r="H483"/>
          <cell r="I483"/>
          <cell r="J483"/>
          <cell r="K483"/>
          <cell r="L483"/>
          <cell r="M483"/>
          <cell r="N483"/>
          <cell r="O483"/>
          <cell r="P483"/>
          <cell r="Q483"/>
          <cell r="R483"/>
          <cell r="S483"/>
          <cell r="T483"/>
          <cell r="U483"/>
          <cell r="V483"/>
          <cell r="W483"/>
          <cell r="X483"/>
          <cell r="Y483"/>
          <cell r="Z483"/>
          <cell r="AA483"/>
          <cell r="AB483"/>
          <cell r="AC483"/>
          <cell r="AD483"/>
          <cell r="AE483"/>
        </row>
        <row r="484">
          <cell r="G484"/>
          <cell r="H484"/>
          <cell r="I484"/>
          <cell r="J484"/>
          <cell r="K484"/>
          <cell r="L484"/>
          <cell r="M484"/>
          <cell r="N484"/>
          <cell r="O484"/>
          <cell r="P484"/>
          <cell r="Q484"/>
          <cell r="R484"/>
          <cell r="S484"/>
          <cell r="T484"/>
          <cell r="U484"/>
          <cell r="V484"/>
          <cell r="W484"/>
          <cell r="X484"/>
          <cell r="Y484"/>
          <cell r="Z484"/>
          <cell r="AA484"/>
          <cell r="AB484"/>
          <cell r="AC484"/>
          <cell r="AD484"/>
          <cell r="AE484"/>
        </row>
        <row r="485">
          <cell r="G485"/>
          <cell r="H485"/>
          <cell r="I485"/>
          <cell r="J485"/>
          <cell r="K485"/>
          <cell r="L485"/>
          <cell r="M485"/>
          <cell r="N485"/>
          <cell r="O485"/>
          <cell r="P485"/>
          <cell r="Q485"/>
          <cell r="R485"/>
          <cell r="S485"/>
          <cell r="T485"/>
          <cell r="U485"/>
          <cell r="V485"/>
          <cell r="W485"/>
          <cell r="X485"/>
          <cell r="Y485"/>
          <cell r="Z485"/>
          <cell r="AA485"/>
          <cell r="AB485"/>
          <cell r="AC485"/>
          <cell r="AD485"/>
          <cell r="AE485"/>
        </row>
        <row r="486">
          <cell r="G486"/>
          <cell r="H486"/>
          <cell r="I486"/>
          <cell r="J486"/>
          <cell r="K486"/>
          <cell r="L486"/>
          <cell r="M486"/>
          <cell r="N486"/>
          <cell r="O486"/>
          <cell r="P486"/>
          <cell r="Q486"/>
          <cell r="R486"/>
          <cell r="S486"/>
          <cell r="T486"/>
          <cell r="U486"/>
          <cell r="V486"/>
          <cell r="W486"/>
          <cell r="X486"/>
          <cell r="Y486"/>
          <cell r="Z486"/>
          <cell r="AA486"/>
          <cell r="AB486"/>
          <cell r="AC486"/>
          <cell r="AD486"/>
          <cell r="AE486"/>
        </row>
        <row r="487">
          <cell r="G487"/>
          <cell r="H487"/>
          <cell r="I487"/>
          <cell r="J487"/>
          <cell r="K487"/>
          <cell r="L487"/>
          <cell r="M487"/>
          <cell r="N487"/>
          <cell r="O487"/>
          <cell r="P487"/>
          <cell r="Q487"/>
          <cell r="R487"/>
          <cell r="S487"/>
          <cell r="T487"/>
          <cell r="U487"/>
          <cell r="V487"/>
          <cell r="W487"/>
          <cell r="X487"/>
          <cell r="Y487"/>
          <cell r="Z487"/>
          <cell r="AA487"/>
          <cell r="AB487"/>
          <cell r="AC487"/>
          <cell r="AD487"/>
          <cell r="AE487"/>
        </row>
        <row r="488">
          <cell r="G488"/>
          <cell r="H488"/>
          <cell r="I488"/>
          <cell r="J488"/>
          <cell r="K488"/>
          <cell r="L488"/>
          <cell r="M488"/>
          <cell r="N488"/>
          <cell r="O488"/>
          <cell r="P488"/>
          <cell r="Q488"/>
          <cell r="R488"/>
          <cell r="S488"/>
          <cell r="T488"/>
          <cell r="U488"/>
          <cell r="V488"/>
          <cell r="W488"/>
          <cell r="X488"/>
          <cell r="Y488"/>
          <cell r="Z488"/>
          <cell r="AA488"/>
          <cell r="AB488"/>
          <cell r="AC488"/>
          <cell r="AD488"/>
          <cell r="AE488"/>
        </row>
        <row r="489">
          <cell r="G489"/>
          <cell r="H489"/>
          <cell r="I489"/>
          <cell r="J489"/>
          <cell r="K489"/>
          <cell r="L489"/>
          <cell r="M489"/>
          <cell r="N489"/>
          <cell r="O489"/>
          <cell r="P489"/>
          <cell r="Q489"/>
          <cell r="R489"/>
          <cell r="S489"/>
          <cell r="T489"/>
          <cell r="U489"/>
          <cell r="V489"/>
          <cell r="W489"/>
          <cell r="X489"/>
          <cell r="Y489"/>
          <cell r="Z489"/>
          <cell r="AA489"/>
          <cell r="AB489"/>
          <cell r="AC489"/>
          <cell r="AD489"/>
          <cell r="AE489"/>
        </row>
        <row r="490">
          <cell r="G490"/>
          <cell r="H490"/>
          <cell r="I490"/>
          <cell r="J490"/>
          <cell r="K490"/>
          <cell r="L490"/>
          <cell r="M490"/>
          <cell r="N490"/>
          <cell r="O490"/>
          <cell r="P490"/>
          <cell r="Q490"/>
          <cell r="R490"/>
          <cell r="S490"/>
          <cell r="T490"/>
          <cell r="U490"/>
          <cell r="V490"/>
          <cell r="W490"/>
          <cell r="X490"/>
          <cell r="Y490"/>
          <cell r="Z490"/>
          <cell r="AA490"/>
          <cell r="AB490"/>
          <cell r="AC490"/>
          <cell r="AD490"/>
          <cell r="AE490"/>
        </row>
        <row r="491">
          <cell r="G491"/>
          <cell r="H491"/>
          <cell r="I491"/>
          <cell r="J491"/>
          <cell r="K491"/>
          <cell r="L491"/>
          <cell r="M491"/>
          <cell r="N491"/>
          <cell r="O491"/>
          <cell r="P491"/>
          <cell r="Q491"/>
          <cell r="R491"/>
          <cell r="S491"/>
          <cell r="T491"/>
          <cell r="U491"/>
          <cell r="V491"/>
          <cell r="W491"/>
          <cell r="X491"/>
          <cell r="Y491"/>
          <cell r="Z491"/>
          <cell r="AA491"/>
          <cell r="AB491"/>
          <cell r="AC491"/>
          <cell r="AD491"/>
          <cell r="AE491"/>
        </row>
        <row r="492">
          <cell r="G492"/>
          <cell r="H492"/>
          <cell r="I492"/>
          <cell r="J492"/>
          <cell r="K492"/>
          <cell r="L492"/>
          <cell r="M492"/>
          <cell r="N492"/>
          <cell r="O492"/>
          <cell r="P492"/>
          <cell r="Q492"/>
          <cell r="R492"/>
          <cell r="S492"/>
          <cell r="T492"/>
          <cell r="U492"/>
          <cell r="V492"/>
          <cell r="W492"/>
          <cell r="X492"/>
          <cell r="Y492"/>
          <cell r="Z492"/>
          <cell r="AA492"/>
          <cell r="AB492"/>
          <cell r="AC492"/>
          <cell r="AD492"/>
          <cell r="AE492"/>
        </row>
        <row r="493">
          <cell r="G493"/>
          <cell r="H493"/>
          <cell r="I493"/>
          <cell r="J493"/>
          <cell r="K493"/>
          <cell r="L493"/>
          <cell r="M493"/>
          <cell r="N493"/>
          <cell r="O493"/>
          <cell r="P493"/>
          <cell r="Q493"/>
          <cell r="R493"/>
          <cell r="S493"/>
          <cell r="T493"/>
          <cell r="U493"/>
          <cell r="V493"/>
          <cell r="W493"/>
          <cell r="X493"/>
          <cell r="Y493"/>
          <cell r="Z493"/>
          <cell r="AA493"/>
          <cell r="AB493"/>
          <cell r="AC493"/>
          <cell r="AD493"/>
          <cell r="AE493"/>
        </row>
        <row r="494">
          <cell r="G494"/>
          <cell r="H494"/>
          <cell r="I494"/>
          <cell r="J494"/>
          <cell r="K494"/>
          <cell r="L494"/>
          <cell r="M494"/>
          <cell r="N494"/>
          <cell r="O494"/>
          <cell r="P494"/>
          <cell r="Q494"/>
          <cell r="R494"/>
          <cell r="S494"/>
          <cell r="T494"/>
          <cell r="U494"/>
          <cell r="V494"/>
          <cell r="W494"/>
          <cell r="X494"/>
          <cell r="Y494"/>
          <cell r="Z494"/>
          <cell r="AA494"/>
          <cell r="AB494"/>
          <cell r="AC494"/>
          <cell r="AD494"/>
          <cell r="AE494"/>
        </row>
        <row r="495">
          <cell r="G495"/>
          <cell r="H495"/>
          <cell r="I495"/>
          <cell r="J495"/>
          <cell r="K495"/>
          <cell r="L495"/>
          <cell r="M495"/>
          <cell r="N495"/>
          <cell r="O495"/>
          <cell r="P495"/>
          <cell r="Q495"/>
          <cell r="R495"/>
          <cell r="S495"/>
          <cell r="T495"/>
          <cell r="U495"/>
          <cell r="V495"/>
          <cell r="W495"/>
          <cell r="X495"/>
          <cell r="Y495"/>
          <cell r="Z495"/>
          <cell r="AA495"/>
          <cell r="AB495"/>
          <cell r="AC495"/>
          <cell r="AD495"/>
          <cell r="AE495"/>
        </row>
        <row r="496">
          <cell r="G496"/>
          <cell r="H496"/>
          <cell r="I496"/>
          <cell r="J496"/>
          <cell r="K496"/>
          <cell r="L496"/>
          <cell r="M496"/>
          <cell r="N496"/>
          <cell r="O496"/>
          <cell r="P496"/>
          <cell r="Q496"/>
          <cell r="R496"/>
          <cell r="S496"/>
          <cell r="T496"/>
          <cell r="U496"/>
          <cell r="V496"/>
          <cell r="W496"/>
          <cell r="X496"/>
          <cell r="Y496"/>
          <cell r="Z496"/>
          <cell r="AA496"/>
          <cell r="AB496"/>
          <cell r="AC496"/>
          <cell r="AD496"/>
          <cell r="AE496"/>
        </row>
        <row r="497">
          <cell r="G497"/>
          <cell r="H497"/>
          <cell r="I497"/>
          <cell r="J497"/>
          <cell r="K497"/>
          <cell r="L497"/>
          <cell r="M497"/>
          <cell r="N497"/>
          <cell r="O497"/>
          <cell r="P497"/>
          <cell r="Q497"/>
          <cell r="R497"/>
          <cell r="S497"/>
          <cell r="T497"/>
          <cell r="U497"/>
          <cell r="V497"/>
          <cell r="W497"/>
          <cell r="X497"/>
          <cell r="Y497"/>
          <cell r="Z497"/>
          <cell r="AA497"/>
          <cell r="AB497"/>
          <cell r="AC497"/>
          <cell r="AD497"/>
          <cell r="AE497"/>
        </row>
        <row r="498">
          <cell r="G498"/>
          <cell r="H498"/>
          <cell r="I498"/>
          <cell r="J498"/>
          <cell r="K498"/>
          <cell r="L498"/>
          <cell r="M498"/>
          <cell r="N498"/>
          <cell r="O498"/>
          <cell r="P498"/>
          <cell r="Q498"/>
          <cell r="R498"/>
          <cell r="S498"/>
          <cell r="T498"/>
          <cell r="U498"/>
          <cell r="V498"/>
          <cell r="W498"/>
          <cell r="X498"/>
          <cell r="Y498"/>
          <cell r="Z498"/>
          <cell r="AA498"/>
          <cell r="AB498"/>
          <cell r="AC498"/>
          <cell r="AD498"/>
          <cell r="AE498"/>
        </row>
        <row r="499">
          <cell r="G499"/>
          <cell r="H499"/>
          <cell r="I499"/>
          <cell r="J499"/>
          <cell r="K499"/>
          <cell r="L499"/>
          <cell r="M499"/>
          <cell r="N499"/>
          <cell r="O499"/>
          <cell r="P499"/>
          <cell r="Q499"/>
          <cell r="R499"/>
          <cell r="S499"/>
          <cell r="T499"/>
          <cell r="U499"/>
          <cell r="V499"/>
          <cell r="W499"/>
          <cell r="X499"/>
          <cell r="Y499"/>
          <cell r="Z499"/>
          <cell r="AA499"/>
          <cell r="AB499"/>
          <cell r="AC499"/>
          <cell r="AD499"/>
          <cell r="AE499"/>
        </row>
        <row r="500">
          <cell r="G500"/>
          <cell r="H500"/>
          <cell r="I500"/>
          <cell r="J500"/>
          <cell r="K500"/>
          <cell r="L500"/>
          <cell r="M500"/>
          <cell r="N500"/>
          <cell r="O500"/>
          <cell r="P500"/>
          <cell r="Q500"/>
          <cell r="R500"/>
          <cell r="S500"/>
          <cell r="T500"/>
          <cell r="U500"/>
          <cell r="V500"/>
          <cell r="W500"/>
          <cell r="X500"/>
          <cell r="Y500"/>
          <cell r="Z500"/>
          <cell r="AA500"/>
          <cell r="AB500"/>
          <cell r="AC500"/>
          <cell r="AD500"/>
          <cell r="AE500"/>
        </row>
        <row r="501">
          <cell r="G501"/>
          <cell r="H501"/>
          <cell r="I501"/>
          <cell r="J501"/>
          <cell r="K501"/>
          <cell r="L501"/>
          <cell r="M501"/>
          <cell r="N501"/>
          <cell r="O501"/>
          <cell r="P501"/>
          <cell r="Q501"/>
          <cell r="R501"/>
          <cell r="S501"/>
          <cell r="T501"/>
          <cell r="U501"/>
          <cell r="V501"/>
          <cell r="W501"/>
          <cell r="X501"/>
          <cell r="Y501"/>
          <cell r="Z501"/>
          <cell r="AA501"/>
          <cell r="AB501"/>
          <cell r="AC501"/>
          <cell r="AD501"/>
          <cell r="AE501"/>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5">
          <cell r="B5" t="str">
            <v>Anchor</v>
          </cell>
          <cell r="C5" t="str">
            <v>Abrev</v>
          </cell>
          <cell r="D5" t="str">
            <v>POPULATION FORECAST (1000s)</v>
          </cell>
          <cell r="E5" t="str">
            <v>Scenario</v>
          </cell>
          <cell r="F5">
            <v>1985</v>
          </cell>
          <cell r="G5">
            <v>1986</v>
          </cell>
          <cell r="H5">
            <v>1987</v>
          </cell>
          <cell r="I5">
            <v>1988</v>
          </cell>
          <cell r="J5">
            <v>1989</v>
          </cell>
          <cell r="K5">
            <v>1990</v>
          </cell>
          <cell r="L5">
            <v>1991</v>
          </cell>
          <cell r="M5">
            <v>1992</v>
          </cell>
          <cell r="N5">
            <v>1993</v>
          </cell>
          <cell r="O5">
            <v>1994</v>
          </cell>
          <cell r="P5">
            <v>1995</v>
          </cell>
          <cell r="Q5">
            <v>1996</v>
          </cell>
          <cell r="R5">
            <v>1997</v>
          </cell>
          <cell r="S5">
            <v>1998</v>
          </cell>
          <cell r="T5">
            <v>1999</v>
          </cell>
          <cell r="U5">
            <v>2000</v>
          </cell>
          <cell r="V5">
            <v>2001</v>
          </cell>
          <cell r="W5">
            <v>2002</v>
          </cell>
          <cell r="X5">
            <v>2003</v>
          </cell>
          <cell r="Y5">
            <v>2004</v>
          </cell>
          <cell r="Z5">
            <v>2005</v>
          </cell>
          <cell r="AA5">
            <v>2006</v>
          </cell>
          <cell r="AB5">
            <v>2007</v>
          </cell>
          <cell r="AC5">
            <v>2008</v>
          </cell>
          <cell r="AD5">
            <v>2009</v>
          </cell>
          <cell r="AE5">
            <v>2010</v>
          </cell>
          <cell r="AF5">
            <v>2011</v>
          </cell>
          <cell r="AG5">
            <v>2012</v>
          </cell>
          <cell r="AH5">
            <v>2013</v>
          </cell>
          <cell r="AI5">
            <v>2014</v>
          </cell>
          <cell r="AJ5">
            <v>2015</v>
          </cell>
          <cell r="AK5">
            <v>2016</v>
          </cell>
          <cell r="AL5">
            <v>2017</v>
          </cell>
          <cell r="AM5">
            <v>2018</v>
          </cell>
          <cell r="AN5">
            <v>2019</v>
          </cell>
          <cell r="AO5">
            <v>2020</v>
          </cell>
          <cell r="AP5">
            <v>2021</v>
          </cell>
          <cell r="AQ5">
            <v>2022</v>
          </cell>
          <cell r="AR5">
            <v>2023</v>
          </cell>
          <cell r="AS5">
            <v>2024</v>
          </cell>
          <cell r="AT5">
            <v>2025</v>
          </cell>
          <cell r="AU5">
            <v>2026</v>
          </cell>
          <cell r="AV5">
            <v>2027</v>
          </cell>
          <cell r="AW5">
            <v>2028</v>
          </cell>
          <cell r="AX5">
            <v>2029</v>
          </cell>
          <cell r="AY5">
            <v>2030</v>
          </cell>
          <cell r="AZ5">
            <v>2031</v>
          </cell>
          <cell r="BA5">
            <v>2032</v>
          </cell>
          <cell r="BB5">
            <v>2033</v>
          </cell>
          <cell r="BC5">
            <v>2034</v>
          </cell>
        </row>
        <row r="6">
          <cell r="B6" t="str">
            <v>OrPopStock</v>
          </cell>
          <cell r="C6" t="str">
            <v>Or</v>
          </cell>
          <cell r="D6" t="str">
            <v>Oregon</v>
          </cell>
          <cell r="E6" t="str">
            <v>Trend (basecase)</v>
          </cell>
          <cell r="F6">
            <v>2674.306</v>
          </cell>
          <cell r="G6">
            <v>2686.1149999999998</v>
          </cell>
          <cell r="H6">
            <v>2707.4250000000002</v>
          </cell>
          <cell r="I6">
            <v>2747.9569999999999</v>
          </cell>
          <cell r="J6">
            <v>2800.471</v>
          </cell>
          <cell r="K6">
            <v>2868.6590000000001</v>
          </cell>
          <cell r="L6">
            <v>2935.9960000000001</v>
          </cell>
          <cell r="M6">
            <v>3000.55</v>
          </cell>
          <cell r="N6">
            <v>3067.395</v>
          </cell>
          <cell r="O6">
            <v>3129.1930000000002</v>
          </cell>
          <cell r="P6">
            <v>3192.0929999999998</v>
          </cell>
          <cell r="Q6">
            <v>3253.8310000000001</v>
          </cell>
          <cell r="R6">
            <v>3309.7</v>
          </cell>
          <cell r="S6">
            <v>3357.1759999999999</v>
          </cell>
          <cell r="T6">
            <v>3398.232</v>
          </cell>
          <cell r="U6">
            <v>3434.8069999999998</v>
          </cell>
          <cell r="V6">
            <v>3474.0340000000001</v>
          </cell>
          <cell r="W6">
            <v>3516.915</v>
          </cell>
          <cell r="X6">
            <v>3549.38</v>
          </cell>
          <cell r="Y6">
            <v>3576.2510000000002</v>
          </cell>
          <cell r="Z6">
            <v>3621.221</v>
          </cell>
          <cell r="AA6">
            <v>3676.88</v>
          </cell>
          <cell r="AB6">
            <v>3727.835</v>
          </cell>
          <cell r="AC6">
            <v>3773.288</v>
          </cell>
          <cell r="AD6">
            <v>3811.7179999999998</v>
          </cell>
          <cell r="AE6">
            <v>3841.4360000000001</v>
          </cell>
          <cell r="AF6">
            <v>3871.9769999999999</v>
          </cell>
          <cell r="AG6">
            <v>3903.4650000000001</v>
          </cell>
          <cell r="AH6">
            <v>3934.049</v>
          </cell>
          <cell r="AI6">
            <v>3966.8829999999998</v>
          </cell>
          <cell r="AJ6">
            <v>4002.799</v>
          </cell>
          <cell r="AK6">
            <v>4039.9940000000001</v>
          </cell>
          <cell r="AL6">
            <v>4078.125</v>
          </cell>
          <cell r="AM6">
            <v>4116.6090000000004</v>
          </cell>
          <cell r="AN6">
            <v>4154.674</v>
          </cell>
          <cell r="AO6">
            <v>4192.0780000000004</v>
          </cell>
          <cell r="AP6">
            <v>4228.7430000000004</v>
          </cell>
          <cell r="AQ6">
            <v>4264.6490000000003</v>
          </cell>
          <cell r="AR6">
            <v>4299.7920000000004</v>
          </cell>
          <cell r="AS6">
            <v>4334.1710000000003</v>
          </cell>
          <cell r="AT6">
            <v>4367.7330000000002</v>
          </cell>
          <cell r="AU6">
            <v>4400.4340000000002</v>
          </cell>
          <cell r="AV6">
            <v>4432.5820000000003</v>
          </cell>
          <cell r="AW6">
            <v>4464.3519999999999</v>
          </cell>
          <cell r="AX6">
            <v>4495.7730000000001</v>
          </cell>
          <cell r="AY6">
            <v>4526.8729999999996</v>
          </cell>
          <cell r="AZ6">
            <v>4557.6930000000002</v>
          </cell>
          <cell r="BA6">
            <v>4588.2659999999996</v>
          </cell>
          <cell r="BB6">
            <v>4618.6210000000001</v>
          </cell>
          <cell r="BC6">
            <v>4648.692</v>
          </cell>
        </row>
        <row r="7">
          <cell r="B7" t="str">
            <v>WAPopStock</v>
          </cell>
          <cell r="C7" t="str">
            <v>WA</v>
          </cell>
          <cell r="D7" t="str">
            <v>Washington</v>
          </cell>
          <cell r="E7" t="str">
            <v>Trend (basecase)</v>
          </cell>
          <cell r="F7">
            <v>4406.3850000000002</v>
          </cell>
          <cell r="G7">
            <v>4464.1899999999996</v>
          </cell>
          <cell r="H7">
            <v>4547.0309999999999</v>
          </cell>
          <cell r="I7">
            <v>4652.9070000000002</v>
          </cell>
          <cell r="J7">
            <v>4768.7150000000001</v>
          </cell>
          <cell r="K7">
            <v>4915.9459999999999</v>
          </cell>
          <cell r="L7">
            <v>5043.0330000000004</v>
          </cell>
          <cell r="M7">
            <v>5174.2219999999998</v>
          </cell>
          <cell r="N7">
            <v>5289.3639999999996</v>
          </cell>
          <cell r="O7">
            <v>5388.8370000000004</v>
          </cell>
          <cell r="P7">
            <v>5490.92</v>
          </cell>
          <cell r="Q7">
            <v>5583.7539999999999</v>
          </cell>
          <cell r="R7">
            <v>5685.8310000000001</v>
          </cell>
          <cell r="S7">
            <v>5777.2370000000001</v>
          </cell>
          <cell r="T7">
            <v>5850.9089999999997</v>
          </cell>
          <cell r="U7">
            <v>5920.5039999999999</v>
          </cell>
          <cell r="V7">
            <v>5993.451</v>
          </cell>
          <cell r="W7">
            <v>6057.85</v>
          </cell>
          <cell r="X7">
            <v>6114.7939999999999</v>
          </cell>
          <cell r="Y7">
            <v>6188.66</v>
          </cell>
          <cell r="Z7">
            <v>6273.5249999999996</v>
          </cell>
          <cell r="AA7">
            <v>6380.576</v>
          </cell>
          <cell r="AB7">
            <v>6474.665</v>
          </cell>
          <cell r="AC7">
            <v>6575.5370000000003</v>
          </cell>
          <cell r="AD7">
            <v>6675.0910000000003</v>
          </cell>
          <cell r="AE7">
            <v>6752.683</v>
          </cell>
          <cell r="AF7">
            <v>6830.3310000000001</v>
          </cell>
          <cell r="AG7">
            <v>6904.9059999999999</v>
          </cell>
          <cell r="AH7">
            <v>6981</v>
          </cell>
          <cell r="AI7">
            <v>7058.0010000000002</v>
          </cell>
          <cell r="AJ7">
            <v>7134.8850000000002</v>
          </cell>
          <cell r="AK7">
            <v>7210.4989999999998</v>
          </cell>
          <cell r="AL7">
            <v>7285.5159999999996</v>
          </cell>
          <cell r="AM7">
            <v>7360.0730000000003</v>
          </cell>
          <cell r="AN7">
            <v>7433.7640000000001</v>
          </cell>
          <cell r="AO7">
            <v>7506.3230000000003</v>
          </cell>
          <cell r="AP7">
            <v>7577.2960000000003</v>
          </cell>
          <cell r="AQ7">
            <v>7646.607</v>
          </cell>
          <cell r="AR7">
            <v>7714.268</v>
          </cell>
          <cell r="AS7">
            <v>7780.4369999999999</v>
          </cell>
          <cell r="AT7">
            <v>7845.4889999999996</v>
          </cell>
          <cell r="AU7">
            <v>7909.7030000000004</v>
          </cell>
          <cell r="AV7">
            <v>7973.1719999999996</v>
          </cell>
          <cell r="AW7">
            <v>8035.9170000000004</v>
          </cell>
          <cell r="AX7">
            <v>8097.9880000000003</v>
          </cell>
          <cell r="AY7">
            <v>8159.4440000000004</v>
          </cell>
          <cell r="AZ7">
            <v>8220.3349999999991</v>
          </cell>
          <cell r="BA7">
            <v>8280.7260000000006</v>
          </cell>
          <cell r="BB7">
            <v>8340.6640000000007</v>
          </cell>
          <cell r="BC7">
            <v>8400.2720000000008</v>
          </cell>
        </row>
        <row r="8">
          <cell r="B8" t="str">
            <v>IDPopStock</v>
          </cell>
          <cell r="C8" t="str">
            <v>ID</v>
          </cell>
          <cell r="D8" t="str">
            <v>Idaho</v>
          </cell>
          <cell r="E8" t="str">
            <v>Trend (basecase)</v>
          </cell>
          <cell r="F8">
            <v>993.13199999999995</v>
          </cell>
          <cell r="G8">
            <v>989.48</v>
          </cell>
          <cell r="H8">
            <v>985.447</v>
          </cell>
          <cell r="I8">
            <v>987.25800000000004</v>
          </cell>
          <cell r="J8">
            <v>997.22299999999996</v>
          </cell>
          <cell r="K8">
            <v>1016.634</v>
          </cell>
          <cell r="L8">
            <v>1045.135</v>
          </cell>
          <cell r="M8">
            <v>1076.6510000000001</v>
          </cell>
          <cell r="N8">
            <v>1113.1759999999999</v>
          </cell>
          <cell r="O8">
            <v>1148.825</v>
          </cell>
          <cell r="P8">
            <v>1180.0889999999999</v>
          </cell>
          <cell r="Q8">
            <v>1206.2</v>
          </cell>
          <cell r="R8">
            <v>1231.357</v>
          </cell>
          <cell r="S8">
            <v>1255.1849999999999</v>
          </cell>
          <cell r="T8">
            <v>1278.7760000000001</v>
          </cell>
          <cell r="U8">
            <v>1301.894</v>
          </cell>
          <cell r="V8">
            <v>1322.481</v>
          </cell>
          <cell r="W8">
            <v>1343.3820000000001</v>
          </cell>
          <cell r="X8">
            <v>1367.23</v>
          </cell>
          <cell r="Y8">
            <v>1396.7929999999999</v>
          </cell>
          <cell r="Z8">
            <v>1433.46</v>
          </cell>
          <cell r="AA8">
            <v>1472.8989999999999</v>
          </cell>
          <cell r="AB8">
            <v>1508.2539999999999</v>
          </cell>
          <cell r="AC8">
            <v>1536.239</v>
          </cell>
          <cell r="AD8">
            <v>1556.479</v>
          </cell>
          <cell r="AE8">
            <v>1572.4290000000001</v>
          </cell>
          <cell r="AF8">
            <v>1585.2860000000001</v>
          </cell>
          <cell r="AG8">
            <v>1597.952</v>
          </cell>
          <cell r="AH8">
            <v>1614.3810000000001</v>
          </cell>
          <cell r="AI8">
            <v>1633.1020000000001</v>
          </cell>
          <cell r="AJ8">
            <v>1653.616</v>
          </cell>
          <cell r="AK8">
            <v>1675.2660000000001</v>
          </cell>
          <cell r="AL8">
            <v>1698.1659999999999</v>
          </cell>
          <cell r="AM8">
            <v>1722.0160000000001</v>
          </cell>
          <cell r="AN8">
            <v>1746.183</v>
          </cell>
          <cell r="AO8">
            <v>1770.4179999999999</v>
          </cell>
          <cell r="AP8">
            <v>1794.69</v>
          </cell>
          <cell r="AQ8">
            <v>1818.9970000000001</v>
          </cell>
          <cell r="AR8">
            <v>1843.36</v>
          </cell>
          <cell r="AS8">
            <v>1867.77</v>
          </cell>
          <cell r="AT8">
            <v>1892.2149999999999</v>
          </cell>
          <cell r="AU8">
            <v>1916.6949999999999</v>
          </cell>
          <cell r="AV8">
            <v>1941.2059999999999</v>
          </cell>
          <cell r="AW8">
            <v>1965.741</v>
          </cell>
          <cell r="AX8">
            <v>1990.2360000000001</v>
          </cell>
          <cell r="AY8">
            <v>2014.665</v>
          </cell>
          <cell r="AZ8">
            <v>2039.0309999999999</v>
          </cell>
          <cell r="BA8">
            <v>2063.33</v>
          </cell>
          <cell r="BB8">
            <v>2087.5639999999999</v>
          </cell>
          <cell r="BC8">
            <v>2111.7449999999999</v>
          </cell>
        </row>
        <row r="9">
          <cell r="B9" t="str">
            <v>MTPopStock</v>
          </cell>
          <cell r="C9" t="str">
            <v>MT</v>
          </cell>
          <cell r="D9" t="str">
            <v>Montana</v>
          </cell>
          <cell r="E9" t="str">
            <v>Trend (basecase)</v>
          </cell>
          <cell r="F9">
            <v>820.61699999999996</v>
          </cell>
          <cell r="G9">
            <v>812.64099999999996</v>
          </cell>
          <cell r="H9">
            <v>804.69</v>
          </cell>
          <cell r="I9">
            <v>800.39700000000005</v>
          </cell>
          <cell r="J9">
            <v>799.77599999999995</v>
          </cell>
          <cell r="K9">
            <v>801.93899999999996</v>
          </cell>
          <cell r="L9">
            <v>812.08500000000004</v>
          </cell>
          <cell r="M9">
            <v>828.29399999999998</v>
          </cell>
          <cell r="N9">
            <v>846.649</v>
          </cell>
          <cell r="O9">
            <v>863.10900000000004</v>
          </cell>
          <cell r="P9">
            <v>877.40700000000004</v>
          </cell>
          <cell r="Q9">
            <v>886.32100000000003</v>
          </cell>
          <cell r="R9">
            <v>890.12</v>
          </cell>
          <cell r="S9">
            <v>893.221</v>
          </cell>
          <cell r="T9">
            <v>898.36199999999997</v>
          </cell>
          <cell r="U9">
            <v>903.97699999999998</v>
          </cell>
          <cell r="V9">
            <v>907.64300000000003</v>
          </cell>
          <cell r="W9">
            <v>912.86199999999997</v>
          </cell>
          <cell r="X9">
            <v>921.07</v>
          </cell>
          <cell r="Y9">
            <v>931.24400000000003</v>
          </cell>
          <cell r="Z9">
            <v>941.82</v>
          </cell>
          <cell r="AA9">
            <v>954.14599999999996</v>
          </cell>
          <cell r="AB9">
            <v>966.13900000000001</v>
          </cell>
          <cell r="AC9">
            <v>977.09500000000003</v>
          </cell>
          <cell r="AD9">
            <v>984.86599999999999</v>
          </cell>
          <cell r="AE9">
            <v>991.57600000000002</v>
          </cell>
          <cell r="AF9">
            <v>998.63499999999999</v>
          </cell>
          <cell r="AG9">
            <v>1006.807</v>
          </cell>
          <cell r="AH9">
            <v>1016.352</v>
          </cell>
          <cell r="AI9">
            <v>1025.7760000000001</v>
          </cell>
          <cell r="AJ9">
            <v>1034.779</v>
          </cell>
          <cell r="AK9">
            <v>1043.723</v>
          </cell>
          <cell r="AL9">
            <v>1052.69</v>
          </cell>
          <cell r="AM9">
            <v>1061.3920000000001</v>
          </cell>
          <cell r="AN9">
            <v>1069.5709999999999</v>
          </cell>
          <cell r="AO9">
            <v>1077.162</v>
          </cell>
          <cell r="AP9">
            <v>1084.1869999999999</v>
          </cell>
          <cell r="AQ9">
            <v>1090.6420000000001</v>
          </cell>
          <cell r="AR9">
            <v>1096.5219999999999</v>
          </cell>
          <cell r="AS9">
            <v>1101.83</v>
          </cell>
          <cell r="AT9">
            <v>1106.683</v>
          </cell>
          <cell r="AU9">
            <v>1111.384</v>
          </cell>
          <cell r="AV9">
            <v>1115.998</v>
          </cell>
          <cell r="AW9">
            <v>1120.511</v>
          </cell>
          <cell r="AX9">
            <v>1124.9100000000001</v>
          </cell>
          <cell r="AY9">
            <v>1129.1980000000001</v>
          </cell>
          <cell r="AZ9">
            <v>1133.386</v>
          </cell>
          <cell r="BA9">
            <v>1137.4849999999999</v>
          </cell>
          <cell r="BB9">
            <v>1141.509</v>
          </cell>
          <cell r="BC9">
            <v>1145.4690000000001</v>
          </cell>
        </row>
        <row r="10">
          <cell r="B10" t="str">
            <v>RegionPopStock</v>
          </cell>
          <cell r="C10" t="str">
            <v>Region</v>
          </cell>
          <cell r="D10" t="str">
            <v>Region (with WMT only)</v>
          </cell>
          <cell r="E10" t="str">
            <v>Trend (basecase)</v>
          </cell>
          <cell r="F10">
            <v>8541.5746899999995</v>
          </cell>
          <cell r="G10">
            <v>8602.9903699999995</v>
          </cell>
          <cell r="H10">
            <v>8698.5763000000006</v>
          </cell>
          <cell r="I10">
            <v>8844.3482899999999</v>
          </cell>
          <cell r="J10">
            <v>9022.2813200000001</v>
          </cell>
          <cell r="K10">
            <v>9258.3442299999988</v>
          </cell>
          <cell r="L10">
            <v>9487.052450000001</v>
          </cell>
          <cell r="M10">
            <v>9723.550580000001</v>
          </cell>
          <cell r="N10">
            <v>9952.5249299999996</v>
          </cell>
          <cell r="O10">
            <v>10158.827130000001</v>
          </cell>
          <cell r="P10">
            <v>10363.223989999999</v>
          </cell>
          <cell r="Q10">
            <v>10548.98797</v>
          </cell>
          <cell r="R10">
            <v>10734.256399999998</v>
          </cell>
          <cell r="S10">
            <v>10898.733969999999</v>
          </cell>
          <cell r="T10">
            <v>11039.983339999999</v>
          </cell>
          <cell r="U10">
            <v>11172.471890000001</v>
          </cell>
          <cell r="V10">
            <v>11307.32251</v>
          </cell>
          <cell r="W10">
            <v>11438.47834</v>
          </cell>
          <cell r="X10">
            <v>11556.4139</v>
          </cell>
          <cell r="Y10">
            <v>11692.513080000001</v>
          </cell>
          <cell r="Z10">
            <v>11865.043399999999</v>
          </cell>
          <cell r="AA10">
            <v>12074.218219999999</v>
          </cell>
          <cell r="AB10">
            <v>12261.453230000001</v>
          </cell>
          <cell r="AC10">
            <v>12442.00815</v>
          </cell>
          <cell r="AD10">
            <v>12604.661620000001</v>
          </cell>
          <cell r="AE10">
            <v>12731.74632</v>
          </cell>
          <cell r="AF10">
            <v>12856.81595</v>
          </cell>
          <cell r="AG10">
            <v>12980.202989999998</v>
          </cell>
          <cell r="AH10">
            <v>13108.750639999998</v>
          </cell>
          <cell r="AI10">
            <v>13242.678320000001</v>
          </cell>
          <cell r="AJ10">
            <v>13381.124030000001</v>
          </cell>
          <cell r="AK10">
            <v>13520.68111</v>
          </cell>
          <cell r="AL10">
            <v>13661.840299999998</v>
          </cell>
          <cell r="AM10">
            <v>13803.691440000001</v>
          </cell>
          <cell r="AN10">
            <v>13944.276469999999</v>
          </cell>
          <cell r="AO10">
            <v>14082.801340000002</v>
          </cell>
          <cell r="AP10">
            <v>14218.715590000002</v>
          </cell>
          <cell r="AQ10">
            <v>14351.918940000001</v>
          </cell>
          <cell r="AR10">
            <v>14482.437540000003</v>
          </cell>
          <cell r="AS10">
            <v>14610.4211</v>
          </cell>
          <cell r="AT10">
            <v>14736.24631</v>
          </cell>
          <cell r="AU10">
            <v>14860.320880000001</v>
          </cell>
          <cell r="AV10">
            <v>14983.078860000001</v>
          </cell>
          <cell r="AW10">
            <v>15104.70127</v>
          </cell>
          <cell r="AX10">
            <v>15225.195700000002</v>
          </cell>
          <cell r="AY10">
            <v>15344.62486</v>
          </cell>
          <cell r="AZ10">
            <v>15463.089019999998</v>
          </cell>
          <cell r="BA10">
            <v>15580.68845</v>
          </cell>
          <cell r="BB10">
            <v>15697.50913</v>
          </cell>
          <cell r="BC10">
            <v>15813.626329999999</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Summary"/>
      <sheetName val="MeasureTable"/>
      <sheetName val="ProData"/>
      <sheetName val="EFTanks"/>
      <sheetName val="Input Assumptions"/>
      <sheetName val="Weather"/>
      <sheetName val="TMY3"/>
      <sheetName val="LookupTable"/>
    </sheetNames>
    <sheetDataSet>
      <sheetData sheetId="0"/>
      <sheetData sheetId="1"/>
      <sheetData sheetId="2">
        <row r="5">
          <cell r="F5" t="str">
            <v>6P MidC Final (with carbon)</v>
          </cell>
        </row>
      </sheetData>
      <sheetData sheetId="3">
        <row r="47">
          <cell r="A47" t="str">
            <v>Freeze Resistant Stock Water Tanks/Fountains - Heating Zone 3</v>
          </cell>
        </row>
      </sheetData>
      <sheetData sheetId="4"/>
      <sheetData sheetId="5"/>
      <sheetData sheetId="6"/>
      <sheetData sheetId="7">
        <row r="3">
          <cell r="A3" t="str">
            <v>Freeze Resistant Stock Water Tanks/Fountains - Heating Zone 3</v>
          </cell>
        </row>
      </sheetData>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HOU Averages"/>
      <sheetName val="Presentation"/>
      <sheetName val="Recommendation Memo Needs"/>
    </sheetNames>
    <sheetDataSet>
      <sheetData sheetId="0">
        <row r="51">
          <cell r="B51">
            <v>4771.8962253193968</v>
          </cell>
        </row>
        <row r="53">
          <cell r="B53">
            <v>4782.68857801185</v>
          </cell>
          <cell r="F53">
            <v>14.285963687150836</v>
          </cell>
          <cell r="G53">
            <v>334.78235579679676</v>
          </cell>
        </row>
        <row r="54">
          <cell r="B54">
            <v>2689.126735714286</v>
          </cell>
        </row>
      </sheetData>
      <sheetData sheetId="1"/>
      <sheetData sheetId="2"/>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Summary"/>
      <sheetName val="Checklist"/>
      <sheetName val="MeasureTable"/>
      <sheetName val="ProData"/>
      <sheetName val="Measure_InputOutput"/>
      <sheetName val="LookupTable"/>
      <sheetName val="ValidationLists"/>
      <sheetName val="SavingsData&amp;Analysis"/>
      <sheetName val="CEC Database"/>
      <sheetName val="CostData&amp;Analysis"/>
      <sheetName val="FSTC Qualifying Equipment"/>
      <sheetName val="ProCost 6th Plan Inputs"/>
      <sheetName val="Levelized Cost Note"/>
      <sheetName val="Problems"/>
      <sheetName val="ComCookingHotFoodCabinet_v2_0"/>
    </sheetNames>
    <definedNames>
      <definedName name="ListLinks"/>
    </definedNames>
    <sheetDataSet>
      <sheetData sheetId="0"/>
      <sheetData sheetId="1"/>
      <sheetData sheetId="2">
        <row r="8">
          <cell r="A8" t="str">
            <v>Commercial</v>
          </cell>
        </row>
        <row r="9">
          <cell r="A9" t="str">
            <v>Commercial</v>
          </cell>
        </row>
      </sheetData>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Summary"/>
      <sheetName val="Checklist"/>
      <sheetName val="MeasureTable"/>
      <sheetName val="ProData"/>
      <sheetName val="Measure_InputOutput"/>
      <sheetName val="LookupTable"/>
      <sheetName val="SavingsData&amp;Analysis"/>
      <sheetName val="CostData&amp;Analysis"/>
      <sheetName val="ValidationLists"/>
      <sheetName val="ProCost 6th Plan Inputs"/>
      <sheetName val="Levelized Cost Note"/>
      <sheetName val="Problems"/>
      <sheetName val="ComCookingSteamer_v2_0"/>
    </sheetNames>
    <definedNames>
      <definedName name="ListLinks"/>
    </definedNames>
    <sheetDataSet>
      <sheetData sheetId="0"/>
      <sheetData sheetId="1"/>
      <sheetData sheetId="2">
        <row r="8">
          <cell r="A8" t="str">
            <v>Commercial</v>
          </cell>
        </row>
        <row r="9">
          <cell r="A9" t="str">
            <v>Commercial</v>
          </cell>
        </row>
        <row r="10">
          <cell r="A10" t="str">
            <v>Commercial</v>
          </cell>
        </row>
        <row r="11">
          <cell r="A11" t="str">
            <v>Commercial</v>
          </cell>
        </row>
        <row r="12">
          <cell r="A12" t="str">
            <v>Commercial</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7.xml.rels><?xml version="1.0" encoding="UTF-8" standalone="yes"?>
<Relationships xmlns="http://schemas.openxmlformats.org/package/2006/relationships"><Relationship Id="rId3" Type="http://schemas.openxmlformats.org/officeDocument/2006/relationships/hyperlink" Target="https://www.google.com/aclk?sa=l&amp;ai=C8NIOvgDwUbXAG-yEigKu24HABvi5kIMGuNS8lF6olv-ntAEICRACINbOzx4oCFCbwP3SBWDJhv6LzKTUGaABoJe21APIAQeqBCdP0D1V0lRp-dORmohtqA2MNLh8nZqO2rinwNZAzbL0ZV5srVRW0crABQWgBia4BgGAB8joySvgEoPB77nlk6_lPA&amp;sig=AOD64_1TaDBixfxCc0iEgyPmriNnokjXbw&amp;ctype=5&amp;ved=0CA8QqxI&amp;adurl=http://www.restaurantequipmentsolutions.com/VLCN-C24EA10-DLX.html" TargetMode="External"/><Relationship Id="rId2" Type="http://schemas.openxmlformats.org/officeDocument/2006/relationships/hyperlink" Target="https://www.google.com/aclk?sa=l&amp;ai=CEltDqgDwUfr9Ba3iiQLGkoD4Dvi5kIMGqKm8lF7wya3i0gEICRABINbOzx4oAlDYx7rcB2DJhv6LzKTUGaABoJe21APIAQeqBCdP0EfTwhqPzTXlwDjNVVm4NpUVF6wWWYyNX3MVVX8tyVPG47URj9DABQWgBia4BgGAB8joySvgEpXl0pD3uKbPsAE&amp;sig=AOD64_3P8i4mxUTkS2yJ4KJqaoGSvPxxtQ&amp;ctype=5&amp;ved=0CAsQqxI&amp;adurl=http://www.restaurantequipmentsolutions.com/MRKT-EJ-10E.html" TargetMode="External"/><Relationship Id="rId1" Type="http://schemas.openxmlformats.org/officeDocument/2006/relationships/hyperlink" Target="https://www.google.com/aclk?sa=l&amp;ai=CxVcAkADwUYWoO-X3iQL3y4HwDpGl7cMDoYv8tFqo4LuORAgJEAEg1s7PHigCUI6cl579_____wFgyYb-i8yk1BmgAdOu3P4DyAEHqgQjT9DTe99ec-F19IdwQdXHxFDMoOzABuyPl-UimbbYdpUqRsjABQWgBia4BgGAB5XRowHgEtu1psjWxNWWMw&amp;sig=AOD64_2j46gAzctMe9slWhrcmbt9dx5XNw&amp;ctype=5&amp;ved=0CAsQqxI&amp;adurl=http://www.rewonline.com/cgi-bin/rex/rex.cgi%3Fcommand%3Ddetailid%26src%3Dfrg%26prodid%3DGRN-2SSB-10EF-LH-240-3" TargetMode="External"/><Relationship Id="rId4" Type="http://schemas.openxmlformats.org/officeDocument/2006/relationships/hyperlink" Target="http://www.foodservicewarehouse.com/cleveland-range/24-cea-10/p2033.aspx" TargetMode="Externa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Sheet1"/>
  <dimension ref="C1:E37"/>
  <sheetViews>
    <sheetView tabSelected="1" zoomScaleNormal="100" zoomScaleSheetLayoutView="90" workbookViewId="0">
      <selection activeCell="E17" sqref="E17"/>
    </sheetView>
  </sheetViews>
  <sheetFormatPr defaultRowHeight="15"/>
  <cols>
    <col min="1" max="1" width="4" style="3" customWidth="1"/>
    <col min="2" max="2" width="4.28515625" style="3" customWidth="1"/>
    <col min="3" max="3" width="28.140625" style="3" customWidth="1"/>
    <col min="4" max="4" width="58.7109375" style="3" customWidth="1"/>
    <col min="5" max="5" width="76.140625" style="3" customWidth="1"/>
    <col min="6" max="16384" width="9.140625" style="3"/>
  </cols>
  <sheetData>
    <row r="1" spans="3:5" ht="15.75" thickBot="1"/>
    <row r="2" spans="3:5" ht="19.5" thickBot="1">
      <c r="C2" s="13" t="s">
        <v>13</v>
      </c>
      <c r="D2" s="14" t="s">
        <v>402</v>
      </c>
      <c r="E2" s="15"/>
    </row>
    <row r="3" spans="3:5">
      <c r="C3" s="12" t="s">
        <v>0</v>
      </c>
      <c r="D3" s="12" t="s">
        <v>1</v>
      </c>
      <c r="E3" s="12" t="s">
        <v>3</v>
      </c>
    </row>
    <row r="4" spans="3:5" ht="30">
      <c r="C4" s="2" t="s">
        <v>4</v>
      </c>
      <c r="D4" s="4" t="s">
        <v>380</v>
      </c>
      <c r="E4" s="5"/>
    </row>
    <row r="5" spans="3:5" ht="105">
      <c r="C5" s="2" t="s">
        <v>5</v>
      </c>
      <c r="D5" s="7" t="s">
        <v>520</v>
      </c>
      <c r="E5" s="8" t="s">
        <v>1112</v>
      </c>
    </row>
    <row r="6" spans="3:5" ht="105">
      <c r="C6" s="2" t="s">
        <v>6</v>
      </c>
      <c r="D6" s="7" t="s">
        <v>363</v>
      </c>
      <c r="E6" s="6" t="s">
        <v>1111</v>
      </c>
    </row>
    <row r="7" spans="3:5">
      <c r="C7" s="2" t="s">
        <v>7</v>
      </c>
      <c r="D7" s="8" t="s">
        <v>1110</v>
      </c>
      <c r="E7" s="7"/>
    </row>
    <row r="8" spans="3:5">
      <c r="C8" s="2" t="s">
        <v>70</v>
      </c>
      <c r="D8" s="7" t="s">
        <v>522</v>
      </c>
      <c r="E8" s="6" t="s">
        <v>523</v>
      </c>
    </row>
    <row r="9" spans="3:5" ht="30">
      <c r="C9" s="2" t="s">
        <v>8</v>
      </c>
      <c r="D9" s="116" t="s">
        <v>417</v>
      </c>
      <c r="E9" s="7"/>
    </row>
    <row r="10" spans="3:5">
      <c r="C10" s="2" t="s">
        <v>9</v>
      </c>
      <c r="D10" s="7" t="s">
        <v>521</v>
      </c>
      <c r="E10" s="6" t="s">
        <v>1080</v>
      </c>
    </row>
    <row r="11" spans="3:5">
      <c r="C11" s="2" t="s">
        <v>10</v>
      </c>
      <c r="D11" s="10" t="s">
        <v>418</v>
      </c>
      <c r="E11" s="9"/>
    </row>
    <row r="12" spans="3:5">
      <c r="C12" s="2" t="s">
        <v>11</v>
      </c>
      <c r="D12" s="10" t="s">
        <v>941</v>
      </c>
      <c r="E12" s="11"/>
    </row>
    <row r="13" spans="3:5">
      <c r="C13" s="2" t="s">
        <v>12</v>
      </c>
      <c r="D13" s="10" t="s">
        <v>379</v>
      </c>
      <c r="E13" s="9"/>
    </row>
    <row r="15" spans="3:5" ht="15.75" thickBot="1">
      <c r="C15" s="491" t="s">
        <v>1144</v>
      </c>
    </row>
    <row r="16" spans="3:5">
      <c r="C16" s="490" t="s">
        <v>1145</v>
      </c>
      <c r="D16" s="3" t="s">
        <v>1146</v>
      </c>
    </row>
    <row r="17" spans="3:5">
      <c r="C17" s="490" t="s">
        <v>1147</v>
      </c>
      <c r="D17" s="3" t="s">
        <v>1148</v>
      </c>
    </row>
    <row r="18" spans="3:5">
      <c r="C18" s="490" t="s">
        <v>1199</v>
      </c>
      <c r="D18" s="3" t="s">
        <v>1200</v>
      </c>
    </row>
    <row r="23" spans="3:5">
      <c r="C23" s="3" t="s">
        <v>381</v>
      </c>
    </row>
    <row r="24" spans="3:5">
      <c r="C24" s="251" t="s">
        <v>0</v>
      </c>
      <c r="D24" s="251" t="s">
        <v>1</v>
      </c>
      <c r="E24" s="251" t="s">
        <v>2</v>
      </c>
    </row>
    <row r="25" spans="3:5" ht="25.5">
      <c r="C25" s="251" t="s">
        <v>5</v>
      </c>
      <c r="D25" s="252" t="s">
        <v>360</v>
      </c>
      <c r="E25" s="253"/>
    </row>
    <row r="26" spans="3:5" ht="25.5">
      <c r="C26" s="251" t="s">
        <v>361</v>
      </c>
      <c r="D26" s="252" t="s">
        <v>362</v>
      </c>
      <c r="E26" s="253"/>
    </row>
    <row r="27" spans="3:5" ht="63.75">
      <c r="C27" s="251" t="s">
        <v>6</v>
      </c>
      <c r="D27" s="252" t="s">
        <v>363</v>
      </c>
      <c r="E27" s="252"/>
    </row>
    <row r="28" spans="3:5">
      <c r="C28" s="251" t="s">
        <v>364</v>
      </c>
      <c r="D28" s="254" t="s">
        <v>365</v>
      </c>
      <c r="E28" s="252"/>
    </row>
    <row r="29" spans="3:5">
      <c r="C29" s="251" t="s">
        <v>366</v>
      </c>
      <c r="D29" s="252" t="s">
        <v>367</v>
      </c>
      <c r="E29" s="255"/>
    </row>
    <row r="30" spans="3:5">
      <c r="C30" s="251" t="s">
        <v>368</v>
      </c>
      <c r="D30" s="252" t="s">
        <v>369</v>
      </c>
      <c r="E30" s="252"/>
    </row>
    <row r="31" spans="3:5">
      <c r="C31" s="251" t="s">
        <v>370</v>
      </c>
      <c r="D31" s="252" t="s">
        <v>371</v>
      </c>
      <c r="E31" s="252"/>
    </row>
    <row r="32" spans="3:5">
      <c r="C32" s="251" t="s">
        <v>372</v>
      </c>
      <c r="D32" s="252" t="s">
        <v>373</v>
      </c>
      <c r="E32" s="256"/>
    </row>
    <row r="33" spans="3:5">
      <c r="C33" s="251" t="s">
        <v>374</v>
      </c>
      <c r="D33" s="252" t="s">
        <v>371</v>
      </c>
      <c r="E33" s="256"/>
    </row>
    <row r="34" spans="3:5">
      <c r="C34" s="251" t="s">
        <v>375</v>
      </c>
      <c r="D34" s="256" t="s">
        <v>371</v>
      </c>
      <c r="E34" s="257"/>
    </row>
    <row r="35" spans="3:5">
      <c r="C35" s="251" t="s">
        <v>376</v>
      </c>
      <c r="D35" s="256" t="s">
        <v>377</v>
      </c>
      <c r="E35" s="256"/>
    </row>
    <row r="36" spans="3:5">
      <c r="C36" s="251" t="s">
        <v>10</v>
      </c>
      <c r="D36" s="256" t="s">
        <v>378</v>
      </c>
      <c r="E36" s="256"/>
    </row>
    <row r="37" spans="3:5">
      <c r="C37" s="251" t="s">
        <v>12</v>
      </c>
      <c r="D37" s="256" t="s">
        <v>379</v>
      </c>
      <c r="E37" s="256"/>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sheetPr codeName="Sheet22"/>
  <dimension ref="A1:BD33"/>
  <sheetViews>
    <sheetView workbookViewId="0">
      <selection activeCell="A25" sqref="A25"/>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119" t="s">
        <v>1127</v>
      </c>
      <c r="B1" s="119" t="s">
        <v>1128</v>
      </c>
      <c r="C1" s="119" t="s">
        <v>1129</v>
      </c>
      <c r="D1" s="119" t="s">
        <v>1130</v>
      </c>
      <c r="E1" s="119" t="s">
        <v>1131</v>
      </c>
      <c r="F1" s="119" t="s">
        <v>1132</v>
      </c>
      <c r="G1" s="119" t="s">
        <v>1133</v>
      </c>
      <c r="H1" s="119" t="s">
        <v>1134</v>
      </c>
      <c r="I1" s="119" t="s">
        <v>292</v>
      </c>
      <c r="J1" s="119" t="s">
        <v>293</v>
      </c>
      <c r="K1" s="120">
        <v>2016</v>
      </c>
      <c r="L1" s="454">
        <v>2017</v>
      </c>
      <c r="M1" s="454">
        <v>2018</v>
      </c>
      <c r="N1" s="454">
        <v>2019</v>
      </c>
      <c r="O1" s="454">
        <v>2020</v>
      </c>
      <c r="P1" s="454">
        <v>2021</v>
      </c>
      <c r="Q1" s="454">
        <v>2022</v>
      </c>
      <c r="R1" s="454">
        <v>2023</v>
      </c>
      <c r="S1" s="454">
        <v>2024</v>
      </c>
      <c r="T1" s="454">
        <v>2025</v>
      </c>
      <c r="U1" s="454">
        <v>2026</v>
      </c>
      <c r="V1" s="454">
        <v>2027</v>
      </c>
      <c r="W1" s="454">
        <v>2028</v>
      </c>
      <c r="X1" s="454">
        <v>2029</v>
      </c>
      <c r="Y1" s="454">
        <v>2030</v>
      </c>
      <c r="Z1" s="454">
        <v>2031</v>
      </c>
      <c r="AA1" s="454">
        <v>2032</v>
      </c>
      <c r="AB1" s="454">
        <v>2033</v>
      </c>
      <c r="AC1" s="454">
        <v>2034</v>
      </c>
      <c r="AD1" s="454">
        <v>2035</v>
      </c>
      <c r="AE1" s="455" t="s">
        <v>1135</v>
      </c>
      <c r="AF1" s="113" t="s">
        <v>1117</v>
      </c>
      <c r="AG1" s="114"/>
      <c r="AH1" s="114"/>
      <c r="AI1" s="114"/>
      <c r="AJ1" s="114"/>
      <c r="AK1" s="114"/>
      <c r="AL1" s="114"/>
      <c r="AM1" s="114"/>
      <c r="AN1" s="114"/>
      <c r="AO1" s="114"/>
      <c r="AP1" s="114"/>
      <c r="AQ1" s="102"/>
      <c r="AR1" s="112"/>
      <c r="AS1" s="113" t="s">
        <v>1118</v>
      </c>
      <c r="AT1" s="114"/>
      <c r="AU1" s="114"/>
      <c r="AV1" s="114"/>
      <c r="AW1" s="114"/>
      <c r="AX1" s="114"/>
      <c r="AY1" s="114"/>
      <c r="AZ1" s="114"/>
      <c r="BA1" s="114"/>
      <c r="BB1" s="114"/>
      <c r="BC1" s="114"/>
      <c r="BD1" s="102"/>
    </row>
    <row r="2" spans="1:56" ht="15">
      <c r="A2" s="119"/>
      <c r="B2" s="119"/>
      <c r="C2" s="119"/>
      <c r="D2" s="119"/>
      <c r="E2" s="119"/>
      <c r="F2" s="119" t="s">
        <v>1119</v>
      </c>
      <c r="G2" s="119" t="s">
        <v>83</v>
      </c>
      <c r="H2" s="119" t="s">
        <v>291</v>
      </c>
      <c r="I2" s="119"/>
      <c r="J2" s="119"/>
      <c r="K2" s="121" t="str">
        <f t="shared" ref="K2:AD2" si="0">CONCATENATE("aMW_",K$1)</f>
        <v>aMW_2016</v>
      </c>
      <c r="L2" s="456" t="str">
        <f t="shared" si="0"/>
        <v>aMW_2017</v>
      </c>
      <c r="M2" s="456" t="str">
        <f t="shared" si="0"/>
        <v>aMW_2018</v>
      </c>
      <c r="N2" s="456" t="str">
        <f t="shared" si="0"/>
        <v>aMW_2019</v>
      </c>
      <c r="O2" s="456" t="str">
        <f t="shared" si="0"/>
        <v>aMW_2020</v>
      </c>
      <c r="P2" s="456" t="str">
        <f t="shared" si="0"/>
        <v>aMW_2021</v>
      </c>
      <c r="Q2" s="456" t="str">
        <f t="shared" si="0"/>
        <v>aMW_2022</v>
      </c>
      <c r="R2" s="456" t="str">
        <f t="shared" si="0"/>
        <v>aMW_2023</v>
      </c>
      <c r="S2" s="456" t="str">
        <f t="shared" si="0"/>
        <v>aMW_2024</v>
      </c>
      <c r="T2" s="456" t="str">
        <f t="shared" si="0"/>
        <v>aMW_2025</v>
      </c>
      <c r="U2" s="456" t="str">
        <f t="shared" si="0"/>
        <v>aMW_2026</v>
      </c>
      <c r="V2" s="456" t="str">
        <f t="shared" si="0"/>
        <v>aMW_2027</v>
      </c>
      <c r="W2" s="456" t="str">
        <f t="shared" si="0"/>
        <v>aMW_2028</v>
      </c>
      <c r="X2" s="456" t="str">
        <f t="shared" si="0"/>
        <v>aMW_2029</v>
      </c>
      <c r="Y2" s="456" t="str">
        <f t="shared" si="0"/>
        <v>aMW_2030</v>
      </c>
      <c r="Z2" s="456" t="str">
        <f t="shared" si="0"/>
        <v>aMW_2031</v>
      </c>
      <c r="AA2" s="456" t="str">
        <f t="shared" si="0"/>
        <v>aMW_2032</v>
      </c>
      <c r="AB2" s="456" t="str">
        <f t="shared" si="0"/>
        <v>aMW_2033</v>
      </c>
      <c r="AC2" s="456" t="str">
        <f t="shared" si="0"/>
        <v>aMW_2034</v>
      </c>
      <c r="AD2" s="456" t="str">
        <f t="shared" si="0"/>
        <v>aMW_2035</v>
      </c>
      <c r="AE2" s="457" t="s">
        <v>1135</v>
      </c>
      <c r="AF2" s="458" t="s">
        <v>273</v>
      </c>
      <c r="AG2" s="459" t="s">
        <v>274</v>
      </c>
      <c r="AH2" s="459" t="s">
        <v>275</v>
      </c>
      <c r="AI2" s="459" t="s">
        <v>276</v>
      </c>
      <c r="AJ2" s="459" t="s">
        <v>277</v>
      </c>
      <c r="AK2" s="459" t="s">
        <v>278</v>
      </c>
      <c r="AL2" s="459" t="s">
        <v>279</v>
      </c>
      <c r="AM2" s="459" t="s">
        <v>280</v>
      </c>
      <c r="AN2" s="459" t="s">
        <v>281</v>
      </c>
      <c r="AO2" s="459" t="s">
        <v>282</v>
      </c>
      <c r="AP2" s="459" t="s">
        <v>283</v>
      </c>
      <c r="AQ2" s="459" t="s">
        <v>284</v>
      </c>
      <c r="AR2" s="96"/>
      <c r="AS2" s="96" t="s">
        <v>273</v>
      </c>
      <c r="AT2" s="96" t="s">
        <v>274</v>
      </c>
      <c r="AU2" s="96" t="s">
        <v>275</v>
      </c>
      <c r="AV2" s="96" t="s">
        <v>276</v>
      </c>
      <c r="AW2" s="96" t="s">
        <v>277</v>
      </c>
      <c r="AX2" s="96" t="s">
        <v>278</v>
      </c>
      <c r="AY2" s="96" t="s">
        <v>279</v>
      </c>
      <c r="AZ2" s="96" t="s">
        <v>280</v>
      </c>
      <c r="BA2" s="96" t="s">
        <v>281</v>
      </c>
      <c r="BB2" s="96" t="s">
        <v>282</v>
      </c>
      <c r="BC2" s="96" t="s">
        <v>283</v>
      </c>
      <c r="BD2" s="96" t="s">
        <v>284</v>
      </c>
    </row>
    <row r="3" spans="1:56" ht="15">
      <c r="A3" s="460" t="str">
        <f>VLOOKUP(CONCATENATE($C3,"-",$B3),[5]ACHIEV!$B$19:$C$100,2,FALSE)</f>
        <v>LO5Med</v>
      </c>
      <c r="B3" s="460" t="str">
        <f>'SC-NR'!C7</f>
        <v>NR</v>
      </c>
      <c r="C3" s="460" t="str">
        <f>'7PSourceSummary'!$D$2</f>
        <v>Cooking Equipment</v>
      </c>
      <c r="D3" s="460" t="s">
        <v>427</v>
      </c>
      <c r="E3" s="461" t="str">
        <f>'SC-NR'!$A$9</f>
        <v>Food Preparation</v>
      </c>
      <c r="F3" s="462">
        <f t="shared" ref="F3:F7" si="1">VLOOKUP(J3,MeasureOutputR,14,FALSE)</f>
        <v>0.45305170714601323</v>
      </c>
      <c r="G3" s="463">
        <f>INDEX(SCNR,ROW()-2,1)</f>
        <v>2632.1775809500482</v>
      </c>
      <c r="H3" s="463">
        <f>INDEX(SCNR,ROW()-2,2)</f>
        <v>42.613319516920477</v>
      </c>
      <c r="I3" s="464"/>
      <c r="J3" s="465" t="str">
        <f>'SC-NR'!D52</f>
        <v>Fryers</v>
      </c>
      <c r="K3" s="485">
        <f t="shared" ref="K3:T7" si="2">INDEX(SCNR,ROW()-2,COLUMN()-6)</f>
        <v>7.3541078656301079E-3</v>
      </c>
      <c r="L3" s="485">
        <f t="shared" si="2"/>
        <v>1.6554830109223428E-2</v>
      </c>
      <c r="M3" s="485">
        <f t="shared" si="2"/>
        <v>2.8007682881293801E-2</v>
      </c>
      <c r="N3" s="485">
        <f t="shared" si="2"/>
        <v>4.1521722758547625E-2</v>
      </c>
      <c r="O3" s="485">
        <f t="shared" si="2"/>
        <v>5.7173218191376989E-2</v>
      </c>
      <c r="P3" s="485">
        <f t="shared" si="2"/>
        <v>7.5713183566593747E-2</v>
      </c>
      <c r="Q3" s="485">
        <f t="shared" si="2"/>
        <v>9.6340657673436803E-2</v>
      </c>
      <c r="R3" s="485">
        <f t="shared" si="2"/>
        <v>0.1177496689845062</v>
      </c>
      <c r="S3" s="485">
        <f t="shared" si="2"/>
        <v>0.13831100794749873</v>
      </c>
      <c r="T3" s="485">
        <f t="shared" si="2"/>
        <v>0.15642640487645934</v>
      </c>
      <c r="U3" s="485">
        <f t="shared" ref="U3:AE7" si="3">INDEX(SCNR,ROW()-2,COLUMN()-6)</f>
        <v>0.17095044324642947</v>
      </c>
      <c r="V3" s="485">
        <f t="shared" si="3"/>
        <v>0.1815011616247332</v>
      </c>
      <c r="W3" s="485">
        <f t="shared" si="3"/>
        <v>0.18848742201696417</v>
      </c>
      <c r="X3" s="485">
        <f t="shared" si="3"/>
        <v>0.19283630522424078</v>
      </c>
      <c r="Y3" s="485">
        <f t="shared" si="3"/>
        <v>0.19557923941759942</v>
      </c>
      <c r="Z3" s="485">
        <f t="shared" si="3"/>
        <v>0.1975247214629294</v>
      </c>
      <c r="AA3" s="485">
        <f t="shared" si="3"/>
        <v>0.199150050519489</v>
      </c>
      <c r="AB3" s="485">
        <f t="shared" si="3"/>
        <v>0.20067027087405762</v>
      </c>
      <c r="AC3" s="485">
        <f t="shared" si="3"/>
        <v>0.20215914049411474</v>
      </c>
      <c r="AD3" s="485">
        <f t="shared" si="3"/>
        <v>0.20363785567409884</v>
      </c>
      <c r="AE3" s="485">
        <f t="shared" si="3"/>
        <v>2.5186535556047183</v>
      </c>
      <c r="AF3" s="466">
        <f t="shared" ref="AF3:AO7" si="4">VLOOKUP($J3,MeasureOutputR,COLUMN()-17,FALSE)</f>
        <v>165.80624323232519</v>
      </c>
      <c r="AG3" s="466">
        <f t="shared" si="4"/>
        <v>152.82907210220546</v>
      </c>
      <c r="AH3" s="466">
        <f t="shared" si="4"/>
        <v>175.9222953415123</v>
      </c>
      <c r="AI3" s="466">
        <f t="shared" si="4"/>
        <v>160.63725939656348</v>
      </c>
      <c r="AJ3" s="466">
        <f t="shared" si="4"/>
        <v>165.99027797951612</v>
      </c>
      <c r="AK3" s="466">
        <f t="shared" si="4"/>
        <v>165.22431983156218</v>
      </c>
      <c r="AL3" s="466">
        <f t="shared" si="4"/>
        <v>158.29872509897422</v>
      </c>
      <c r="AM3" s="466">
        <f t="shared" si="4"/>
        <v>171.82462654226765</v>
      </c>
      <c r="AN3" s="466">
        <f t="shared" si="4"/>
        <v>153.32049895688561</v>
      </c>
      <c r="AO3" s="466">
        <f t="shared" si="4"/>
        <v>172.97423593911233</v>
      </c>
      <c r="AP3" s="466">
        <f t="shared" ref="AP3:BD7" si="5">VLOOKUP($J3,MeasureOutputR,COLUMN()-17,FALSE)</f>
        <v>155.67538288332329</v>
      </c>
      <c r="AQ3" s="466">
        <f t="shared" si="5"/>
        <v>161.83712557197694</v>
      </c>
      <c r="AR3" s="466">
        <f t="shared" si="5"/>
        <v>0</v>
      </c>
      <c r="AS3" s="466">
        <f t="shared" si="5"/>
        <v>60.610214189361365</v>
      </c>
      <c r="AT3" s="466">
        <f t="shared" si="5"/>
        <v>52.672317103061161</v>
      </c>
      <c r="AU3" s="466">
        <f t="shared" si="5"/>
        <v>48.987962679923839</v>
      </c>
      <c r="AV3" s="466">
        <f t="shared" si="5"/>
        <v>55.818657094580104</v>
      </c>
      <c r="AW3" s="466">
        <f t="shared" si="5"/>
        <v>57.08949436315303</v>
      </c>
      <c r="AX3" s="466">
        <f t="shared" si="5"/>
        <v>50.80880853480312</v>
      </c>
      <c r="AY3" s="466">
        <f t="shared" si="5"/>
        <v>62.292704395145293</v>
      </c>
      <c r="AZ3" s="466">
        <f t="shared" si="5"/>
        <v>51.641826243511197</v>
      </c>
      <c r="BA3" s="466">
        <f t="shared" si="5"/>
        <v>62.156096797078746</v>
      </c>
      <c r="BB3" s="466">
        <f t="shared" si="5"/>
        <v>51.179105294108837</v>
      </c>
      <c r="BC3" s="466">
        <f t="shared" si="5"/>
        <v>58.953822438859561</v>
      </c>
      <c r="BD3" s="466">
        <f t="shared" si="5"/>
        <v>59.626508940236754</v>
      </c>
    </row>
    <row r="4" spans="1:56" ht="15">
      <c r="A4" s="460" t="str">
        <f>VLOOKUP(CONCATENATE($C4,"-",$B4),[5]ACHIEV!$B$19:$C$100,2,FALSE)</f>
        <v>LO5Med</v>
      </c>
      <c r="B4" s="460" t="str">
        <f>B3</f>
        <v>NR</v>
      </c>
      <c r="C4" s="460" t="str">
        <f>C3</f>
        <v>Cooking Equipment</v>
      </c>
      <c r="D4" s="460" t="s">
        <v>427</v>
      </c>
      <c r="E4" s="461" t="str">
        <f>'SC-NR'!$A$9</f>
        <v>Food Preparation</v>
      </c>
      <c r="F4" s="463">
        <f t="shared" si="1"/>
        <v>0.11888526000027295</v>
      </c>
      <c r="G4" s="463">
        <f>INDEX(SCNR,ROW()-2,1)</f>
        <v>690.70949549977809</v>
      </c>
      <c r="H4" s="463">
        <f>INDEX(SCNR,ROW()-2,2)</f>
        <v>80.452736427153098</v>
      </c>
      <c r="I4" s="464"/>
      <c r="J4" s="465" t="str">
        <f>'SC-NR'!D53</f>
        <v>HFHC (Wt Average Size)</v>
      </c>
      <c r="K4" s="485">
        <f t="shared" si="2"/>
        <v>6.8454283596265861E-3</v>
      </c>
      <c r="L4" s="485">
        <f t="shared" si="2"/>
        <v>1.5409741819005581E-2</v>
      </c>
      <c r="M4" s="485">
        <f t="shared" si="2"/>
        <v>2.6070407204533096E-2</v>
      </c>
      <c r="N4" s="485">
        <f t="shared" si="2"/>
        <v>3.8649688542141215E-2</v>
      </c>
      <c r="O4" s="485">
        <f t="shared" si="2"/>
        <v>5.3218578836392583E-2</v>
      </c>
      <c r="P4" s="485">
        <f t="shared" si="2"/>
        <v>7.047614523124307E-2</v>
      </c>
      <c r="Q4" s="485">
        <f t="shared" si="2"/>
        <v>8.9676828552516075E-2</v>
      </c>
      <c r="R4" s="485">
        <f t="shared" si="2"/>
        <v>0.1096049905890412</v>
      </c>
      <c r="S4" s="485">
        <f t="shared" si="2"/>
        <v>0.12874411329717739</v>
      </c>
      <c r="T4" s="485">
        <f t="shared" si="2"/>
        <v>0.14560647840647323</v>
      </c>
      <c r="U4" s="485">
        <f t="shared" si="3"/>
        <v>0.15912589720895765</v>
      </c>
      <c r="V4" s="485">
        <f t="shared" si="3"/>
        <v>0.16894682832948396</v>
      </c>
      <c r="W4" s="485">
        <f t="shared" si="3"/>
        <v>0.17544985301861343</v>
      </c>
      <c r="X4" s="485">
        <f t="shared" si="3"/>
        <v>0.17949792641972939</v>
      </c>
      <c r="Y4" s="485">
        <f t="shared" si="3"/>
        <v>0.18205113339722837</v>
      </c>
      <c r="Z4" s="485">
        <f t="shared" si="3"/>
        <v>0.183862047543387</v>
      </c>
      <c r="AA4" s="485">
        <f t="shared" si="3"/>
        <v>0.1853749535029931</v>
      </c>
      <c r="AB4" s="485">
        <f t="shared" si="3"/>
        <v>0.18679002107042461</v>
      </c>
      <c r="AC4" s="485">
        <f t="shared" si="3"/>
        <v>0.18817590641602283</v>
      </c>
      <c r="AD4" s="485">
        <f t="shared" si="3"/>
        <v>0.18955233969845819</v>
      </c>
      <c r="AE4" s="485">
        <f t="shared" si="3"/>
        <v>2.3444397053501231</v>
      </c>
      <c r="AF4" s="466">
        <f t="shared" si="4"/>
        <v>43.509202206781573</v>
      </c>
      <c r="AG4" s="466">
        <f t="shared" si="4"/>
        <v>40.103863832512751</v>
      </c>
      <c r="AH4" s="466">
        <f t="shared" si="4"/>
        <v>46.163754581725875</v>
      </c>
      <c r="AI4" s="466">
        <f t="shared" si="4"/>
        <v>42.152809597375324</v>
      </c>
      <c r="AJ4" s="466">
        <f t="shared" si="4"/>
        <v>43.557494749164221</v>
      </c>
      <c r="AK4" s="466">
        <f t="shared" si="4"/>
        <v>43.3564997366027</v>
      </c>
      <c r="AL4" s="466">
        <f t="shared" si="4"/>
        <v>41.539155010926862</v>
      </c>
      <c r="AM4" s="466">
        <f t="shared" si="4"/>
        <v>45.088485660078916</v>
      </c>
      <c r="AN4" s="466">
        <f t="shared" si="4"/>
        <v>40.232819111718747</v>
      </c>
      <c r="AO4" s="466">
        <f t="shared" si="4"/>
        <v>45.390154564283243</v>
      </c>
      <c r="AP4" s="466">
        <f t="shared" si="5"/>
        <v>40.850764002884951</v>
      </c>
      <c r="AQ4" s="466">
        <f t="shared" si="5"/>
        <v>42.467666378576212</v>
      </c>
      <c r="AR4" s="466">
        <f t="shared" si="5"/>
        <v>0</v>
      </c>
      <c r="AS4" s="466">
        <f t="shared" si="5"/>
        <v>15.904721158576628</v>
      </c>
      <c r="AT4" s="466">
        <f t="shared" si="5"/>
        <v>13.821738258225112</v>
      </c>
      <c r="AU4" s="466">
        <f t="shared" si="5"/>
        <v>12.854927126914951</v>
      </c>
      <c r="AV4" s="466">
        <f t="shared" si="5"/>
        <v>14.647369068221007</v>
      </c>
      <c r="AW4" s="466">
        <f t="shared" si="5"/>
        <v>14.980849367951201</v>
      </c>
      <c r="AX4" s="466">
        <f t="shared" si="5"/>
        <v>13.332735133072573</v>
      </c>
      <c r="AY4" s="466">
        <f t="shared" si="5"/>
        <v>16.346223270603922</v>
      </c>
      <c r="AZ4" s="466">
        <f t="shared" si="5"/>
        <v>13.551327239277073</v>
      </c>
      <c r="BA4" s="466">
        <f t="shared" si="5"/>
        <v>16.310376082395621</v>
      </c>
      <c r="BB4" s="466">
        <f t="shared" si="5"/>
        <v>13.429904674237397</v>
      </c>
      <c r="BC4" s="466">
        <f t="shared" si="5"/>
        <v>15.47006753998371</v>
      </c>
      <c r="BD4" s="466">
        <f t="shared" si="5"/>
        <v>15.6465871476874</v>
      </c>
    </row>
    <row r="5" spans="1:56" ht="15">
      <c r="A5" s="460" t="str">
        <f>VLOOKUP(CONCATENATE($C5,"-",$B5),[5]ACHIEV!$B$19:$C$100,2,FALSE)</f>
        <v>LO5Med</v>
      </c>
      <c r="B5" s="460" t="str">
        <f t="shared" ref="B5:B7" si="6">B4</f>
        <v>NR</v>
      </c>
      <c r="C5" s="460" t="str">
        <f t="shared" ref="C5:C7" si="7">C4</f>
        <v>Cooking Equipment</v>
      </c>
      <c r="D5" s="460" t="s">
        <v>427</v>
      </c>
      <c r="E5" s="461" t="str">
        <f>'SC-NR'!$A$9</f>
        <v>Food Preparation</v>
      </c>
      <c r="F5" s="463">
        <f t="shared" si="1"/>
        <v>7.7035320991831515</v>
      </c>
      <c r="G5" s="463">
        <f>INDEX(SCNR,ROW()-2,1)</f>
        <v>44756.623064801512</v>
      </c>
      <c r="H5" s="463">
        <f>INDEX(SCNR,ROW()-2,2)</f>
        <v>-43.951171695279832</v>
      </c>
      <c r="I5" s="464"/>
      <c r="J5" s="465" t="str">
        <f>'SC-NR'!D54</f>
        <v>Steamer (Wt Average Size)</v>
      </c>
      <c r="K5" s="485">
        <f t="shared" si="2"/>
        <v>0.11227636174643976</v>
      </c>
      <c r="L5" s="485">
        <f t="shared" si="2"/>
        <v>0.25274528575802524</v>
      </c>
      <c r="M5" s="485">
        <f t="shared" si="2"/>
        <v>0.4275978531068606</v>
      </c>
      <c r="N5" s="485">
        <f t="shared" si="2"/>
        <v>0.63391889947138214</v>
      </c>
      <c r="O5" s="485">
        <f t="shared" si="2"/>
        <v>0.87287282769725472</v>
      </c>
      <c r="P5" s="485">
        <f t="shared" si="2"/>
        <v>1.1559254966637782</v>
      </c>
      <c r="Q5" s="485">
        <f t="shared" si="2"/>
        <v>1.4708485012010244</v>
      </c>
      <c r="R5" s="485">
        <f t="shared" si="2"/>
        <v>1.7977033614389624</v>
      </c>
      <c r="S5" s="485">
        <f t="shared" si="2"/>
        <v>2.1116166699708216</v>
      </c>
      <c r="T5" s="485">
        <f t="shared" si="2"/>
        <v>2.3881873833651723</v>
      </c>
      <c r="U5" s="485">
        <f t="shared" si="3"/>
        <v>2.609928241106346</v>
      </c>
      <c r="V5" s="485">
        <f t="shared" si="3"/>
        <v>2.7710077758332612</v>
      </c>
      <c r="W5" s="485">
        <f t="shared" si="3"/>
        <v>2.8776681503320982</v>
      </c>
      <c r="X5" s="485">
        <f t="shared" si="3"/>
        <v>2.9440632580861195</v>
      </c>
      <c r="Y5" s="485">
        <f t="shared" si="3"/>
        <v>2.9859400808588061</v>
      </c>
      <c r="Z5" s="485">
        <f t="shared" si="3"/>
        <v>3.0156420718934394</v>
      </c>
      <c r="AA5" s="485">
        <f t="shared" si="3"/>
        <v>3.0404562351400988</v>
      </c>
      <c r="AB5" s="485">
        <f t="shared" si="3"/>
        <v>3.0636656867258649</v>
      </c>
      <c r="AC5" s="485">
        <f t="shared" si="3"/>
        <v>3.0863965015451691</v>
      </c>
      <c r="AD5" s="485">
        <f t="shared" si="3"/>
        <v>3.1089722868751295</v>
      </c>
      <c r="AE5" s="485">
        <f t="shared" si="3"/>
        <v>38.452693771959346</v>
      </c>
      <c r="AF5" s="466">
        <f t="shared" si="4"/>
        <v>2819.3111224135159</v>
      </c>
      <c r="AG5" s="466">
        <f t="shared" si="4"/>
        <v>2598.6518625969516</v>
      </c>
      <c r="AH5" s="466">
        <f t="shared" si="4"/>
        <v>2991.3209193328262</v>
      </c>
      <c r="AI5" s="466">
        <f t="shared" si="4"/>
        <v>2731.4195368155042</v>
      </c>
      <c r="AJ5" s="466">
        <f t="shared" si="4"/>
        <v>2822.4403846146924</v>
      </c>
      <c r="AK5" s="466">
        <f t="shared" si="4"/>
        <v>2809.4163013007492</v>
      </c>
      <c r="AL5" s="466">
        <f t="shared" si="4"/>
        <v>2691.6559210021919</v>
      </c>
      <c r="AM5" s="466">
        <f t="shared" si="4"/>
        <v>2921.6455983288397</v>
      </c>
      <c r="AN5" s="466">
        <f t="shared" si="4"/>
        <v>2607.0079122259826</v>
      </c>
      <c r="AO5" s="466">
        <f t="shared" si="4"/>
        <v>2941.1931527258953</v>
      </c>
      <c r="AP5" s="466">
        <f t="shared" si="5"/>
        <v>2647.0495313856172</v>
      </c>
      <c r="AQ5" s="466">
        <f t="shared" si="5"/>
        <v>2751.8216398232362</v>
      </c>
      <c r="AR5" s="466">
        <f t="shared" si="5"/>
        <v>0</v>
      </c>
      <c r="AS5" s="466">
        <f t="shared" si="5"/>
        <v>1030.5947934451351</v>
      </c>
      <c r="AT5" s="466">
        <f t="shared" si="5"/>
        <v>895.62157948344895</v>
      </c>
      <c r="AU5" s="466">
        <f t="shared" si="5"/>
        <v>832.97411095893801</v>
      </c>
      <c r="AV5" s="466">
        <f t="shared" si="5"/>
        <v>949.12083958401456</v>
      </c>
      <c r="AW5" s="466">
        <f t="shared" si="5"/>
        <v>970.7297101320612</v>
      </c>
      <c r="AX5" s="466">
        <f t="shared" si="5"/>
        <v>863.93513432443751</v>
      </c>
      <c r="AY5" s="466">
        <f t="shared" si="5"/>
        <v>1059.2032659492252</v>
      </c>
      <c r="AZ5" s="466">
        <f t="shared" si="5"/>
        <v>878.09947485555597</v>
      </c>
      <c r="BA5" s="466">
        <f t="shared" si="5"/>
        <v>1056.8804383335271</v>
      </c>
      <c r="BB5" s="466">
        <f t="shared" si="5"/>
        <v>870.23153035725454</v>
      </c>
      <c r="BC5" s="466">
        <f t="shared" si="5"/>
        <v>1002.4300899078844</v>
      </c>
      <c r="BD5" s="466">
        <f t="shared" si="5"/>
        <v>1013.868214904015</v>
      </c>
    </row>
    <row r="6" spans="1:56" ht="15">
      <c r="A6" s="460" t="str">
        <f>VLOOKUP(CONCATENATE($C6,"-",$B6),[5]ACHIEV!$B$19:$C$100,2,FALSE)</f>
        <v>LO5Med</v>
      </c>
      <c r="B6" s="460" t="str">
        <f t="shared" si="6"/>
        <v>NR</v>
      </c>
      <c r="C6" s="460" t="str">
        <f t="shared" si="7"/>
        <v>Cooking Equipment</v>
      </c>
      <c r="D6" s="460" t="s">
        <v>427</v>
      </c>
      <c r="E6" s="461" t="str">
        <f>'SC-NR'!$A$9</f>
        <v>Food Preparation</v>
      </c>
      <c r="F6" s="463">
        <f t="shared" si="1"/>
        <v>2.8269401530605327</v>
      </c>
      <c r="G6" s="463">
        <f>INDEX(SCNR,ROW()-2,1)</f>
        <v>16424.192594809676</v>
      </c>
      <c r="H6" s="463">
        <f>INDEX(SCNR,ROW()-2,2)</f>
        <v>-20.897272104274599</v>
      </c>
      <c r="I6" s="464"/>
      <c r="J6" s="465" t="str">
        <f>'SC-NR'!D55</f>
        <v>Combi Oven (Wt Average)</v>
      </c>
      <c r="K6" s="485">
        <f t="shared" si="2"/>
        <v>4.4464859496008383E-2</v>
      </c>
      <c r="L6" s="485">
        <f t="shared" si="2"/>
        <v>0.10009483247140788</v>
      </c>
      <c r="M6" s="485">
        <f t="shared" si="2"/>
        <v>0.16934177562797886</v>
      </c>
      <c r="N6" s="485">
        <f t="shared" si="2"/>
        <v>0.25105119509052026</v>
      </c>
      <c r="O6" s="485">
        <f t="shared" si="2"/>
        <v>0.34568422985680397</v>
      </c>
      <c r="P6" s="485">
        <f t="shared" si="2"/>
        <v>0.45778170932438855</v>
      </c>
      <c r="Q6" s="485">
        <f t="shared" si="2"/>
        <v>0.58250081253538577</v>
      </c>
      <c r="R6" s="485">
        <f t="shared" si="2"/>
        <v>0.71194529408074736</v>
      </c>
      <c r="S6" s="485">
        <f t="shared" si="2"/>
        <v>0.83626452691551501</v>
      </c>
      <c r="T6" s="485">
        <f t="shared" si="2"/>
        <v>0.94579495451846096</v>
      </c>
      <c r="U6" s="485">
        <f t="shared" si="3"/>
        <v>1.0336110890156973</v>
      </c>
      <c r="V6" s="485">
        <f t="shared" si="3"/>
        <v>1.097403491689823</v>
      </c>
      <c r="W6" s="485">
        <f t="shared" si="3"/>
        <v>1.1396442491574805</v>
      </c>
      <c r="X6" s="485">
        <f t="shared" si="3"/>
        <v>1.1659387344042698</v>
      </c>
      <c r="Y6" s="485">
        <f t="shared" si="3"/>
        <v>1.1825232319045711</v>
      </c>
      <c r="Z6" s="485">
        <f t="shared" si="3"/>
        <v>1.1942861251579993</v>
      </c>
      <c r="AA6" s="485">
        <f t="shared" si="3"/>
        <v>1.2041132897108151</v>
      </c>
      <c r="AB6" s="485">
        <f t="shared" si="3"/>
        <v>1.2133049395620201</v>
      </c>
      <c r="AC6" s="485">
        <f t="shared" si="3"/>
        <v>1.2223070346731233</v>
      </c>
      <c r="AD6" s="485">
        <f t="shared" si="3"/>
        <v>1.2312477333838263</v>
      </c>
      <c r="AE6" s="485">
        <f t="shared" si="3"/>
        <v>15.22843810769835</v>
      </c>
      <c r="AF6" s="466">
        <f t="shared" si="4"/>
        <v>1034.593445358141</v>
      </c>
      <c r="AG6" s="466">
        <f t="shared" si="4"/>
        <v>953.61883349325274</v>
      </c>
      <c r="AH6" s="466">
        <f t="shared" si="4"/>
        <v>1097.7153218390017</v>
      </c>
      <c r="AI6" s="466">
        <f t="shared" si="4"/>
        <v>1002.3401556665822</v>
      </c>
      <c r="AJ6" s="466">
        <f t="shared" si="4"/>
        <v>1035.7417805441394</v>
      </c>
      <c r="AK6" s="466">
        <f t="shared" si="4"/>
        <v>1030.9623749931588</v>
      </c>
      <c r="AL6" s="466">
        <f t="shared" si="4"/>
        <v>987.7482307253664</v>
      </c>
      <c r="AM6" s="466">
        <f t="shared" si="4"/>
        <v>1072.1467955983651</v>
      </c>
      <c r="AN6" s="466">
        <f t="shared" si="4"/>
        <v>956.6852258848387</v>
      </c>
      <c r="AO6" s="466">
        <f t="shared" si="4"/>
        <v>1079.3200981442233</v>
      </c>
      <c r="AP6" s="466">
        <f t="shared" si="5"/>
        <v>971.37916881108845</v>
      </c>
      <c r="AQ6" s="466">
        <f t="shared" si="5"/>
        <v>1009.8270491404925</v>
      </c>
      <c r="AR6" s="466">
        <f t="shared" si="5"/>
        <v>0</v>
      </c>
      <c r="AS6" s="466">
        <f t="shared" si="5"/>
        <v>378.19402393794218</v>
      </c>
      <c r="AT6" s="466">
        <f t="shared" si="5"/>
        <v>328.66334200875542</v>
      </c>
      <c r="AU6" s="466">
        <f t="shared" si="5"/>
        <v>305.67380396576925</v>
      </c>
      <c r="AV6" s="466">
        <f t="shared" si="5"/>
        <v>348.29579172014877</v>
      </c>
      <c r="AW6" s="466">
        <f t="shared" si="5"/>
        <v>356.22552875869997</v>
      </c>
      <c r="AX6" s="466">
        <f t="shared" si="5"/>
        <v>317.03547014757913</v>
      </c>
      <c r="AY6" s="466">
        <f t="shared" si="5"/>
        <v>388.69238217131874</v>
      </c>
      <c r="AZ6" s="466">
        <f t="shared" si="5"/>
        <v>322.23331218594581</v>
      </c>
      <c r="BA6" s="466">
        <f t="shared" si="5"/>
        <v>387.83998166582188</v>
      </c>
      <c r="BB6" s="466">
        <f t="shared" si="5"/>
        <v>319.34603814879881</v>
      </c>
      <c r="BC6" s="466">
        <f t="shared" si="5"/>
        <v>367.85851416094744</v>
      </c>
      <c r="BD6" s="466">
        <f t="shared" si="5"/>
        <v>372.05592573929545</v>
      </c>
    </row>
    <row r="7" spans="1:56" ht="15">
      <c r="A7" s="460" t="str">
        <f>VLOOKUP(CONCATENATE($C7,"-",$B7),[5]ACHIEV!$B$19:$C$100,2,FALSE)</f>
        <v>LO5Med</v>
      </c>
      <c r="B7" s="460" t="str">
        <f t="shared" si="6"/>
        <v>NR</v>
      </c>
      <c r="C7" s="460" t="str">
        <f t="shared" si="7"/>
        <v>Cooking Equipment</v>
      </c>
      <c r="D7" s="460" t="s">
        <v>427</v>
      </c>
      <c r="E7" s="461" t="str">
        <f>'SC-NR'!$A$9</f>
        <v>Food Preparation</v>
      </c>
      <c r="F7" s="463">
        <f t="shared" si="1"/>
        <v>0.3086769584078331</v>
      </c>
      <c r="G7" s="463">
        <f>INDEX(SCNR,ROW()-2,1)</f>
        <v>1793.3771286178865</v>
      </c>
      <c r="H7" s="463">
        <f>INDEX(SCNR,ROW()-2,2)</f>
        <v>68.275612519602518</v>
      </c>
      <c r="I7" s="464"/>
      <c r="J7" s="465" t="str">
        <f>'SC-NR'!D56</f>
        <v>Convection Oven (Wt Average)</v>
      </c>
      <c r="K7" s="485">
        <f t="shared" si="2"/>
        <v>1.1834613787767925E-2</v>
      </c>
      <c r="L7" s="485">
        <f t="shared" si="2"/>
        <v>2.6640895706794822E-2</v>
      </c>
      <c r="M7" s="485">
        <f t="shared" si="2"/>
        <v>4.5071423488291677E-2</v>
      </c>
      <c r="N7" s="485">
        <f t="shared" si="2"/>
        <v>6.6818921020555602E-2</v>
      </c>
      <c r="O7" s="485">
        <f t="shared" si="2"/>
        <v>9.2006123470254594E-2</v>
      </c>
      <c r="P7" s="485">
        <f t="shared" si="2"/>
        <v>0.12184160234318796</v>
      </c>
      <c r="Q7" s="485">
        <f t="shared" si="2"/>
        <v>0.15503640910045255</v>
      </c>
      <c r="R7" s="485">
        <f t="shared" si="2"/>
        <v>0.18948890627262352</v>
      </c>
      <c r="S7" s="485">
        <f t="shared" si="2"/>
        <v>0.22257728490841228</v>
      </c>
      <c r="T7" s="485">
        <f t="shared" si="2"/>
        <v>0.2517295261025243</v>
      </c>
      <c r="U7" s="485">
        <f t="shared" si="3"/>
        <v>0.27510236586608566</v>
      </c>
      <c r="V7" s="485">
        <f t="shared" si="3"/>
        <v>0.29208113194786822</v>
      </c>
      <c r="W7" s="485">
        <f t="shared" si="3"/>
        <v>0.30332378640351493</v>
      </c>
      <c r="X7" s="485">
        <f t="shared" si="3"/>
        <v>0.3103222359920455</v>
      </c>
      <c r="Y7" s="485">
        <f t="shared" si="3"/>
        <v>0.31473630870035774</v>
      </c>
      <c r="Z7" s="485">
        <f t="shared" si="3"/>
        <v>0.31786707983646267</v>
      </c>
      <c r="AA7" s="485">
        <f t="shared" si="3"/>
        <v>0.32048264409168897</v>
      </c>
      <c r="AB7" s="485">
        <f t="shared" si="3"/>
        <v>0.32292906194377213</v>
      </c>
      <c r="AC7" s="485">
        <f t="shared" si="3"/>
        <v>0.32532502855939194</v>
      </c>
      <c r="AD7" s="485">
        <f t="shared" si="3"/>
        <v>0.32770465412063898</v>
      </c>
      <c r="AE7" s="485">
        <f t="shared" si="3"/>
        <v>4.0531486130461305</v>
      </c>
      <c r="AF7" s="466">
        <f t="shared" si="4"/>
        <v>112.96848911219003</v>
      </c>
      <c r="AG7" s="466">
        <f t="shared" si="4"/>
        <v>104.12677491047685</v>
      </c>
      <c r="AH7" s="466">
        <f t="shared" si="4"/>
        <v>119.86084189865166</v>
      </c>
      <c r="AI7" s="466">
        <f t="shared" si="4"/>
        <v>109.44671404034827</v>
      </c>
      <c r="AJ7" s="466">
        <f t="shared" si="4"/>
        <v>113.09387719727663</v>
      </c>
      <c r="AK7" s="466">
        <f t="shared" si="4"/>
        <v>112.57200821930162</v>
      </c>
      <c r="AL7" s="466">
        <f t="shared" si="4"/>
        <v>107.85340439660024</v>
      </c>
      <c r="AM7" s="466">
        <f t="shared" si="4"/>
        <v>117.06898410060595</v>
      </c>
      <c r="AN7" s="466">
        <f t="shared" si="4"/>
        <v>104.46159794367583</v>
      </c>
      <c r="AO7" s="466">
        <f t="shared" si="4"/>
        <v>117.85224553937304</v>
      </c>
      <c r="AP7" s="466">
        <f t="shared" si="5"/>
        <v>106.06604705257634</v>
      </c>
      <c r="AQ7" s="466">
        <f t="shared" si="5"/>
        <v>110.26421684561571</v>
      </c>
      <c r="AR7" s="466">
        <f t="shared" si="5"/>
        <v>0</v>
      </c>
      <c r="AS7" s="466">
        <f t="shared" si="5"/>
        <v>41.295455395756115</v>
      </c>
      <c r="AT7" s="466">
        <f t="shared" si="5"/>
        <v>35.887141311280409</v>
      </c>
      <c r="AU7" s="466">
        <f t="shared" si="5"/>
        <v>33.376886302653006</v>
      </c>
      <c r="AV7" s="466">
        <f t="shared" si="5"/>
        <v>38.030831851190435</v>
      </c>
      <c r="AW7" s="466">
        <f t="shared" si="5"/>
        <v>38.896689272113875</v>
      </c>
      <c r="AX7" s="466">
        <f t="shared" si="5"/>
        <v>34.617480149554687</v>
      </c>
      <c r="AY7" s="466">
        <f t="shared" si="5"/>
        <v>42.441783620726198</v>
      </c>
      <c r="AZ7" s="466">
        <f t="shared" si="5"/>
        <v>35.185038705384173</v>
      </c>
      <c r="BA7" s="466">
        <f t="shared" si="5"/>
        <v>42.348708995464946</v>
      </c>
      <c r="BB7" s="466">
        <f t="shared" si="5"/>
        <v>34.869773818396176</v>
      </c>
      <c r="BC7" s="466">
        <f t="shared" si="5"/>
        <v>40.166908787472529</v>
      </c>
      <c r="BD7" s="466">
        <f t="shared" si="5"/>
        <v>40.625229151201339</v>
      </c>
    </row>
    <row r="8" spans="1:56" ht="15">
      <c r="A8" s="467"/>
      <c r="B8" s="467"/>
      <c r="C8" s="467"/>
      <c r="D8" s="467"/>
      <c r="E8" s="468"/>
      <c r="F8" s="469"/>
      <c r="G8" s="470"/>
      <c r="H8" s="470"/>
      <c r="I8" s="471"/>
      <c r="J8" s="471"/>
      <c r="K8" s="472"/>
      <c r="L8" s="472"/>
      <c r="M8" s="472"/>
      <c r="N8" s="472"/>
      <c r="O8" s="472"/>
      <c r="P8" s="472"/>
      <c r="Q8" s="472"/>
      <c r="R8" s="472"/>
      <c r="S8" s="472"/>
      <c r="T8" s="472"/>
      <c r="U8" s="472"/>
      <c r="V8" s="472"/>
      <c r="W8" s="472"/>
      <c r="X8" s="472"/>
      <c r="Y8" s="472"/>
      <c r="Z8" s="472"/>
      <c r="AA8" s="472"/>
      <c r="AB8" s="472"/>
      <c r="AC8" s="472"/>
      <c r="AD8" s="472"/>
      <c r="AE8" s="472"/>
      <c r="AF8" s="473"/>
      <c r="AG8" s="473"/>
      <c r="AH8" s="473"/>
      <c r="AI8" s="473"/>
      <c r="AJ8" s="473"/>
      <c r="AK8" s="473"/>
      <c r="AL8" s="473"/>
      <c r="AM8" s="473"/>
      <c r="AN8" s="473"/>
      <c r="AO8" s="473"/>
      <c r="AP8" s="473"/>
      <c r="AQ8" s="473"/>
      <c r="AR8" s="473"/>
      <c r="AS8" s="473"/>
      <c r="AT8" s="473"/>
      <c r="AU8" s="473"/>
      <c r="AV8" s="473"/>
      <c r="AW8" s="473"/>
      <c r="AX8" s="473"/>
      <c r="AY8" s="473"/>
      <c r="AZ8" s="473"/>
      <c r="BA8" s="473"/>
      <c r="BB8" s="473"/>
      <c r="BC8" s="473"/>
      <c r="BD8" s="473"/>
    </row>
    <row r="9" spans="1:56" ht="15">
      <c r="A9" s="467"/>
      <c r="B9" s="467"/>
      <c r="C9" s="467"/>
      <c r="D9" s="467"/>
      <c r="E9" s="468"/>
      <c r="F9" s="469"/>
      <c r="G9" s="470"/>
      <c r="H9" s="470"/>
      <c r="I9" s="471"/>
      <c r="J9" s="471"/>
      <c r="K9" s="472"/>
      <c r="L9" s="472"/>
      <c r="M9" s="472"/>
      <c r="N9" s="472"/>
      <c r="O9" s="472"/>
      <c r="P9" s="472"/>
      <c r="Q9" s="472"/>
      <c r="R9" s="472"/>
      <c r="S9" s="472"/>
      <c r="T9" s="472"/>
      <c r="U9" s="472"/>
      <c r="V9" s="472"/>
      <c r="W9" s="472"/>
      <c r="X9" s="472"/>
      <c r="Y9" s="472"/>
      <c r="Z9" s="472"/>
      <c r="AA9" s="472"/>
      <c r="AB9" s="472"/>
      <c r="AC9" s="472"/>
      <c r="AD9" s="472"/>
      <c r="AE9" s="472"/>
      <c r="AF9" s="473"/>
      <c r="AG9" s="473"/>
      <c r="AH9" s="473"/>
      <c r="AI9" s="473"/>
      <c r="AJ9" s="473"/>
      <c r="AK9" s="473"/>
      <c r="AL9" s="473"/>
      <c r="AM9" s="473"/>
      <c r="AN9" s="473"/>
      <c r="AO9" s="473"/>
      <c r="AP9" s="473"/>
      <c r="AQ9" s="473"/>
      <c r="AR9" s="473"/>
      <c r="AS9" s="473"/>
      <c r="AT9" s="473"/>
      <c r="AU9" s="473"/>
      <c r="AV9" s="473"/>
      <c r="AW9" s="473"/>
      <c r="AX9" s="473"/>
      <c r="AY9" s="473"/>
      <c r="AZ9" s="473"/>
      <c r="BA9" s="473"/>
      <c r="BB9" s="473"/>
      <c r="BC9" s="473"/>
      <c r="BD9" s="473"/>
    </row>
    <row r="10" spans="1:56" ht="15">
      <c r="A10" s="467"/>
      <c r="B10" s="467"/>
      <c r="C10" s="467"/>
      <c r="D10" s="467"/>
      <c r="E10" s="468"/>
      <c r="F10" s="469"/>
      <c r="G10" s="470"/>
      <c r="H10" s="470"/>
      <c r="I10" s="471"/>
      <c r="J10" s="471"/>
      <c r="K10" s="472"/>
      <c r="L10" s="472"/>
      <c r="M10" s="472"/>
      <c r="N10" s="472"/>
      <c r="O10" s="472"/>
      <c r="P10" s="472"/>
      <c r="Q10" s="472"/>
      <c r="R10" s="472"/>
      <c r="S10" s="472"/>
      <c r="T10" s="472"/>
      <c r="U10" s="472"/>
      <c r="V10" s="472"/>
      <c r="W10" s="472"/>
      <c r="X10" s="472"/>
      <c r="Y10" s="472"/>
      <c r="Z10" s="472"/>
      <c r="AA10" s="472"/>
      <c r="AB10" s="472"/>
      <c r="AC10" s="472"/>
      <c r="AD10" s="472"/>
      <c r="AE10" s="472"/>
      <c r="AF10" s="473"/>
      <c r="AG10" s="473"/>
      <c r="AH10" s="473"/>
      <c r="AI10" s="473"/>
      <c r="AJ10" s="473"/>
      <c r="AK10" s="473"/>
      <c r="AL10" s="473"/>
      <c r="AM10" s="473"/>
      <c r="AN10" s="473"/>
      <c r="AO10" s="473"/>
      <c r="AP10" s="473"/>
      <c r="AQ10" s="473"/>
      <c r="AR10" s="473"/>
      <c r="AS10" s="473"/>
      <c r="AT10" s="473"/>
      <c r="AU10" s="473"/>
      <c r="AV10" s="473"/>
      <c r="AW10" s="473"/>
      <c r="AX10" s="473"/>
      <c r="AY10" s="473"/>
      <c r="AZ10" s="473"/>
      <c r="BA10" s="473"/>
      <c r="BB10" s="473"/>
      <c r="BC10" s="473"/>
      <c r="BD10" s="473"/>
    </row>
    <row r="11" spans="1:56" ht="15">
      <c r="A11" s="467"/>
      <c r="B11" s="467"/>
      <c r="C11" s="467"/>
      <c r="D11" s="467"/>
      <c r="E11" s="468"/>
      <c r="F11" s="469"/>
      <c r="G11" s="470"/>
      <c r="H11" s="470"/>
      <c r="I11" s="471"/>
      <c r="J11" s="471"/>
      <c r="K11" s="472">
        <f>COLUMN()</f>
        <v>11</v>
      </c>
      <c r="L11" s="472"/>
      <c r="M11" s="472"/>
      <c r="N11" s="472"/>
      <c r="O11" s="472"/>
      <c r="P11" s="472"/>
      <c r="Q11" s="472"/>
      <c r="R11" s="472"/>
      <c r="S11" s="472"/>
      <c r="T11" s="472"/>
      <c r="U11" s="472"/>
      <c r="V11" s="472"/>
      <c r="W11" s="472"/>
      <c r="X11" s="472"/>
      <c r="Y11" s="472"/>
      <c r="Z11" s="472"/>
      <c r="AA11" s="472"/>
      <c r="AB11" s="472"/>
      <c r="AC11" s="472"/>
      <c r="AD11" s="472"/>
      <c r="AE11" s="472"/>
      <c r="AF11" s="473"/>
      <c r="AG11" s="473"/>
      <c r="AH11" s="473"/>
      <c r="AI11" s="473"/>
      <c r="AJ11" s="473"/>
      <c r="AK11" s="473"/>
      <c r="AL11" s="473"/>
      <c r="AM11" s="473"/>
      <c r="AN11" s="473"/>
      <c r="AO11" s="473"/>
      <c r="AP11" s="473"/>
      <c r="AQ11" s="473"/>
      <c r="AR11" s="473"/>
      <c r="AS11" s="473"/>
      <c r="AT11" s="473"/>
      <c r="AU11" s="473"/>
      <c r="AV11" s="473"/>
      <c r="AW11" s="473"/>
      <c r="AX11" s="473"/>
      <c r="AY11" s="473"/>
      <c r="AZ11" s="473"/>
      <c r="BA11" s="473"/>
      <c r="BB11" s="473"/>
      <c r="BC11" s="473"/>
      <c r="BD11" s="473"/>
    </row>
    <row r="12" spans="1:56" ht="15">
      <c r="A12" s="467"/>
      <c r="B12" s="467"/>
      <c r="C12" s="467"/>
      <c r="D12" s="467"/>
      <c r="E12" s="468"/>
      <c r="F12" s="469"/>
      <c r="G12" s="470"/>
      <c r="H12" s="470"/>
      <c r="I12" s="471"/>
      <c r="J12" s="471"/>
      <c r="K12" s="472"/>
      <c r="L12" s="472"/>
      <c r="M12" s="472"/>
      <c r="N12" s="472"/>
      <c r="O12" s="472"/>
      <c r="P12" s="472"/>
      <c r="Q12" s="472"/>
      <c r="R12" s="472"/>
      <c r="S12" s="472"/>
      <c r="T12" s="472"/>
      <c r="U12" s="472"/>
      <c r="V12" s="472"/>
      <c r="W12" s="472"/>
      <c r="X12" s="472"/>
      <c r="Y12" s="472"/>
      <c r="Z12" s="472"/>
      <c r="AA12" s="472"/>
      <c r="AB12" s="472"/>
      <c r="AC12" s="472"/>
      <c r="AD12" s="472"/>
      <c r="AE12" s="472"/>
      <c r="AF12" s="473"/>
      <c r="AG12" s="473"/>
      <c r="AH12" s="473"/>
      <c r="AI12" s="473"/>
      <c r="AJ12" s="473"/>
      <c r="AK12" s="473"/>
      <c r="AL12" s="473"/>
      <c r="AM12" s="473"/>
      <c r="AN12" s="473"/>
      <c r="AO12" s="473"/>
      <c r="AP12" s="473"/>
      <c r="AQ12" s="473"/>
      <c r="AR12" s="473"/>
      <c r="AS12" s="473"/>
      <c r="AT12" s="473"/>
      <c r="AU12" s="473"/>
      <c r="AV12" s="473"/>
      <c r="AW12" s="473"/>
      <c r="AX12" s="473"/>
      <c r="AY12" s="473"/>
      <c r="AZ12" s="473"/>
      <c r="BA12" s="473"/>
      <c r="BB12" s="473"/>
      <c r="BC12" s="473"/>
      <c r="BD12" s="473"/>
    </row>
    <row r="13" spans="1:56" ht="15">
      <c r="A13" s="467"/>
      <c r="B13" s="467"/>
      <c r="C13" s="467"/>
      <c r="D13" s="467"/>
      <c r="E13" s="468"/>
      <c r="F13" s="469"/>
      <c r="G13" s="470"/>
      <c r="H13" s="470"/>
      <c r="I13" s="471"/>
      <c r="J13" s="471"/>
      <c r="K13" s="472"/>
      <c r="L13" s="472"/>
      <c r="M13" s="472"/>
      <c r="N13" s="472"/>
      <c r="O13" s="472"/>
      <c r="P13" s="472"/>
      <c r="Q13" s="472"/>
      <c r="R13" s="472"/>
      <c r="S13" s="472"/>
      <c r="T13" s="472"/>
      <c r="U13" s="472"/>
      <c r="V13" s="472"/>
      <c r="W13" s="472"/>
      <c r="X13" s="472"/>
      <c r="Y13" s="472"/>
      <c r="Z13" s="472"/>
      <c r="AA13" s="472"/>
      <c r="AB13" s="472"/>
      <c r="AC13" s="472"/>
      <c r="AD13" s="472"/>
      <c r="AE13" s="472"/>
      <c r="AF13" s="473"/>
      <c r="AG13" s="473"/>
      <c r="AH13" s="473"/>
      <c r="AI13" s="473"/>
      <c r="AJ13" s="473"/>
      <c r="AK13" s="473"/>
      <c r="AL13" s="473"/>
      <c r="AM13" s="473"/>
      <c r="AN13" s="473"/>
      <c r="AO13" s="473"/>
      <c r="AP13" s="473"/>
      <c r="AQ13" s="473"/>
      <c r="AR13" s="473"/>
      <c r="AS13" s="473"/>
      <c r="AT13" s="473"/>
      <c r="AU13" s="473"/>
      <c r="AV13" s="473"/>
      <c r="AW13" s="473"/>
      <c r="AX13" s="473"/>
      <c r="AY13" s="473"/>
      <c r="AZ13" s="473"/>
      <c r="BA13" s="473"/>
      <c r="BB13" s="473"/>
      <c r="BC13" s="473"/>
      <c r="BD13" s="473"/>
    </row>
    <row r="14" spans="1:56" ht="15">
      <c r="A14" s="467"/>
      <c r="B14" s="467"/>
      <c r="C14" s="467"/>
      <c r="D14" s="467"/>
      <c r="E14" s="468"/>
      <c r="F14" s="469"/>
      <c r="G14" s="470"/>
      <c r="H14" s="470"/>
      <c r="I14" s="471"/>
      <c r="J14" s="471"/>
      <c r="K14" s="472"/>
      <c r="L14" s="472"/>
      <c r="M14" s="472"/>
      <c r="N14" s="472"/>
      <c r="O14" s="472"/>
      <c r="P14" s="472"/>
      <c r="Q14" s="472"/>
      <c r="R14" s="472"/>
      <c r="S14" s="472"/>
      <c r="T14" s="472"/>
      <c r="U14" s="472"/>
      <c r="V14" s="472"/>
      <c r="W14" s="472"/>
      <c r="X14" s="472"/>
      <c r="Y14" s="472"/>
      <c r="Z14" s="472"/>
      <c r="AA14" s="472"/>
      <c r="AB14" s="472"/>
      <c r="AC14" s="472"/>
      <c r="AD14" s="472"/>
      <c r="AE14" s="472"/>
      <c r="AF14" s="473"/>
      <c r="AG14" s="473"/>
      <c r="AH14" s="473"/>
      <c r="AI14" s="473"/>
      <c r="AJ14" s="473"/>
      <c r="AK14" s="473"/>
      <c r="AL14" s="473"/>
      <c r="AM14" s="473"/>
      <c r="AN14" s="473"/>
      <c r="AO14" s="473"/>
      <c r="AP14" s="473"/>
      <c r="AQ14" s="473"/>
      <c r="AR14" s="473"/>
      <c r="AS14" s="473"/>
      <c r="AT14" s="473"/>
      <c r="AU14" s="473"/>
      <c r="AV14" s="473"/>
      <c r="AW14" s="473"/>
      <c r="AX14" s="473"/>
      <c r="AY14" s="473"/>
      <c r="AZ14" s="473"/>
      <c r="BA14" s="473"/>
      <c r="BB14" s="473"/>
      <c r="BC14" s="473"/>
      <c r="BD14" s="473"/>
    </row>
    <row r="15" spans="1:56" ht="15">
      <c r="A15" s="467"/>
      <c r="B15" s="467"/>
      <c r="C15" s="467"/>
      <c r="D15" s="467"/>
      <c r="E15" s="468"/>
      <c r="F15" s="469"/>
      <c r="G15" s="470"/>
      <c r="H15" s="470"/>
      <c r="I15" s="471"/>
      <c r="J15" s="471"/>
      <c r="K15" s="472"/>
      <c r="L15" s="472"/>
      <c r="M15" s="472"/>
      <c r="N15" s="472"/>
      <c r="O15" s="472"/>
      <c r="P15" s="472"/>
      <c r="Q15" s="472"/>
      <c r="R15" s="472"/>
      <c r="S15" s="472"/>
      <c r="T15" s="472"/>
      <c r="U15" s="472"/>
      <c r="V15" s="472"/>
      <c r="W15" s="472"/>
      <c r="X15" s="472"/>
      <c r="Y15" s="472"/>
      <c r="Z15" s="472"/>
      <c r="AA15" s="472"/>
      <c r="AB15" s="472"/>
      <c r="AC15" s="472"/>
      <c r="AD15" s="472"/>
      <c r="AE15" s="472"/>
      <c r="AF15" s="473"/>
      <c r="AG15" s="473"/>
      <c r="AH15" s="473"/>
      <c r="AI15" s="473"/>
      <c r="AJ15" s="473"/>
      <c r="AK15" s="473"/>
      <c r="AL15" s="473"/>
      <c r="AM15" s="473"/>
      <c r="AN15" s="473"/>
      <c r="AO15" s="473"/>
      <c r="AP15" s="473"/>
      <c r="AQ15" s="473"/>
      <c r="AR15" s="473"/>
      <c r="AS15" s="473"/>
      <c r="AT15" s="473"/>
      <c r="AU15" s="473"/>
      <c r="AV15" s="473"/>
      <c r="AW15" s="473"/>
      <c r="AX15" s="473"/>
      <c r="AY15" s="473"/>
      <c r="AZ15" s="473"/>
      <c r="BA15" s="473"/>
      <c r="BB15" s="473"/>
      <c r="BC15" s="473"/>
      <c r="BD15" s="473"/>
    </row>
    <row r="16" spans="1:56" ht="15">
      <c r="A16" s="467"/>
      <c r="B16" s="467"/>
      <c r="C16" s="467"/>
      <c r="D16" s="467"/>
      <c r="E16" s="468"/>
      <c r="F16" s="469"/>
      <c r="G16" s="470"/>
      <c r="H16" s="470"/>
      <c r="I16" s="471"/>
      <c r="J16" s="471"/>
      <c r="K16" s="472"/>
      <c r="L16" s="472"/>
      <c r="M16" s="472"/>
      <c r="N16" s="472"/>
      <c r="O16" s="472"/>
      <c r="P16" s="472"/>
      <c r="Q16" s="472"/>
      <c r="R16" s="472"/>
      <c r="S16" s="472"/>
      <c r="T16" s="472"/>
      <c r="U16" s="472"/>
      <c r="V16" s="472"/>
      <c r="W16" s="472"/>
      <c r="X16" s="472"/>
      <c r="Y16" s="472"/>
      <c r="Z16" s="472"/>
      <c r="AA16" s="472"/>
      <c r="AB16" s="472"/>
      <c r="AC16" s="472"/>
      <c r="AD16" s="472"/>
      <c r="AE16" s="472"/>
      <c r="AF16" s="473"/>
      <c r="AG16" s="473"/>
      <c r="AH16" s="473"/>
      <c r="AI16" s="473"/>
      <c r="AJ16" s="473"/>
      <c r="AK16" s="473"/>
      <c r="AL16" s="473"/>
      <c r="AM16" s="473"/>
      <c r="AN16" s="473"/>
      <c r="AO16" s="473"/>
      <c r="AP16" s="473"/>
      <c r="AQ16" s="473"/>
      <c r="AR16" s="473"/>
      <c r="AS16" s="473"/>
      <c r="AT16" s="473"/>
      <c r="AU16" s="473"/>
      <c r="AV16" s="473"/>
      <c r="AW16" s="473"/>
      <c r="AX16" s="473"/>
      <c r="AY16" s="473"/>
      <c r="AZ16" s="473"/>
      <c r="BA16" s="473"/>
      <c r="BB16" s="473"/>
      <c r="BC16" s="473"/>
      <c r="BD16" s="473"/>
    </row>
    <row r="17" spans="1:56" ht="15">
      <c r="A17" s="467"/>
      <c r="B17" s="467"/>
      <c r="C17" s="467"/>
      <c r="D17" s="467"/>
      <c r="E17" s="468"/>
      <c r="F17" s="469"/>
      <c r="G17" s="470"/>
      <c r="H17" s="470"/>
      <c r="I17" s="471"/>
      <c r="J17" s="471"/>
      <c r="K17" s="472"/>
      <c r="L17" s="472"/>
      <c r="M17" s="472"/>
      <c r="N17" s="472"/>
      <c r="O17" s="472"/>
      <c r="P17" s="472"/>
      <c r="Q17" s="472"/>
      <c r="R17" s="472"/>
      <c r="S17" s="472"/>
      <c r="T17" s="472"/>
      <c r="U17" s="472"/>
      <c r="V17" s="472"/>
      <c r="W17" s="472"/>
      <c r="X17" s="472"/>
      <c r="Y17" s="472"/>
      <c r="Z17" s="472"/>
      <c r="AA17" s="472"/>
      <c r="AB17" s="472"/>
      <c r="AC17" s="472"/>
      <c r="AD17" s="472"/>
      <c r="AE17" s="472"/>
      <c r="AF17" s="473"/>
      <c r="AG17" s="473"/>
      <c r="AH17" s="473"/>
      <c r="AI17" s="473"/>
      <c r="AJ17" s="473"/>
      <c r="AK17" s="473"/>
      <c r="AL17" s="473"/>
      <c r="AM17" s="473"/>
      <c r="AN17" s="473"/>
      <c r="AO17" s="473"/>
      <c r="AP17" s="473"/>
      <c r="AQ17" s="473"/>
      <c r="AR17" s="473"/>
      <c r="AS17" s="473"/>
      <c r="AT17" s="473"/>
      <c r="AU17" s="473"/>
      <c r="AV17" s="473"/>
      <c r="AW17" s="473"/>
      <c r="AX17" s="473"/>
      <c r="AY17" s="473"/>
      <c r="AZ17" s="473"/>
      <c r="BA17" s="473"/>
      <c r="BB17" s="473"/>
      <c r="BC17" s="473"/>
      <c r="BD17" s="473"/>
    </row>
    <row r="18" spans="1:56" ht="15">
      <c r="A18" s="467"/>
      <c r="B18" s="467"/>
      <c r="C18" s="467"/>
      <c r="D18" s="467"/>
      <c r="E18" s="468"/>
      <c r="F18" s="469"/>
      <c r="G18" s="470"/>
      <c r="H18" s="470"/>
      <c r="I18" s="471"/>
      <c r="J18" s="471"/>
      <c r="K18" s="472"/>
      <c r="L18" s="472"/>
      <c r="M18" s="472"/>
      <c r="N18" s="472"/>
      <c r="O18" s="472"/>
      <c r="P18" s="472"/>
      <c r="Q18" s="472"/>
      <c r="R18" s="472"/>
      <c r="S18" s="472"/>
      <c r="T18" s="472"/>
      <c r="U18" s="472"/>
      <c r="V18" s="472"/>
      <c r="W18" s="472"/>
      <c r="X18" s="472"/>
      <c r="Y18" s="472"/>
      <c r="Z18" s="472"/>
      <c r="AA18" s="472"/>
      <c r="AB18" s="472"/>
      <c r="AC18" s="472"/>
      <c r="AD18" s="472"/>
      <c r="AE18" s="472"/>
      <c r="AF18" s="473"/>
      <c r="AG18" s="473"/>
      <c r="AH18" s="473"/>
      <c r="AI18" s="473"/>
      <c r="AJ18" s="473"/>
      <c r="AK18" s="473"/>
      <c r="AL18" s="473"/>
      <c r="AM18" s="473"/>
      <c r="AN18" s="473"/>
      <c r="AO18" s="473"/>
      <c r="AP18" s="473"/>
      <c r="AQ18" s="473"/>
      <c r="AR18" s="473"/>
      <c r="AS18" s="473"/>
      <c r="AT18" s="473"/>
      <c r="AU18" s="473"/>
      <c r="AV18" s="473"/>
      <c r="AW18" s="473"/>
      <c r="AX18" s="473"/>
      <c r="AY18" s="473"/>
      <c r="AZ18" s="473"/>
      <c r="BA18" s="473"/>
      <c r="BB18" s="473"/>
      <c r="BC18" s="473"/>
      <c r="BD18" s="473"/>
    </row>
    <row r="19" spans="1:56" ht="15">
      <c r="A19" s="467"/>
      <c r="B19" s="467"/>
      <c r="C19" s="467"/>
      <c r="D19" s="467"/>
      <c r="E19" s="468"/>
      <c r="F19" s="469"/>
      <c r="G19" s="470"/>
      <c r="H19" s="470"/>
      <c r="I19" s="471"/>
      <c r="J19" s="471"/>
      <c r="K19" s="472"/>
      <c r="L19" s="472"/>
      <c r="M19" s="472"/>
      <c r="N19" s="472"/>
      <c r="O19" s="472"/>
      <c r="P19" s="472"/>
      <c r="Q19" s="472"/>
      <c r="R19" s="472"/>
      <c r="S19" s="472"/>
      <c r="T19" s="472"/>
      <c r="U19" s="472"/>
      <c r="V19" s="472"/>
      <c r="W19" s="472"/>
      <c r="X19" s="472"/>
      <c r="Y19" s="472"/>
      <c r="Z19" s="472"/>
      <c r="AA19" s="472"/>
      <c r="AB19" s="472"/>
      <c r="AC19" s="472"/>
      <c r="AD19" s="472"/>
      <c r="AE19" s="472"/>
      <c r="AF19" s="473"/>
      <c r="AG19" s="473"/>
      <c r="AH19" s="473"/>
      <c r="AI19" s="473"/>
      <c r="AJ19" s="473"/>
      <c r="AK19" s="473"/>
      <c r="AL19" s="473"/>
      <c r="AM19" s="473"/>
      <c r="AN19" s="473"/>
      <c r="AO19" s="473"/>
      <c r="AP19" s="473"/>
      <c r="AQ19" s="473"/>
      <c r="AR19" s="473"/>
      <c r="AS19" s="473"/>
      <c r="AT19" s="473"/>
      <c r="AU19" s="473"/>
      <c r="AV19" s="473"/>
      <c r="AW19" s="473"/>
      <c r="AX19" s="473"/>
      <c r="AY19" s="473"/>
      <c r="AZ19" s="473"/>
      <c r="BA19" s="473"/>
      <c r="BB19" s="473"/>
      <c r="BC19" s="473"/>
      <c r="BD19" s="473"/>
    </row>
    <row r="20" spans="1:56" ht="15">
      <c r="A20" s="467"/>
      <c r="B20" s="467"/>
      <c r="C20" s="467"/>
      <c r="D20" s="467"/>
      <c r="E20" s="468"/>
      <c r="F20" s="469"/>
      <c r="G20" s="470"/>
      <c r="H20" s="470"/>
      <c r="I20" s="471"/>
      <c r="J20" s="471"/>
      <c r="K20" s="472"/>
      <c r="L20" s="472"/>
      <c r="M20" s="472"/>
      <c r="N20" s="472"/>
      <c r="O20" s="472"/>
      <c r="P20" s="472"/>
      <c r="Q20" s="472"/>
      <c r="R20" s="472"/>
      <c r="S20" s="472"/>
      <c r="T20" s="472"/>
      <c r="U20" s="472"/>
      <c r="V20" s="472"/>
      <c r="W20" s="472"/>
      <c r="X20" s="472"/>
      <c r="Y20" s="472"/>
      <c r="Z20" s="472"/>
      <c r="AA20" s="472"/>
      <c r="AB20" s="472"/>
      <c r="AC20" s="472"/>
      <c r="AD20" s="472"/>
      <c r="AE20" s="472"/>
      <c r="AF20" s="473"/>
      <c r="AG20" s="473"/>
      <c r="AH20" s="473"/>
      <c r="AI20" s="473"/>
      <c r="AJ20" s="473"/>
      <c r="AK20" s="473"/>
      <c r="AL20" s="473"/>
      <c r="AM20" s="473"/>
      <c r="AN20" s="473"/>
      <c r="AO20" s="473"/>
      <c r="AP20" s="473"/>
      <c r="AQ20" s="473"/>
      <c r="AR20" s="473"/>
      <c r="AS20" s="473"/>
      <c r="AT20" s="473"/>
      <c r="AU20" s="473"/>
      <c r="AV20" s="473"/>
      <c r="AW20" s="473"/>
      <c r="AX20" s="473"/>
      <c r="AY20" s="473"/>
      <c r="AZ20" s="473"/>
      <c r="BA20" s="473"/>
      <c r="BB20" s="473"/>
      <c r="BC20" s="473"/>
      <c r="BD20" s="473"/>
    </row>
    <row r="21" spans="1:56" ht="15">
      <c r="A21" s="467"/>
      <c r="B21" s="467"/>
      <c r="C21" s="467"/>
      <c r="D21" s="467"/>
      <c r="E21" s="468"/>
      <c r="F21" s="469"/>
      <c r="G21" s="470"/>
      <c r="H21" s="470"/>
      <c r="I21" s="471"/>
      <c r="J21" s="471"/>
      <c r="K21" s="472"/>
      <c r="L21" s="472"/>
      <c r="M21" s="472"/>
      <c r="N21" s="472"/>
      <c r="O21" s="472"/>
      <c r="P21" s="472"/>
      <c r="Q21" s="472"/>
      <c r="R21" s="472"/>
      <c r="S21" s="472"/>
      <c r="T21" s="472"/>
      <c r="U21" s="472"/>
      <c r="V21" s="472"/>
      <c r="W21" s="472"/>
      <c r="X21" s="472"/>
      <c r="Y21" s="472"/>
      <c r="Z21" s="472"/>
      <c r="AA21" s="472"/>
      <c r="AB21" s="472"/>
      <c r="AC21" s="472"/>
      <c r="AD21" s="472"/>
      <c r="AE21" s="472"/>
      <c r="AF21" s="473"/>
      <c r="AG21" s="473"/>
      <c r="AH21" s="473"/>
      <c r="AI21" s="473"/>
      <c r="AJ21" s="473"/>
      <c r="AK21" s="473"/>
      <c r="AL21" s="473"/>
      <c r="AM21" s="473"/>
      <c r="AN21" s="473"/>
      <c r="AO21" s="473"/>
      <c r="AP21" s="473"/>
      <c r="AQ21" s="473"/>
      <c r="AR21" s="473"/>
      <c r="AS21" s="473"/>
      <c r="AT21" s="473"/>
      <c r="AU21" s="473"/>
      <c r="AV21" s="473"/>
      <c r="AW21" s="473"/>
      <c r="AX21" s="473"/>
      <c r="AY21" s="473"/>
      <c r="AZ21" s="473"/>
      <c r="BA21" s="473"/>
      <c r="BB21" s="473"/>
      <c r="BC21" s="473"/>
      <c r="BD21" s="473"/>
    </row>
    <row r="22" spans="1:56" ht="15">
      <c r="A22" s="467"/>
      <c r="B22" s="467"/>
      <c r="C22" s="467"/>
      <c r="D22" s="467"/>
      <c r="E22" s="468"/>
      <c r="F22" s="469"/>
      <c r="G22" s="470"/>
      <c r="H22" s="470"/>
      <c r="I22" s="471"/>
      <c r="J22" s="471"/>
      <c r="K22" s="472"/>
      <c r="L22" s="472"/>
      <c r="M22" s="472"/>
      <c r="N22" s="472"/>
      <c r="O22" s="472"/>
      <c r="P22" s="472"/>
      <c r="Q22" s="472"/>
      <c r="R22" s="472"/>
      <c r="S22" s="472"/>
      <c r="T22" s="472"/>
      <c r="U22" s="472"/>
      <c r="V22" s="472"/>
      <c r="W22" s="472"/>
      <c r="X22" s="472"/>
      <c r="Y22" s="472"/>
      <c r="Z22" s="472"/>
      <c r="AA22" s="472"/>
      <c r="AB22" s="472"/>
      <c r="AC22" s="472"/>
      <c r="AD22" s="472"/>
      <c r="AE22" s="472"/>
      <c r="AF22" s="473"/>
      <c r="AG22" s="473"/>
      <c r="AH22" s="473"/>
      <c r="AI22" s="473"/>
      <c r="AJ22" s="473"/>
      <c r="AK22" s="473"/>
      <c r="AL22" s="473"/>
      <c r="AM22" s="473"/>
      <c r="AN22" s="473"/>
      <c r="AO22" s="473"/>
      <c r="AP22" s="473"/>
      <c r="AQ22" s="473"/>
      <c r="AR22" s="473"/>
      <c r="AS22" s="473"/>
      <c r="AT22" s="473"/>
      <c r="AU22" s="473"/>
      <c r="AV22" s="473"/>
      <c r="AW22" s="473"/>
      <c r="AX22" s="473"/>
      <c r="AY22" s="473"/>
      <c r="AZ22" s="473"/>
      <c r="BA22" s="473"/>
      <c r="BB22" s="473"/>
      <c r="BC22" s="473"/>
      <c r="BD22" s="473"/>
    </row>
    <row r="23" spans="1:56" ht="15">
      <c r="A23" s="467"/>
      <c r="B23" s="467"/>
      <c r="C23" s="467"/>
      <c r="D23" s="467"/>
      <c r="E23" s="468"/>
      <c r="F23" s="469"/>
      <c r="G23" s="470"/>
      <c r="H23" s="470"/>
      <c r="I23" s="471"/>
      <c r="J23" s="471"/>
      <c r="K23" s="472"/>
      <c r="L23" s="472"/>
      <c r="M23" s="472"/>
      <c r="N23" s="472"/>
      <c r="O23" s="472"/>
      <c r="P23" s="472"/>
      <c r="Q23" s="472"/>
      <c r="R23" s="472"/>
      <c r="S23" s="472"/>
      <c r="T23" s="472"/>
      <c r="U23" s="472"/>
      <c r="V23" s="472"/>
      <c r="W23" s="472"/>
      <c r="X23" s="472"/>
      <c r="Y23" s="472"/>
      <c r="Z23" s="472"/>
      <c r="AA23" s="472"/>
      <c r="AB23" s="472"/>
      <c r="AC23" s="472"/>
      <c r="AD23" s="472"/>
      <c r="AE23" s="472"/>
      <c r="AF23" s="473"/>
      <c r="AG23" s="473"/>
      <c r="AH23" s="473"/>
      <c r="AI23" s="473"/>
      <c r="AJ23" s="473"/>
      <c r="AK23" s="473"/>
      <c r="AL23" s="473"/>
      <c r="AM23" s="473"/>
      <c r="AN23" s="473"/>
      <c r="AO23" s="473"/>
      <c r="AP23" s="473"/>
      <c r="AQ23" s="473"/>
      <c r="AR23" s="473"/>
      <c r="AS23" s="473"/>
      <c r="AT23" s="473"/>
      <c r="AU23" s="473"/>
      <c r="AV23" s="473"/>
      <c r="AW23" s="473"/>
      <c r="AX23" s="473"/>
      <c r="AY23" s="473"/>
      <c r="AZ23" s="473"/>
      <c r="BA23" s="473"/>
      <c r="BB23" s="473"/>
      <c r="BC23" s="473"/>
      <c r="BD23" s="473"/>
    </row>
    <row r="24" spans="1:56" ht="15">
      <c r="A24" s="467"/>
      <c r="B24" s="467"/>
      <c r="C24" s="467"/>
      <c r="D24" s="467"/>
      <c r="E24" s="468"/>
      <c r="F24" s="469"/>
      <c r="G24" s="470"/>
      <c r="H24" s="470"/>
      <c r="I24" s="471"/>
      <c r="J24" s="471"/>
      <c r="K24" s="472"/>
      <c r="L24" s="472"/>
      <c r="M24" s="472"/>
      <c r="N24" s="472"/>
      <c r="O24" s="472"/>
      <c r="P24" s="472"/>
      <c r="Q24" s="472"/>
      <c r="R24" s="472"/>
      <c r="S24" s="472"/>
      <c r="T24" s="472"/>
      <c r="U24" s="472"/>
      <c r="V24" s="472"/>
      <c r="W24" s="472"/>
      <c r="X24" s="472"/>
      <c r="Y24" s="472"/>
      <c r="Z24" s="472"/>
      <c r="AA24" s="472"/>
      <c r="AB24" s="472"/>
      <c r="AC24" s="472"/>
      <c r="AD24" s="472"/>
      <c r="AE24" s="472"/>
      <c r="AF24" s="473"/>
      <c r="AG24" s="473"/>
      <c r="AH24" s="473"/>
      <c r="AI24" s="473"/>
      <c r="AJ24" s="473"/>
      <c r="AK24" s="473"/>
      <c r="AL24" s="473"/>
      <c r="AM24" s="473"/>
      <c r="AN24" s="473"/>
      <c r="AO24" s="473"/>
      <c r="AP24" s="473"/>
      <c r="AQ24" s="473"/>
      <c r="AR24" s="473"/>
      <c r="AS24" s="473"/>
      <c r="AT24" s="473"/>
      <c r="AU24" s="473"/>
      <c r="AV24" s="473"/>
      <c r="AW24" s="473"/>
      <c r="AX24" s="473"/>
      <c r="AY24" s="473"/>
      <c r="AZ24" s="473"/>
      <c r="BA24" s="473"/>
      <c r="BB24" s="473"/>
      <c r="BC24" s="473"/>
      <c r="BD24" s="473"/>
    </row>
    <row r="25" spans="1:56" ht="15">
      <c r="A25" s="467"/>
      <c r="B25" s="467"/>
      <c r="C25" s="467"/>
      <c r="D25" s="467"/>
      <c r="E25" s="468"/>
      <c r="F25" s="469"/>
      <c r="G25" s="470"/>
      <c r="H25" s="470"/>
      <c r="I25" s="471"/>
      <c r="J25" s="471"/>
      <c r="K25" s="472"/>
      <c r="L25" s="472"/>
      <c r="M25" s="472"/>
      <c r="N25" s="472"/>
      <c r="O25" s="472"/>
      <c r="P25" s="472"/>
      <c r="Q25" s="472"/>
      <c r="R25" s="472"/>
      <c r="S25" s="472"/>
      <c r="T25" s="472"/>
      <c r="U25" s="472"/>
      <c r="V25" s="472"/>
      <c r="W25" s="472"/>
      <c r="X25" s="472"/>
      <c r="Y25" s="472"/>
      <c r="Z25" s="472"/>
      <c r="AA25" s="472"/>
      <c r="AB25" s="472"/>
      <c r="AC25" s="472"/>
      <c r="AD25" s="472"/>
      <c r="AE25" s="472"/>
      <c r="AF25" s="473"/>
      <c r="AG25" s="473"/>
      <c r="AH25" s="473"/>
      <c r="AI25" s="473"/>
      <c r="AJ25" s="473"/>
      <c r="AK25" s="473"/>
      <c r="AL25" s="473"/>
      <c r="AM25" s="473"/>
      <c r="AN25" s="473"/>
      <c r="AO25" s="473"/>
      <c r="AP25" s="473"/>
      <c r="AQ25" s="473"/>
      <c r="AR25" s="473"/>
      <c r="AS25" s="473"/>
      <c r="AT25" s="473"/>
      <c r="AU25" s="473"/>
      <c r="AV25" s="473"/>
      <c r="AW25" s="473"/>
      <c r="AX25" s="473"/>
      <c r="AY25" s="473"/>
      <c r="AZ25" s="473"/>
      <c r="BA25" s="473"/>
      <c r="BB25" s="473"/>
      <c r="BC25" s="473"/>
      <c r="BD25" s="473"/>
    </row>
    <row r="26" spans="1:56" ht="15">
      <c r="A26" s="467"/>
      <c r="B26" s="467"/>
      <c r="C26" s="467"/>
      <c r="D26" s="467"/>
      <c r="E26" s="468"/>
      <c r="F26" s="469"/>
      <c r="G26" s="470"/>
      <c r="H26" s="470"/>
      <c r="I26" s="471"/>
      <c r="J26" s="471"/>
      <c r="K26" s="472"/>
      <c r="L26" s="472"/>
      <c r="M26" s="472"/>
      <c r="N26" s="472"/>
      <c r="O26" s="472"/>
      <c r="P26" s="472"/>
      <c r="Q26" s="472"/>
      <c r="R26" s="472"/>
      <c r="S26" s="472"/>
      <c r="T26" s="472"/>
      <c r="U26" s="472"/>
      <c r="V26" s="472"/>
      <c r="W26" s="472"/>
      <c r="X26" s="472"/>
      <c r="Y26" s="472"/>
      <c r="Z26" s="472"/>
      <c r="AA26" s="472"/>
      <c r="AB26" s="472"/>
      <c r="AC26" s="472"/>
      <c r="AD26" s="472"/>
      <c r="AE26" s="472"/>
      <c r="AF26" s="473"/>
      <c r="AG26" s="473"/>
      <c r="AH26" s="473"/>
      <c r="AI26" s="473"/>
      <c r="AJ26" s="473"/>
      <c r="AK26" s="473"/>
      <c r="AL26" s="473"/>
      <c r="AM26" s="473"/>
      <c r="AN26" s="473"/>
      <c r="AO26" s="473"/>
      <c r="AP26" s="473"/>
      <c r="AQ26" s="473"/>
      <c r="AR26" s="473"/>
      <c r="AS26" s="473"/>
      <c r="AT26" s="473"/>
      <c r="AU26" s="473"/>
      <c r="AV26" s="473"/>
      <c r="AW26" s="473"/>
      <c r="AX26" s="473"/>
      <c r="AY26" s="473"/>
      <c r="AZ26" s="473"/>
      <c r="BA26" s="473"/>
      <c r="BB26" s="473"/>
      <c r="BC26" s="473"/>
      <c r="BD26" s="473"/>
    </row>
    <row r="27" spans="1:56" ht="15">
      <c r="A27" s="467"/>
      <c r="B27" s="467"/>
      <c r="C27" s="467"/>
      <c r="D27" s="467"/>
      <c r="E27" s="468"/>
      <c r="F27" s="469"/>
      <c r="G27" s="470"/>
      <c r="H27" s="470"/>
      <c r="I27" s="471"/>
      <c r="J27" s="471"/>
      <c r="K27" s="472"/>
      <c r="L27" s="472"/>
      <c r="M27" s="472"/>
      <c r="N27" s="472"/>
      <c r="O27" s="472"/>
      <c r="P27" s="472"/>
      <c r="Q27" s="472"/>
      <c r="R27" s="472"/>
      <c r="S27" s="472"/>
      <c r="T27" s="472"/>
      <c r="U27" s="472"/>
      <c r="V27" s="472"/>
      <c r="W27" s="472"/>
      <c r="X27" s="472"/>
      <c r="Y27" s="472"/>
      <c r="Z27" s="472"/>
      <c r="AA27" s="472"/>
      <c r="AB27" s="472"/>
      <c r="AC27" s="472"/>
      <c r="AD27" s="472"/>
      <c r="AE27" s="472"/>
      <c r="AF27" s="473"/>
      <c r="AG27" s="473"/>
      <c r="AH27" s="473"/>
      <c r="AI27" s="473"/>
      <c r="AJ27" s="473"/>
      <c r="AK27" s="473"/>
      <c r="AL27" s="473"/>
      <c r="AM27" s="473"/>
      <c r="AN27" s="473"/>
      <c r="AO27" s="473"/>
      <c r="AP27" s="473"/>
      <c r="AQ27" s="473"/>
      <c r="AR27" s="473"/>
      <c r="AS27" s="473"/>
      <c r="AT27" s="473"/>
      <c r="AU27" s="473"/>
      <c r="AV27" s="473"/>
      <c r="AW27" s="473"/>
      <c r="AX27" s="473"/>
      <c r="AY27" s="473"/>
      <c r="AZ27" s="473"/>
      <c r="BA27" s="473"/>
      <c r="BB27" s="473"/>
      <c r="BC27" s="473"/>
      <c r="BD27" s="473"/>
    </row>
    <row r="28" spans="1:56" ht="15">
      <c r="A28" s="467"/>
      <c r="B28" s="467"/>
      <c r="C28" s="467"/>
      <c r="D28" s="467"/>
      <c r="E28" s="468"/>
      <c r="F28" s="469"/>
      <c r="G28" s="470"/>
      <c r="H28" s="470"/>
      <c r="I28" s="471"/>
      <c r="J28" s="471"/>
      <c r="K28" s="472"/>
      <c r="L28" s="472"/>
      <c r="M28" s="472"/>
      <c r="N28" s="472"/>
      <c r="O28" s="472"/>
      <c r="P28" s="472"/>
      <c r="Q28" s="472"/>
      <c r="R28" s="472"/>
      <c r="S28" s="472"/>
      <c r="T28" s="472"/>
      <c r="U28" s="472"/>
      <c r="V28" s="472"/>
      <c r="W28" s="472"/>
      <c r="X28" s="472"/>
      <c r="Y28" s="472"/>
      <c r="Z28" s="472"/>
      <c r="AA28" s="472"/>
      <c r="AB28" s="472"/>
      <c r="AC28" s="472"/>
      <c r="AD28" s="472"/>
      <c r="AE28" s="472"/>
      <c r="AF28" s="473"/>
      <c r="AG28" s="473"/>
      <c r="AH28" s="473"/>
      <c r="AI28" s="473"/>
      <c r="AJ28" s="473"/>
      <c r="AK28" s="473"/>
      <c r="AL28" s="473"/>
      <c r="AM28" s="473"/>
      <c r="AN28" s="473"/>
      <c r="AO28" s="473"/>
      <c r="AP28" s="473"/>
      <c r="AQ28" s="473"/>
      <c r="AR28" s="473"/>
      <c r="AS28" s="473"/>
      <c r="AT28" s="473"/>
      <c r="AU28" s="473"/>
      <c r="AV28" s="473"/>
      <c r="AW28" s="473"/>
      <c r="AX28" s="473"/>
      <c r="AY28" s="473"/>
      <c r="AZ28" s="473"/>
      <c r="BA28" s="473"/>
      <c r="BB28" s="473"/>
      <c r="BC28" s="473"/>
      <c r="BD28" s="473"/>
    </row>
    <row r="29" spans="1:56" ht="15">
      <c r="A29" s="467"/>
      <c r="B29" s="467"/>
      <c r="C29" s="467"/>
      <c r="D29" s="467"/>
      <c r="E29" s="468"/>
      <c r="F29" s="469"/>
      <c r="G29" s="470"/>
      <c r="H29" s="470"/>
      <c r="I29" s="471"/>
      <c r="J29" s="471"/>
      <c r="K29" s="472"/>
      <c r="L29" s="472"/>
      <c r="M29" s="472"/>
      <c r="N29" s="472"/>
      <c r="O29" s="472"/>
      <c r="P29" s="472"/>
      <c r="Q29" s="472"/>
      <c r="R29" s="472"/>
      <c r="S29" s="472"/>
      <c r="T29" s="472"/>
      <c r="U29" s="472"/>
      <c r="V29" s="472"/>
      <c r="W29" s="472"/>
      <c r="X29" s="472"/>
      <c r="Y29" s="472"/>
      <c r="Z29" s="472"/>
      <c r="AA29" s="472"/>
      <c r="AB29" s="472"/>
      <c r="AC29" s="472"/>
      <c r="AD29" s="472"/>
      <c r="AE29" s="472"/>
      <c r="AF29" s="473"/>
      <c r="AG29" s="473"/>
      <c r="AH29" s="473"/>
      <c r="AI29" s="473"/>
      <c r="AJ29" s="473"/>
      <c r="AK29" s="473"/>
      <c r="AL29" s="473"/>
      <c r="AM29" s="473"/>
      <c r="AN29" s="473"/>
      <c r="AO29" s="473"/>
      <c r="AP29" s="473"/>
      <c r="AQ29" s="473"/>
      <c r="AR29" s="473"/>
      <c r="AS29" s="473"/>
      <c r="AT29" s="473"/>
      <c r="AU29" s="473"/>
      <c r="AV29" s="473"/>
      <c r="AW29" s="473"/>
      <c r="AX29" s="473"/>
      <c r="AY29" s="473"/>
      <c r="AZ29" s="473"/>
      <c r="BA29" s="473"/>
      <c r="BB29" s="473"/>
      <c r="BC29" s="473"/>
      <c r="BD29" s="473"/>
    </row>
    <row r="30" spans="1:56" ht="15">
      <c r="A30" s="467"/>
      <c r="B30" s="467"/>
      <c r="C30" s="467"/>
      <c r="D30" s="467"/>
      <c r="E30" s="468"/>
      <c r="F30" s="469"/>
      <c r="G30" s="470"/>
      <c r="H30" s="470"/>
      <c r="I30" s="471"/>
      <c r="J30" s="471"/>
      <c r="K30" s="472"/>
      <c r="L30" s="472"/>
      <c r="M30" s="472"/>
      <c r="N30" s="472"/>
      <c r="O30" s="472"/>
      <c r="P30" s="472"/>
      <c r="Q30" s="472"/>
      <c r="R30" s="472"/>
      <c r="S30" s="472"/>
      <c r="T30" s="472"/>
      <c r="U30" s="472"/>
      <c r="V30" s="472"/>
      <c r="W30" s="472"/>
      <c r="X30" s="472"/>
      <c r="Y30" s="472"/>
      <c r="Z30" s="472"/>
      <c r="AA30" s="472"/>
      <c r="AB30" s="472"/>
      <c r="AC30" s="472"/>
      <c r="AD30" s="472"/>
      <c r="AE30" s="472"/>
      <c r="AF30" s="473"/>
      <c r="AG30" s="473"/>
      <c r="AH30" s="473"/>
      <c r="AI30" s="473"/>
      <c r="AJ30" s="473"/>
      <c r="AK30" s="473"/>
      <c r="AL30" s="473"/>
      <c r="AM30" s="473"/>
      <c r="AN30" s="473"/>
      <c r="AO30" s="473"/>
      <c r="AP30" s="473"/>
      <c r="AQ30" s="473"/>
      <c r="AR30" s="473"/>
      <c r="AS30" s="473"/>
      <c r="AT30" s="473"/>
      <c r="AU30" s="473"/>
      <c r="AV30" s="473"/>
      <c r="AW30" s="473"/>
      <c r="AX30" s="473"/>
      <c r="AY30" s="473"/>
      <c r="AZ30" s="473"/>
      <c r="BA30" s="473"/>
      <c r="BB30" s="473"/>
      <c r="BC30" s="473"/>
      <c r="BD30" s="473"/>
    </row>
    <row r="31" spans="1:56" ht="15">
      <c r="A31" s="467"/>
      <c r="B31" s="467"/>
      <c r="C31" s="467"/>
      <c r="D31" s="467"/>
      <c r="E31" s="468"/>
      <c r="F31" s="469"/>
      <c r="G31" s="470"/>
      <c r="H31" s="470"/>
      <c r="I31" s="471"/>
      <c r="J31" s="471"/>
      <c r="K31" s="472"/>
      <c r="L31" s="472"/>
      <c r="M31" s="472"/>
      <c r="N31" s="472"/>
      <c r="O31" s="472"/>
      <c r="P31" s="472"/>
      <c r="Q31" s="472"/>
      <c r="R31" s="472"/>
      <c r="S31" s="472"/>
      <c r="T31" s="472"/>
      <c r="U31" s="472"/>
      <c r="V31" s="472"/>
      <c r="W31" s="472"/>
      <c r="X31" s="472"/>
      <c r="Y31" s="472"/>
      <c r="Z31" s="472"/>
      <c r="AA31" s="472"/>
      <c r="AB31" s="472"/>
      <c r="AC31" s="472"/>
      <c r="AD31" s="472"/>
      <c r="AE31" s="472"/>
      <c r="AF31" s="473"/>
      <c r="AG31" s="473"/>
      <c r="AH31" s="473"/>
      <c r="AI31" s="473"/>
      <c r="AJ31" s="473"/>
      <c r="AK31" s="473"/>
      <c r="AL31" s="473"/>
      <c r="AM31" s="473"/>
      <c r="AN31" s="473"/>
      <c r="AO31" s="473"/>
      <c r="AP31" s="473"/>
      <c r="AQ31" s="473"/>
      <c r="AR31" s="473"/>
      <c r="AS31" s="473"/>
      <c r="AT31" s="473"/>
      <c r="AU31" s="473"/>
      <c r="AV31" s="473"/>
      <c r="AW31" s="473"/>
      <c r="AX31" s="473"/>
      <c r="AY31" s="473"/>
      <c r="AZ31" s="473"/>
      <c r="BA31" s="473"/>
      <c r="BB31" s="473"/>
      <c r="BC31" s="473"/>
      <c r="BD31" s="473"/>
    </row>
    <row r="32" spans="1:56" ht="15">
      <c r="A32" s="467"/>
      <c r="B32" s="467"/>
      <c r="C32" s="467"/>
      <c r="D32" s="467"/>
      <c r="E32" s="468"/>
      <c r="F32" s="469"/>
      <c r="G32" s="470"/>
      <c r="H32" s="470"/>
      <c r="I32" s="471"/>
      <c r="J32" s="471"/>
      <c r="K32" s="472"/>
      <c r="L32" s="472"/>
      <c r="M32" s="472"/>
      <c r="N32" s="472"/>
      <c r="O32" s="472"/>
      <c r="P32" s="472"/>
      <c r="Q32" s="472"/>
      <c r="R32" s="472"/>
      <c r="S32" s="472"/>
      <c r="T32" s="472"/>
      <c r="U32" s="472"/>
      <c r="V32" s="472"/>
      <c r="W32" s="472"/>
      <c r="X32" s="472"/>
      <c r="Y32" s="472"/>
      <c r="Z32" s="472"/>
      <c r="AA32" s="472"/>
      <c r="AB32" s="472"/>
      <c r="AC32" s="472"/>
      <c r="AD32" s="472"/>
      <c r="AE32" s="472"/>
      <c r="AF32" s="473"/>
      <c r="AG32" s="473"/>
      <c r="AH32" s="473"/>
      <c r="AI32" s="473"/>
      <c r="AJ32" s="473"/>
      <c r="AK32" s="473"/>
      <c r="AL32" s="473"/>
      <c r="AM32" s="473"/>
      <c r="AN32" s="473"/>
      <c r="AO32" s="473"/>
      <c r="AP32" s="473"/>
      <c r="AQ32" s="473"/>
      <c r="AR32" s="473"/>
      <c r="AS32" s="473"/>
      <c r="AT32" s="473"/>
      <c r="AU32" s="473"/>
      <c r="AV32" s="473"/>
      <c r="AW32" s="473"/>
      <c r="AX32" s="473"/>
      <c r="AY32" s="473"/>
      <c r="AZ32" s="473"/>
      <c r="BA32" s="473"/>
      <c r="BB32" s="473"/>
      <c r="BC32" s="473"/>
      <c r="BD32" s="473"/>
    </row>
    <row r="33" spans="1:56" ht="15">
      <c r="A33" s="467"/>
      <c r="B33" s="467"/>
      <c r="C33" s="467"/>
      <c r="D33" s="467"/>
      <c r="E33" s="468"/>
      <c r="F33" s="469"/>
      <c r="G33" s="470"/>
      <c r="H33" s="470"/>
      <c r="I33" s="471"/>
      <c r="J33" s="471"/>
      <c r="K33" s="472"/>
      <c r="L33" s="472"/>
      <c r="M33" s="472"/>
      <c r="N33" s="472"/>
      <c r="O33" s="472"/>
      <c r="P33" s="472"/>
      <c r="Q33" s="472"/>
      <c r="R33" s="472"/>
      <c r="S33" s="472"/>
      <c r="T33" s="472"/>
      <c r="U33" s="472"/>
      <c r="V33" s="472"/>
      <c r="W33" s="472"/>
      <c r="X33" s="472"/>
      <c r="Y33" s="472"/>
      <c r="Z33" s="472"/>
      <c r="AA33" s="472"/>
      <c r="AB33" s="472"/>
      <c r="AC33" s="472"/>
      <c r="AD33" s="472"/>
      <c r="AE33" s="472"/>
      <c r="AF33" s="473"/>
      <c r="AG33" s="473"/>
      <c r="AH33" s="473"/>
      <c r="AI33" s="473"/>
      <c r="AJ33" s="473"/>
      <c r="AK33" s="473"/>
      <c r="AL33" s="473"/>
      <c r="AM33" s="473"/>
      <c r="AN33" s="473"/>
      <c r="AO33" s="473"/>
      <c r="AP33" s="473"/>
      <c r="AQ33" s="473"/>
      <c r="AR33" s="473"/>
      <c r="AS33" s="473"/>
      <c r="AT33" s="473"/>
      <c r="AU33" s="473"/>
      <c r="AV33" s="473"/>
      <c r="AW33" s="473"/>
      <c r="AX33" s="473"/>
      <c r="AY33" s="473"/>
      <c r="AZ33" s="473"/>
      <c r="BA33" s="473"/>
      <c r="BB33" s="473"/>
      <c r="BC33" s="473"/>
      <c r="BD33" s="47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CB135"/>
  <sheetViews>
    <sheetView workbookViewId="0">
      <selection activeCell="D8" sqref="D8"/>
    </sheetView>
  </sheetViews>
  <sheetFormatPr defaultRowHeight="12.75"/>
  <cols>
    <col min="1" max="1" width="45.5703125" style="25" customWidth="1"/>
    <col min="2" max="2" width="25.7109375" style="25" customWidth="1"/>
    <col min="3" max="3" width="26" style="25" customWidth="1"/>
    <col min="4" max="4" width="29.5703125" style="25" customWidth="1"/>
    <col min="5" max="5" width="11" style="25" customWidth="1"/>
    <col min="6" max="6" width="10.7109375" style="25" customWidth="1"/>
    <col min="7" max="12" width="9.42578125" style="25" bestFit="1" customWidth="1"/>
    <col min="13" max="13" width="9.7109375" style="25" bestFit="1" customWidth="1"/>
    <col min="14" max="24" width="10.28515625" style="25" bestFit="1" customWidth="1"/>
    <col min="25" max="25" width="14.42578125" style="25" customWidth="1"/>
    <col min="26" max="26" width="9.140625" style="25"/>
    <col min="27" max="27" width="10.42578125" style="25" customWidth="1"/>
    <col min="28" max="28" width="14" style="25" bestFit="1" customWidth="1"/>
    <col min="29" max="255" width="9.140625" style="25"/>
    <col min="256" max="256" width="35" style="25" customWidth="1"/>
    <col min="257" max="257" width="16" style="25" customWidth="1"/>
    <col min="258" max="258" width="29.140625" style="25" customWidth="1"/>
    <col min="259" max="259" width="12.85546875" style="25" bestFit="1" customWidth="1"/>
    <col min="260" max="260" width="9.42578125" style="25" customWidth="1"/>
    <col min="261" max="511" width="9.140625" style="25"/>
    <col min="512" max="512" width="35" style="25" customWidth="1"/>
    <col min="513" max="513" width="16" style="25" customWidth="1"/>
    <col min="514" max="514" width="29.140625" style="25" customWidth="1"/>
    <col min="515" max="515" width="12.85546875" style="25" bestFit="1" customWidth="1"/>
    <col min="516" max="516" width="9.42578125" style="25" customWidth="1"/>
    <col min="517" max="767" width="9.140625" style="25"/>
    <col min="768" max="768" width="35" style="25" customWidth="1"/>
    <col min="769" max="769" width="16" style="25" customWidth="1"/>
    <col min="770" max="770" width="29.140625" style="25" customWidth="1"/>
    <col min="771" max="771" width="12.85546875" style="25" bestFit="1" customWidth="1"/>
    <col min="772" max="772" width="9.42578125" style="25" customWidth="1"/>
    <col min="773" max="1023" width="9.140625" style="25"/>
    <col min="1024" max="1024" width="35" style="25" customWidth="1"/>
    <col min="1025" max="1025" width="16" style="25" customWidth="1"/>
    <col min="1026" max="1026" width="29.140625" style="25" customWidth="1"/>
    <col min="1027" max="1027" width="12.85546875" style="25" bestFit="1" customWidth="1"/>
    <col min="1028" max="1028" width="9.42578125" style="25" customWidth="1"/>
    <col min="1029" max="1279" width="9.140625" style="25"/>
    <col min="1280" max="1280" width="35" style="25" customWidth="1"/>
    <col min="1281" max="1281" width="16" style="25" customWidth="1"/>
    <col min="1282" max="1282" width="29.140625" style="25" customWidth="1"/>
    <col min="1283" max="1283" width="12.85546875" style="25" bestFit="1" customWidth="1"/>
    <col min="1284" max="1284" width="9.42578125" style="25" customWidth="1"/>
    <col min="1285" max="1535" width="9.140625" style="25"/>
    <col min="1536" max="1536" width="35" style="25" customWidth="1"/>
    <col min="1537" max="1537" width="16" style="25" customWidth="1"/>
    <col min="1538" max="1538" width="29.140625" style="25" customWidth="1"/>
    <col min="1539" max="1539" width="12.85546875" style="25" bestFit="1" customWidth="1"/>
    <col min="1540" max="1540" width="9.42578125" style="25" customWidth="1"/>
    <col min="1541" max="1791" width="9.140625" style="25"/>
    <col min="1792" max="1792" width="35" style="25" customWidth="1"/>
    <col min="1793" max="1793" width="16" style="25" customWidth="1"/>
    <col min="1794" max="1794" width="29.140625" style="25" customWidth="1"/>
    <col min="1795" max="1795" width="12.85546875" style="25" bestFit="1" customWidth="1"/>
    <col min="1796" max="1796" width="9.42578125" style="25" customWidth="1"/>
    <col min="1797" max="2047" width="9.140625" style="25"/>
    <col min="2048" max="2048" width="35" style="25" customWidth="1"/>
    <col min="2049" max="2049" width="16" style="25" customWidth="1"/>
    <col min="2050" max="2050" width="29.140625" style="25" customWidth="1"/>
    <col min="2051" max="2051" width="12.85546875" style="25" bestFit="1" customWidth="1"/>
    <col min="2052" max="2052" width="9.42578125" style="25" customWidth="1"/>
    <col min="2053" max="2303" width="9.140625" style="25"/>
    <col min="2304" max="2304" width="35" style="25" customWidth="1"/>
    <col min="2305" max="2305" width="16" style="25" customWidth="1"/>
    <col min="2306" max="2306" width="29.140625" style="25" customWidth="1"/>
    <col min="2307" max="2307" width="12.85546875" style="25" bestFit="1" customWidth="1"/>
    <col min="2308" max="2308" width="9.42578125" style="25" customWidth="1"/>
    <col min="2309" max="2559" width="9.140625" style="25"/>
    <col min="2560" max="2560" width="35" style="25" customWidth="1"/>
    <col min="2561" max="2561" width="16" style="25" customWidth="1"/>
    <col min="2562" max="2562" width="29.140625" style="25" customWidth="1"/>
    <col min="2563" max="2563" width="12.85546875" style="25" bestFit="1" customWidth="1"/>
    <col min="2564" max="2564" width="9.42578125" style="25" customWidth="1"/>
    <col min="2565" max="2815" width="9.140625" style="25"/>
    <col min="2816" max="2816" width="35" style="25" customWidth="1"/>
    <col min="2817" max="2817" width="16" style="25" customWidth="1"/>
    <col min="2818" max="2818" width="29.140625" style="25" customWidth="1"/>
    <col min="2819" max="2819" width="12.85546875" style="25" bestFit="1" customWidth="1"/>
    <col min="2820" max="2820" width="9.42578125" style="25" customWidth="1"/>
    <col min="2821" max="3071" width="9.140625" style="25"/>
    <col min="3072" max="3072" width="35" style="25" customWidth="1"/>
    <col min="3073" max="3073" width="16" style="25" customWidth="1"/>
    <col min="3074" max="3074" width="29.140625" style="25" customWidth="1"/>
    <col min="3075" max="3075" width="12.85546875" style="25" bestFit="1" customWidth="1"/>
    <col min="3076" max="3076" width="9.42578125" style="25" customWidth="1"/>
    <col min="3077" max="3327" width="9.140625" style="25"/>
    <col min="3328" max="3328" width="35" style="25" customWidth="1"/>
    <col min="3329" max="3329" width="16" style="25" customWidth="1"/>
    <col min="3330" max="3330" width="29.140625" style="25" customWidth="1"/>
    <col min="3331" max="3331" width="12.85546875" style="25" bestFit="1" customWidth="1"/>
    <col min="3332" max="3332" width="9.42578125" style="25" customWidth="1"/>
    <col min="3333" max="3583" width="9.140625" style="25"/>
    <col min="3584" max="3584" width="35" style="25" customWidth="1"/>
    <col min="3585" max="3585" width="16" style="25" customWidth="1"/>
    <col min="3586" max="3586" width="29.140625" style="25" customWidth="1"/>
    <col min="3587" max="3587" width="12.85546875" style="25" bestFit="1" customWidth="1"/>
    <col min="3588" max="3588" width="9.42578125" style="25" customWidth="1"/>
    <col min="3589" max="3839" width="9.140625" style="25"/>
    <col min="3840" max="3840" width="35" style="25" customWidth="1"/>
    <col min="3841" max="3841" width="16" style="25" customWidth="1"/>
    <col min="3842" max="3842" width="29.140625" style="25" customWidth="1"/>
    <col min="3843" max="3843" width="12.85546875" style="25" bestFit="1" customWidth="1"/>
    <col min="3844" max="3844" width="9.42578125" style="25" customWidth="1"/>
    <col min="3845" max="4095" width="9.140625" style="25"/>
    <col min="4096" max="4096" width="35" style="25" customWidth="1"/>
    <col min="4097" max="4097" width="16" style="25" customWidth="1"/>
    <col min="4098" max="4098" width="29.140625" style="25" customWidth="1"/>
    <col min="4099" max="4099" width="12.85546875" style="25" bestFit="1" customWidth="1"/>
    <col min="4100" max="4100" width="9.42578125" style="25" customWidth="1"/>
    <col min="4101" max="4351" width="9.140625" style="25"/>
    <col min="4352" max="4352" width="35" style="25" customWidth="1"/>
    <col min="4353" max="4353" width="16" style="25" customWidth="1"/>
    <col min="4354" max="4354" width="29.140625" style="25" customWidth="1"/>
    <col min="4355" max="4355" width="12.85546875" style="25" bestFit="1" customWidth="1"/>
    <col min="4356" max="4356" width="9.42578125" style="25" customWidth="1"/>
    <col min="4357" max="4607" width="9.140625" style="25"/>
    <col min="4608" max="4608" width="35" style="25" customWidth="1"/>
    <col min="4609" max="4609" width="16" style="25" customWidth="1"/>
    <col min="4610" max="4610" width="29.140625" style="25" customWidth="1"/>
    <col min="4611" max="4611" width="12.85546875" style="25" bestFit="1" customWidth="1"/>
    <col min="4612" max="4612" width="9.42578125" style="25" customWidth="1"/>
    <col min="4613" max="4863" width="9.140625" style="25"/>
    <col min="4864" max="4864" width="35" style="25" customWidth="1"/>
    <col min="4865" max="4865" width="16" style="25" customWidth="1"/>
    <col min="4866" max="4866" width="29.140625" style="25" customWidth="1"/>
    <col min="4867" max="4867" width="12.85546875" style="25" bestFit="1" customWidth="1"/>
    <col min="4868" max="4868" width="9.42578125" style="25" customWidth="1"/>
    <col min="4869" max="5119" width="9.140625" style="25"/>
    <col min="5120" max="5120" width="35" style="25" customWidth="1"/>
    <col min="5121" max="5121" width="16" style="25" customWidth="1"/>
    <col min="5122" max="5122" width="29.140625" style="25" customWidth="1"/>
    <col min="5123" max="5123" width="12.85546875" style="25" bestFit="1" customWidth="1"/>
    <col min="5124" max="5124" width="9.42578125" style="25" customWidth="1"/>
    <col min="5125" max="5375" width="9.140625" style="25"/>
    <col min="5376" max="5376" width="35" style="25" customWidth="1"/>
    <col min="5377" max="5377" width="16" style="25" customWidth="1"/>
    <col min="5378" max="5378" width="29.140625" style="25" customWidth="1"/>
    <col min="5379" max="5379" width="12.85546875" style="25" bestFit="1" customWidth="1"/>
    <col min="5380" max="5380" width="9.42578125" style="25" customWidth="1"/>
    <col min="5381" max="5631" width="9.140625" style="25"/>
    <col min="5632" max="5632" width="35" style="25" customWidth="1"/>
    <col min="5633" max="5633" width="16" style="25" customWidth="1"/>
    <col min="5634" max="5634" width="29.140625" style="25" customWidth="1"/>
    <col min="5635" max="5635" width="12.85546875" style="25" bestFit="1" customWidth="1"/>
    <col min="5636" max="5636" width="9.42578125" style="25" customWidth="1"/>
    <col min="5637" max="5887" width="9.140625" style="25"/>
    <col min="5888" max="5888" width="35" style="25" customWidth="1"/>
    <col min="5889" max="5889" width="16" style="25" customWidth="1"/>
    <col min="5890" max="5890" width="29.140625" style="25" customWidth="1"/>
    <col min="5891" max="5891" width="12.85546875" style="25" bestFit="1" customWidth="1"/>
    <col min="5892" max="5892" width="9.42578125" style="25" customWidth="1"/>
    <col min="5893" max="6143" width="9.140625" style="25"/>
    <col min="6144" max="6144" width="35" style="25" customWidth="1"/>
    <col min="6145" max="6145" width="16" style="25" customWidth="1"/>
    <col min="6146" max="6146" width="29.140625" style="25" customWidth="1"/>
    <col min="6147" max="6147" width="12.85546875" style="25" bestFit="1" customWidth="1"/>
    <col min="6148" max="6148" width="9.42578125" style="25" customWidth="1"/>
    <col min="6149" max="6399" width="9.140625" style="25"/>
    <col min="6400" max="6400" width="35" style="25" customWidth="1"/>
    <col min="6401" max="6401" width="16" style="25" customWidth="1"/>
    <col min="6402" max="6402" width="29.140625" style="25" customWidth="1"/>
    <col min="6403" max="6403" width="12.85546875" style="25" bestFit="1" customWidth="1"/>
    <col min="6404" max="6404" width="9.42578125" style="25" customWidth="1"/>
    <col min="6405" max="6655" width="9.140625" style="25"/>
    <col min="6656" max="6656" width="35" style="25" customWidth="1"/>
    <col min="6657" max="6657" width="16" style="25" customWidth="1"/>
    <col min="6658" max="6658" width="29.140625" style="25" customWidth="1"/>
    <col min="6659" max="6659" width="12.85546875" style="25" bestFit="1" customWidth="1"/>
    <col min="6660" max="6660" width="9.42578125" style="25" customWidth="1"/>
    <col min="6661" max="6911" width="9.140625" style="25"/>
    <col min="6912" max="6912" width="35" style="25" customWidth="1"/>
    <col min="6913" max="6913" width="16" style="25" customWidth="1"/>
    <col min="6914" max="6914" width="29.140625" style="25" customWidth="1"/>
    <col min="6915" max="6915" width="12.85546875" style="25" bestFit="1" customWidth="1"/>
    <col min="6916" max="6916" width="9.42578125" style="25" customWidth="1"/>
    <col min="6917" max="7167" width="9.140625" style="25"/>
    <col min="7168" max="7168" width="35" style="25" customWidth="1"/>
    <col min="7169" max="7169" width="16" style="25" customWidth="1"/>
    <col min="7170" max="7170" width="29.140625" style="25" customWidth="1"/>
    <col min="7171" max="7171" width="12.85546875" style="25" bestFit="1" customWidth="1"/>
    <col min="7172" max="7172" width="9.42578125" style="25" customWidth="1"/>
    <col min="7173" max="7423" width="9.140625" style="25"/>
    <col min="7424" max="7424" width="35" style="25" customWidth="1"/>
    <col min="7425" max="7425" width="16" style="25" customWidth="1"/>
    <col min="7426" max="7426" width="29.140625" style="25" customWidth="1"/>
    <col min="7427" max="7427" width="12.85546875" style="25" bestFit="1" customWidth="1"/>
    <col min="7428" max="7428" width="9.42578125" style="25" customWidth="1"/>
    <col min="7429" max="7679" width="9.140625" style="25"/>
    <col min="7680" max="7680" width="35" style="25" customWidth="1"/>
    <col min="7681" max="7681" width="16" style="25" customWidth="1"/>
    <col min="7682" max="7682" width="29.140625" style="25" customWidth="1"/>
    <col min="7683" max="7683" width="12.85546875" style="25" bestFit="1" customWidth="1"/>
    <col min="7684" max="7684" width="9.42578125" style="25" customWidth="1"/>
    <col min="7685" max="7935" width="9.140625" style="25"/>
    <col min="7936" max="7936" width="35" style="25" customWidth="1"/>
    <col min="7937" max="7937" width="16" style="25" customWidth="1"/>
    <col min="7938" max="7938" width="29.140625" style="25" customWidth="1"/>
    <col min="7939" max="7939" width="12.85546875" style="25" bestFit="1" customWidth="1"/>
    <col min="7940" max="7940" width="9.42578125" style="25" customWidth="1"/>
    <col min="7941" max="8191" width="9.140625" style="25"/>
    <col min="8192" max="8192" width="35" style="25" customWidth="1"/>
    <col min="8193" max="8193" width="16" style="25" customWidth="1"/>
    <col min="8194" max="8194" width="29.140625" style="25" customWidth="1"/>
    <col min="8195" max="8195" width="12.85546875" style="25" bestFit="1" customWidth="1"/>
    <col min="8196" max="8196" width="9.42578125" style="25" customWidth="1"/>
    <col min="8197" max="8447" width="9.140625" style="25"/>
    <col min="8448" max="8448" width="35" style="25" customWidth="1"/>
    <col min="8449" max="8449" width="16" style="25" customWidth="1"/>
    <col min="8450" max="8450" width="29.140625" style="25" customWidth="1"/>
    <col min="8451" max="8451" width="12.85546875" style="25" bestFit="1" customWidth="1"/>
    <col min="8452" max="8452" width="9.42578125" style="25" customWidth="1"/>
    <col min="8453" max="8703" width="9.140625" style="25"/>
    <col min="8704" max="8704" width="35" style="25" customWidth="1"/>
    <col min="8705" max="8705" width="16" style="25" customWidth="1"/>
    <col min="8706" max="8706" width="29.140625" style="25" customWidth="1"/>
    <col min="8707" max="8707" width="12.85546875" style="25" bestFit="1" customWidth="1"/>
    <col min="8708" max="8708" width="9.42578125" style="25" customWidth="1"/>
    <col min="8709" max="8959" width="9.140625" style="25"/>
    <col min="8960" max="8960" width="35" style="25" customWidth="1"/>
    <col min="8961" max="8961" width="16" style="25" customWidth="1"/>
    <col min="8962" max="8962" width="29.140625" style="25" customWidth="1"/>
    <col min="8963" max="8963" width="12.85546875" style="25" bestFit="1" customWidth="1"/>
    <col min="8964" max="8964" width="9.42578125" style="25" customWidth="1"/>
    <col min="8965" max="9215" width="9.140625" style="25"/>
    <col min="9216" max="9216" width="35" style="25" customWidth="1"/>
    <col min="9217" max="9217" width="16" style="25" customWidth="1"/>
    <col min="9218" max="9218" width="29.140625" style="25" customWidth="1"/>
    <col min="9219" max="9219" width="12.85546875" style="25" bestFit="1" customWidth="1"/>
    <col min="9220" max="9220" width="9.42578125" style="25" customWidth="1"/>
    <col min="9221" max="9471" width="9.140625" style="25"/>
    <col min="9472" max="9472" width="35" style="25" customWidth="1"/>
    <col min="9473" max="9473" width="16" style="25" customWidth="1"/>
    <col min="9474" max="9474" width="29.140625" style="25" customWidth="1"/>
    <col min="9475" max="9475" width="12.85546875" style="25" bestFit="1" customWidth="1"/>
    <col min="9476" max="9476" width="9.42578125" style="25" customWidth="1"/>
    <col min="9477" max="9727" width="9.140625" style="25"/>
    <col min="9728" max="9728" width="35" style="25" customWidth="1"/>
    <col min="9729" max="9729" width="16" style="25" customWidth="1"/>
    <col min="9730" max="9730" width="29.140625" style="25" customWidth="1"/>
    <col min="9731" max="9731" width="12.85546875" style="25" bestFit="1" customWidth="1"/>
    <col min="9732" max="9732" width="9.42578125" style="25" customWidth="1"/>
    <col min="9733" max="9983" width="9.140625" style="25"/>
    <col min="9984" max="9984" width="35" style="25" customWidth="1"/>
    <col min="9985" max="9985" width="16" style="25" customWidth="1"/>
    <col min="9986" max="9986" width="29.140625" style="25" customWidth="1"/>
    <col min="9987" max="9987" width="12.85546875" style="25" bestFit="1" customWidth="1"/>
    <col min="9988" max="9988" width="9.42578125" style="25" customWidth="1"/>
    <col min="9989" max="10239" width="9.140625" style="25"/>
    <col min="10240" max="10240" width="35" style="25" customWidth="1"/>
    <col min="10241" max="10241" width="16" style="25" customWidth="1"/>
    <col min="10242" max="10242" width="29.140625" style="25" customWidth="1"/>
    <col min="10243" max="10243" width="12.85546875" style="25" bestFit="1" customWidth="1"/>
    <col min="10244" max="10244" width="9.42578125" style="25" customWidth="1"/>
    <col min="10245" max="10495" width="9.140625" style="25"/>
    <col min="10496" max="10496" width="35" style="25" customWidth="1"/>
    <col min="10497" max="10497" width="16" style="25" customWidth="1"/>
    <col min="10498" max="10498" width="29.140625" style="25" customWidth="1"/>
    <col min="10499" max="10499" width="12.85546875" style="25" bestFit="1" customWidth="1"/>
    <col min="10500" max="10500" width="9.42578125" style="25" customWidth="1"/>
    <col min="10501" max="10751" width="9.140625" style="25"/>
    <col min="10752" max="10752" width="35" style="25" customWidth="1"/>
    <col min="10753" max="10753" width="16" style="25" customWidth="1"/>
    <col min="10754" max="10754" width="29.140625" style="25" customWidth="1"/>
    <col min="10755" max="10755" width="12.85546875" style="25" bestFit="1" customWidth="1"/>
    <col min="10756" max="10756" width="9.42578125" style="25" customWidth="1"/>
    <col min="10757" max="11007" width="9.140625" style="25"/>
    <col min="11008" max="11008" width="35" style="25" customWidth="1"/>
    <col min="11009" max="11009" width="16" style="25" customWidth="1"/>
    <col min="11010" max="11010" width="29.140625" style="25" customWidth="1"/>
    <col min="11011" max="11011" width="12.85546875" style="25" bestFit="1" customWidth="1"/>
    <col min="11012" max="11012" width="9.42578125" style="25" customWidth="1"/>
    <col min="11013" max="11263" width="9.140625" style="25"/>
    <col min="11264" max="11264" width="35" style="25" customWidth="1"/>
    <col min="11265" max="11265" width="16" style="25" customWidth="1"/>
    <col min="11266" max="11266" width="29.140625" style="25" customWidth="1"/>
    <col min="11267" max="11267" width="12.85546875" style="25" bestFit="1" customWidth="1"/>
    <col min="11268" max="11268" width="9.42578125" style="25" customWidth="1"/>
    <col min="11269" max="11519" width="9.140625" style="25"/>
    <col min="11520" max="11520" width="35" style="25" customWidth="1"/>
    <col min="11521" max="11521" width="16" style="25" customWidth="1"/>
    <col min="11522" max="11522" width="29.140625" style="25" customWidth="1"/>
    <col min="11523" max="11523" width="12.85546875" style="25" bestFit="1" customWidth="1"/>
    <col min="11524" max="11524" width="9.42578125" style="25" customWidth="1"/>
    <col min="11525" max="11775" width="9.140625" style="25"/>
    <col min="11776" max="11776" width="35" style="25" customWidth="1"/>
    <col min="11777" max="11777" width="16" style="25" customWidth="1"/>
    <col min="11778" max="11778" width="29.140625" style="25" customWidth="1"/>
    <col min="11779" max="11779" width="12.85546875" style="25" bestFit="1" customWidth="1"/>
    <col min="11780" max="11780" width="9.42578125" style="25" customWidth="1"/>
    <col min="11781" max="12031" width="9.140625" style="25"/>
    <col min="12032" max="12032" width="35" style="25" customWidth="1"/>
    <col min="12033" max="12033" width="16" style="25" customWidth="1"/>
    <col min="12034" max="12034" width="29.140625" style="25" customWidth="1"/>
    <col min="12035" max="12035" width="12.85546875" style="25" bestFit="1" customWidth="1"/>
    <col min="12036" max="12036" width="9.42578125" style="25" customWidth="1"/>
    <col min="12037" max="12287" width="9.140625" style="25"/>
    <col min="12288" max="12288" width="35" style="25" customWidth="1"/>
    <col min="12289" max="12289" width="16" style="25" customWidth="1"/>
    <col min="12290" max="12290" width="29.140625" style="25" customWidth="1"/>
    <col min="12291" max="12291" width="12.85546875" style="25" bestFit="1" customWidth="1"/>
    <col min="12292" max="12292" width="9.42578125" style="25" customWidth="1"/>
    <col min="12293" max="12543" width="9.140625" style="25"/>
    <col min="12544" max="12544" width="35" style="25" customWidth="1"/>
    <col min="12545" max="12545" width="16" style="25" customWidth="1"/>
    <col min="12546" max="12546" width="29.140625" style="25" customWidth="1"/>
    <col min="12547" max="12547" width="12.85546875" style="25" bestFit="1" customWidth="1"/>
    <col min="12548" max="12548" width="9.42578125" style="25" customWidth="1"/>
    <col min="12549" max="12799" width="9.140625" style="25"/>
    <col min="12800" max="12800" width="35" style="25" customWidth="1"/>
    <col min="12801" max="12801" width="16" style="25" customWidth="1"/>
    <col min="12802" max="12802" width="29.140625" style="25" customWidth="1"/>
    <col min="12803" max="12803" width="12.85546875" style="25" bestFit="1" customWidth="1"/>
    <col min="12804" max="12804" width="9.42578125" style="25" customWidth="1"/>
    <col min="12805" max="13055" width="9.140625" style="25"/>
    <col min="13056" max="13056" width="35" style="25" customWidth="1"/>
    <col min="13057" max="13057" width="16" style="25" customWidth="1"/>
    <col min="13058" max="13058" width="29.140625" style="25" customWidth="1"/>
    <col min="13059" max="13059" width="12.85546875" style="25" bestFit="1" customWidth="1"/>
    <col min="13060" max="13060" width="9.42578125" style="25" customWidth="1"/>
    <col min="13061" max="13311" width="9.140625" style="25"/>
    <col min="13312" max="13312" width="35" style="25" customWidth="1"/>
    <col min="13313" max="13313" width="16" style="25" customWidth="1"/>
    <col min="13314" max="13314" width="29.140625" style="25" customWidth="1"/>
    <col min="13315" max="13315" width="12.85546875" style="25" bestFit="1" customWidth="1"/>
    <col min="13316" max="13316" width="9.42578125" style="25" customWidth="1"/>
    <col min="13317" max="13567" width="9.140625" style="25"/>
    <col min="13568" max="13568" width="35" style="25" customWidth="1"/>
    <col min="13569" max="13569" width="16" style="25" customWidth="1"/>
    <col min="13570" max="13570" width="29.140625" style="25" customWidth="1"/>
    <col min="13571" max="13571" width="12.85546875" style="25" bestFit="1" customWidth="1"/>
    <col min="13572" max="13572" width="9.42578125" style="25" customWidth="1"/>
    <col min="13573" max="13823" width="9.140625" style="25"/>
    <col min="13824" max="13824" width="35" style="25" customWidth="1"/>
    <col min="13825" max="13825" width="16" style="25" customWidth="1"/>
    <col min="13826" max="13826" width="29.140625" style="25" customWidth="1"/>
    <col min="13827" max="13827" width="12.85546875" style="25" bestFit="1" customWidth="1"/>
    <col min="13828" max="13828" width="9.42578125" style="25" customWidth="1"/>
    <col min="13829" max="14079" width="9.140625" style="25"/>
    <col min="14080" max="14080" width="35" style="25" customWidth="1"/>
    <col min="14081" max="14081" width="16" style="25" customWidth="1"/>
    <col min="14082" max="14082" width="29.140625" style="25" customWidth="1"/>
    <col min="14083" max="14083" width="12.85546875" style="25" bestFit="1" customWidth="1"/>
    <col min="14084" max="14084" width="9.42578125" style="25" customWidth="1"/>
    <col min="14085" max="14335" width="9.140625" style="25"/>
    <col min="14336" max="14336" width="35" style="25" customWidth="1"/>
    <col min="14337" max="14337" width="16" style="25" customWidth="1"/>
    <col min="14338" max="14338" width="29.140625" style="25" customWidth="1"/>
    <col min="14339" max="14339" width="12.85546875" style="25" bestFit="1" customWidth="1"/>
    <col min="14340" max="14340" width="9.42578125" style="25" customWidth="1"/>
    <col min="14341" max="14591" width="9.140625" style="25"/>
    <col min="14592" max="14592" width="35" style="25" customWidth="1"/>
    <col min="14593" max="14593" width="16" style="25" customWidth="1"/>
    <col min="14594" max="14594" width="29.140625" style="25" customWidth="1"/>
    <col min="14595" max="14595" width="12.85546875" style="25" bestFit="1" customWidth="1"/>
    <col min="14596" max="14596" width="9.42578125" style="25" customWidth="1"/>
    <col min="14597" max="14847" width="9.140625" style="25"/>
    <col min="14848" max="14848" width="35" style="25" customWidth="1"/>
    <col min="14849" max="14849" width="16" style="25" customWidth="1"/>
    <col min="14850" max="14850" width="29.140625" style="25" customWidth="1"/>
    <col min="14851" max="14851" width="12.85546875" style="25" bestFit="1" customWidth="1"/>
    <col min="14852" max="14852" width="9.42578125" style="25" customWidth="1"/>
    <col min="14853" max="15103" width="9.140625" style="25"/>
    <col min="15104" max="15104" width="35" style="25" customWidth="1"/>
    <col min="15105" max="15105" width="16" style="25" customWidth="1"/>
    <col min="15106" max="15106" width="29.140625" style="25" customWidth="1"/>
    <col min="15107" max="15107" width="12.85546875" style="25" bestFit="1" customWidth="1"/>
    <col min="15108" max="15108" width="9.42578125" style="25" customWidth="1"/>
    <col min="15109" max="15359" width="9.140625" style="25"/>
    <col min="15360" max="15360" width="35" style="25" customWidth="1"/>
    <col min="15361" max="15361" width="16" style="25" customWidth="1"/>
    <col min="15362" max="15362" width="29.140625" style="25" customWidth="1"/>
    <col min="15363" max="15363" width="12.85546875" style="25" bestFit="1" customWidth="1"/>
    <col min="15364" max="15364" width="9.42578125" style="25" customWidth="1"/>
    <col min="15365" max="15615" width="9.140625" style="25"/>
    <col min="15616" max="15616" width="35" style="25" customWidth="1"/>
    <col min="15617" max="15617" width="16" style="25" customWidth="1"/>
    <col min="15618" max="15618" width="29.140625" style="25" customWidth="1"/>
    <col min="15619" max="15619" width="12.85546875" style="25" bestFit="1" customWidth="1"/>
    <col min="15620" max="15620" width="9.42578125" style="25" customWidth="1"/>
    <col min="15621" max="15871" width="9.140625" style="25"/>
    <col min="15872" max="15872" width="35" style="25" customWidth="1"/>
    <col min="15873" max="15873" width="16" style="25" customWidth="1"/>
    <col min="15874" max="15874" width="29.140625" style="25" customWidth="1"/>
    <col min="15875" max="15875" width="12.85546875" style="25" bestFit="1" customWidth="1"/>
    <col min="15876" max="15876" width="9.42578125" style="25" customWidth="1"/>
    <col min="15877" max="16127" width="9.140625" style="25"/>
    <col min="16128" max="16128" width="35" style="25" customWidth="1"/>
    <col min="16129" max="16129" width="16" style="25" customWidth="1"/>
    <col min="16130" max="16130" width="29.140625" style="25" customWidth="1"/>
    <col min="16131" max="16131" width="12.85546875" style="25" bestFit="1" customWidth="1"/>
    <col min="16132" max="16132" width="9.42578125" style="25" customWidth="1"/>
    <col min="16133" max="16384" width="9.140625" style="25"/>
  </cols>
  <sheetData>
    <row r="1" spans="1:29" ht="12.75" customHeight="1">
      <c r="A1" s="142" t="s">
        <v>72</v>
      </c>
      <c r="B1" s="499" t="s">
        <v>401</v>
      </c>
      <c r="C1" s="500"/>
      <c r="D1" s="500"/>
      <c r="E1" s="500"/>
      <c r="F1" s="500"/>
      <c r="G1" s="500"/>
      <c r="H1" s="500"/>
      <c r="I1" s="500"/>
      <c r="J1" s="500"/>
      <c r="K1" s="500"/>
      <c r="L1" s="500"/>
      <c r="M1" s="500"/>
      <c r="N1" s="500"/>
      <c r="O1" s="500"/>
      <c r="P1" s="500"/>
      <c r="Q1" s="500"/>
      <c r="R1" s="500"/>
      <c r="S1" s="501"/>
      <c r="T1" s="63"/>
      <c r="U1" s="63"/>
      <c r="V1" s="63"/>
      <c r="W1" s="63"/>
    </row>
    <row r="2" spans="1:29" ht="12.75" customHeight="1">
      <c r="A2" s="143"/>
      <c r="B2" s="502"/>
      <c r="C2" s="503"/>
      <c r="D2" s="503"/>
      <c r="E2" s="503"/>
      <c r="F2" s="503"/>
      <c r="G2" s="503"/>
      <c r="H2" s="503"/>
      <c r="I2" s="503"/>
      <c r="J2" s="503"/>
      <c r="K2" s="503"/>
      <c r="L2" s="503"/>
      <c r="M2" s="503"/>
      <c r="N2" s="503"/>
      <c r="O2" s="503"/>
      <c r="P2" s="503"/>
      <c r="Q2" s="503"/>
      <c r="R2" s="503"/>
      <c r="S2" s="504"/>
      <c r="T2" s="64"/>
      <c r="U2" s="64"/>
      <c r="V2" s="64"/>
      <c r="W2" s="64"/>
    </row>
    <row r="3" spans="1:29">
      <c r="A3" s="144"/>
      <c r="B3" s="502"/>
      <c r="C3" s="503"/>
      <c r="D3" s="503"/>
      <c r="E3" s="503"/>
      <c r="F3" s="503"/>
      <c r="G3" s="503"/>
      <c r="H3" s="503"/>
      <c r="I3" s="503"/>
      <c r="J3" s="503"/>
      <c r="K3" s="503"/>
      <c r="L3" s="503"/>
      <c r="M3" s="503"/>
      <c r="N3" s="503"/>
      <c r="O3" s="503"/>
      <c r="P3" s="503"/>
      <c r="Q3" s="503"/>
      <c r="R3" s="503"/>
      <c r="S3" s="504"/>
      <c r="T3" s="64"/>
      <c r="U3" s="64"/>
      <c r="V3" s="64"/>
      <c r="W3" s="64"/>
    </row>
    <row r="4" spans="1:29">
      <c r="A4" s="145"/>
      <c r="B4" s="502"/>
      <c r="C4" s="503"/>
      <c r="D4" s="503"/>
      <c r="E4" s="503"/>
      <c r="F4" s="503"/>
      <c r="G4" s="503"/>
      <c r="H4" s="503"/>
      <c r="I4" s="503"/>
      <c r="J4" s="503"/>
      <c r="K4" s="503"/>
      <c r="L4" s="503"/>
      <c r="M4" s="503"/>
      <c r="N4" s="503"/>
      <c r="O4" s="503"/>
      <c r="P4" s="503"/>
      <c r="Q4" s="503"/>
      <c r="R4" s="503"/>
      <c r="S4" s="504"/>
      <c r="T4" s="64"/>
      <c r="U4" s="64"/>
      <c r="V4" s="64"/>
      <c r="W4" s="64"/>
    </row>
    <row r="5" spans="1:29">
      <c r="A5" s="143"/>
      <c r="B5" s="502"/>
      <c r="C5" s="503"/>
      <c r="D5" s="503"/>
      <c r="E5" s="503"/>
      <c r="F5" s="503"/>
      <c r="G5" s="503"/>
      <c r="H5" s="503"/>
      <c r="I5" s="503"/>
      <c r="J5" s="503"/>
      <c r="K5" s="503"/>
      <c r="L5" s="503"/>
      <c r="M5" s="503"/>
      <c r="N5" s="503"/>
      <c r="O5" s="503"/>
      <c r="P5" s="503"/>
      <c r="Q5" s="503"/>
      <c r="R5" s="503"/>
      <c r="S5" s="504"/>
      <c r="T5" s="64"/>
      <c r="U5" s="64"/>
      <c r="V5" s="64"/>
      <c r="W5" s="64"/>
    </row>
    <row r="6" spans="1:29">
      <c r="A6" s="146"/>
      <c r="B6" s="505"/>
      <c r="C6" s="506"/>
      <c r="D6" s="506"/>
      <c r="E6" s="506"/>
      <c r="F6" s="506"/>
      <c r="G6" s="506"/>
      <c r="H6" s="506"/>
      <c r="I6" s="506"/>
      <c r="J6" s="506"/>
      <c r="K6" s="506"/>
      <c r="L6" s="506"/>
      <c r="M6" s="506"/>
      <c r="N6" s="506"/>
      <c r="O6" s="506"/>
      <c r="P6" s="506"/>
      <c r="Q6" s="506"/>
      <c r="R6" s="506"/>
      <c r="S6" s="507"/>
      <c r="T6" s="64"/>
      <c r="U6" s="64"/>
      <c r="V6" s="64"/>
      <c r="W6" s="64"/>
    </row>
    <row r="7" spans="1:29">
      <c r="A7" s="162"/>
      <c r="B7" s="474"/>
      <c r="C7" s="475" t="s">
        <v>1136</v>
      </c>
      <c r="D7" s="476" t="s">
        <v>1196</v>
      </c>
    </row>
    <row r="8" spans="1:29">
      <c r="A8" s="477" t="s">
        <v>1137</v>
      </c>
      <c r="B8" s="478" t="s">
        <v>73</v>
      </c>
      <c r="C8" s="479" t="str">
        <f>[5]MLIST!$D$21</f>
        <v>Cooking Equipment-NR</v>
      </c>
      <c r="D8" s="498" t="str">
        <f>[10]!switch_ForecastState</f>
        <v>Region</v>
      </c>
    </row>
    <row r="9" spans="1:29">
      <c r="A9" s="477" t="str">
        <f>INDEX([5]ACHIEV!$A$19:$B$100,MATCH(C8,[5]ACHIEV!$B$19:$B$100,0),1)</f>
        <v>Food Preparation</v>
      </c>
      <c r="B9" s="480" t="s">
        <v>74</v>
      </c>
      <c r="C9" s="479">
        <f>[5]FILES!$H$4</f>
        <v>2035</v>
      </c>
      <c r="D9" s="498" t="str">
        <f>[10]!switch_ForecastScenario</f>
        <v>Base</v>
      </c>
    </row>
    <row r="10" spans="1:29">
      <c r="A10" s="481"/>
      <c r="B10" s="148" t="s">
        <v>552</v>
      </c>
      <c r="C10" s="482">
        <f>Y135</f>
        <v>62.597373753658673</v>
      </c>
      <c r="D10" s="483" t="s">
        <v>289</v>
      </c>
      <c r="E10" s="25">
        <v>1</v>
      </c>
      <c r="F10" s="25">
        <f>E10+1</f>
        <v>2</v>
      </c>
      <c r="G10" s="25">
        <f t="shared" ref="G10:X11" si="0">F10+1</f>
        <v>3</v>
      </c>
      <c r="H10" s="25">
        <f t="shared" si="0"/>
        <v>4</v>
      </c>
      <c r="I10" s="25">
        <f t="shared" si="0"/>
        <v>5</v>
      </c>
      <c r="J10" s="25">
        <f t="shared" si="0"/>
        <v>6</v>
      </c>
      <c r="K10" s="25">
        <f t="shared" si="0"/>
        <v>7</v>
      </c>
      <c r="L10" s="25">
        <f t="shared" si="0"/>
        <v>8</v>
      </c>
      <c r="M10" s="25">
        <f t="shared" si="0"/>
        <v>9</v>
      </c>
      <c r="N10" s="25">
        <f t="shared" si="0"/>
        <v>10</v>
      </c>
      <c r="O10" s="25">
        <f t="shared" si="0"/>
        <v>11</v>
      </c>
      <c r="P10" s="25">
        <f t="shared" si="0"/>
        <v>12</v>
      </c>
      <c r="Q10" s="25">
        <f t="shared" si="0"/>
        <v>13</v>
      </c>
      <c r="R10" s="25">
        <f t="shared" si="0"/>
        <v>14</v>
      </c>
      <c r="S10" s="25">
        <f t="shared" si="0"/>
        <v>15</v>
      </c>
      <c r="T10" s="25">
        <f t="shared" si="0"/>
        <v>16</v>
      </c>
      <c r="U10" s="25">
        <f t="shared" si="0"/>
        <v>17</v>
      </c>
      <c r="V10" s="25">
        <f t="shared" si="0"/>
        <v>18</v>
      </c>
      <c r="W10" s="25">
        <f t="shared" si="0"/>
        <v>19</v>
      </c>
      <c r="X10" s="25">
        <f t="shared" si="0"/>
        <v>20</v>
      </c>
    </row>
    <row r="11" spans="1:29">
      <c r="A11" s="69" t="s">
        <v>75</v>
      </c>
      <c r="B11" s="69"/>
      <c r="C11" s="69"/>
      <c r="D11" s="69"/>
      <c r="E11" s="69">
        <f>C9-20+1</f>
        <v>2016</v>
      </c>
      <c r="F11" s="69">
        <f>E11+1</f>
        <v>2017</v>
      </c>
      <c r="G11" s="69">
        <f t="shared" si="0"/>
        <v>2018</v>
      </c>
      <c r="H11" s="69">
        <f t="shared" si="0"/>
        <v>2019</v>
      </c>
      <c r="I11" s="69">
        <f t="shared" si="0"/>
        <v>2020</v>
      </c>
      <c r="J11" s="69">
        <f t="shared" si="0"/>
        <v>2021</v>
      </c>
      <c r="K11" s="69">
        <f t="shared" si="0"/>
        <v>2022</v>
      </c>
      <c r="L11" s="69">
        <f t="shared" si="0"/>
        <v>2023</v>
      </c>
      <c r="M11" s="69">
        <f t="shared" si="0"/>
        <v>2024</v>
      </c>
      <c r="N11" s="69">
        <f t="shared" si="0"/>
        <v>2025</v>
      </c>
      <c r="O11" s="69">
        <f t="shared" si="0"/>
        <v>2026</v>
      </c>
      <c r="P11" s="69">
        <f t="shared" si="0"/>
        <v>2027</v>
      </c>
      <c r="Q11" s="69">
        <f t="shared" si="0"/>
        <v>2028</v>
      </c>
      <c r="R11" s="69">
        <f t="shared" si="0"/>
        <v>2029</v>
      </c>
      <c r="S11" s="69">
        <f t="shared" si="0"/>
        <v>2030</v>
      </c>
      <c r="T11" s="69">
        <f t="shared" si="0"/>
        <v>2031</v>
      </c>
      <c r="U11" s="69">
        <f t="shared" si="0"/>
        <v>2032</v>
      </c>
      <c r="V11" s="69">
        <f t="shared" si="0"/>
        <v>2033</v>
      </c>
      <c r="W11" s="69">
        <f t="shared" si="0"/>
        <v>2034</v>
      </c>
      <c r="X11" s="69">
        <f t="shared" si="0"/>
        <v>2035</v>
      </c>
    </row>
    <row r="12" spans="1:29">
      <c r="A12" s="148"/>
      <c r="B12" s="148"/>
      <c r="C12" s="148"/>
      <c r="D12" s="148"/>
      <c r="E12" s="69" t="str">
        <f>CONCATENATE("POP_",E11)</f>
        <v>POP_2016</v>
      </c>
      <c r="F12" s="69" t="str">
        <f t="shared" ref="F12:X12" si="1">CONCATENATE("POP_",F11)</f>
        <v>POP_2017</v>
      </c>
      <c r="G12" s="69" t="str">
        <f t="shared" si="1"/>
        <v>POP_2018</v>
      </c>
      <c r="H12" s="69" t="str">
        <f t="shared" si="1"/>
        <v>POP_2019</v>
      </c>
      <c r="I12" s="69" t="str">
        <f t="shared" si="1"/>
        <v>POP_2020</v>
      </c>
      <c r="J12" s="69" t="str">
        <f t="shared" si="1"/>
        <v>POP_2021</v>
      </c>
      <c r="K12" s="69" t="str">
        <f t="shared" si="1"/>
        <v>POP_2022</v>
      </c>
      <c r="L12" s="69" t="str">
        <f t="shared" si="1"/>
        <v>POP_2023</v>
      </c>
      <c r="M12" s="69" t="str">
        <f t="shared" si="1"/>
        <v>POP_2024</v>
      </c>
      <c r="N12" s="69" t="str">
        <f t="shared" si="1"/>
        <v>POP_2025</v>
      </c>
      <c r="O12" s="69" t="str">
        <f t="shared" si="1"/>
        <v>POP_2026</v>
      </c>
      <c r="P12" s="69" t="str">
        <f t="shared" si="1"/>
        <v>POP_2027</v>
      </c>
      <c r="Q12" s="69" t="str">
        <f t="shared" si="1"/>
        <v>POP_2028</v>
      </c>
      <c r="R12" s="69" t="str">
        <f t="shared" si="1"/>
        <v>POP_2029</v>
      </c>
      <c r="S12" s="69" t="str">
        <f t="shared" si="1"/>
        <v>POP_2030</v>
      </c>
      <c r="T12" s="69" t="str">
        <f t="shared" si="1"/>
        <v>POP_2031</v>
      </c>
      <c r="U12" s="69" t="str">
        <f t="shared" si="1"/>
        <v>POP_2032</v>
      </c>
      <c r="V12" s="69" t="str">
        <f t="shared" si="1"/>
        <v>POP_2033</v>
      </c>
      <c r="W12" s="69" t="str">
        <f t="shared" si="1"/>
        <v>POP_2034</v>
      </c>
      <c r="X12" s="69" t="str">
        <f t="shared" si="1"/>
        <v>POP_2035</v>
      </c>
      <c r="AB12" s="25" t="s">
        <v>1113</v>
      </c>
    </row>
    <row r="13" spans="1:29">
      <c r="A13" s="147" t="s">
        <v>403</v>
      </c>
      <c r="B13" s="348" t="s">
        <v>950</v>
      </c>
      <c r="C13" s="340" t="s">
        <v>1197</v>
      </c>
      <c r="D13" s="149" t="s">
        <v>404</v>
      </c>
      <c r="E13" s="497">
        <f>INDEX([10]!tbl_Forecast,MATCH($D$8&amp;$C13&amp;$D$7,[10]!rng_ForecastRowLookup,0),MATCH(E$11,[10]!rng_ForecastColumnLookup,0))</f>
        <v>13520.68111</v>
      </c>
      <c r="F13" s="497">
        <f>INDEX([10]!tbl_Forecast,MATCH($D$8&amp;$C13&amp;$D$7,[10]!rng_ForecastRowLookup,0),MATCH(F$11,[10]!rng_ForecastColumnLookup,0))</f>
        <v>13661.840299999998</v>
      </c>
      <c r="G13" s="497">
        <f>INDEX([10]!tbl_Forecast,MATCH($D$8&amp;$C13&amp;$D$7,[10]!rng_ForecastRowLookup,0),MATCH(G$11,[10]!rng_ForecastColumnLookup,0))</f>
        <v>13803.691440000001</v>
      </c>
      <c r="H13" s="497">
        <f>INDEX([10]!tbl_Forecast,MATCH($D$8&amp;$C13&amp;$D$7,[10]!rng_ForecastRowLookup,0),MATCH(H$11,[10]!rng_ForecastColumnLookup,0))</f>
        <v>13944.276469999999</v>
      </c>
      <c r="I13" s="497">
        <f>INDEX([10]!tbl_Forecast,MATCH($D$8&amp;$C13&amp;$D$7,[10]!rng_ForecastRowLookup,0),MATCH(I$11,[10]!rng_ForecastColumnLookup,0))</f>
        <v>14082.801340000002</v>
      </c>
      <c r="J13" s="497">
        <f>INDEX([10]!tbl_Forecast,MATCH($D$8&amp;$C13&amp;$D$7,[10]!rng_ForecastRowLookup,0),MATCH(J$11,[10]!rng_ForecastColumnLookup,0))</f>
        <v>14218.715590000002</v>
      </c>
      <c r="K13" s="497">
        <f>INDEX([10]!tbl_Forecast,MATCH($D$8&amp;$C13&amp;$D$7,[10]!rng_ForecastRowLookup,0),MATCH(K$11,[10]!rng_ForecastColumnLookup,0))</f>
        <v>14351.918940000001</v>
      </c>
      <c r="L13" s="497">
        <f>INDEX([10]!tbl_Forecast,MATCH($D$8&amp;$C13&amp;$D$7,[10]!rng_ForecastRowLookup,0),MATCH(L$11,[10]!rng_ForecastColumnLookup,0))</f>
        <v>14482.437540000003</v>
      </c>
      <c r="M13" s="497">
        <f>INDEX([10]!tbl_Forecast,MATCH($D$8&amp;$C13&amp;$D$7,[10]!rng_ForecastRowLookup,0),MATCH(M$11,[10]!rng_ForecastColumnLookup,0))</f>
        <v>14610.4211</v>
      </c>
      <c r="N13" s="497">
        <f>INDEX([10]!tbl_Forecast,MATCH($D$8&amp;$C13&amp;$D$7,[10]!rng_ForecastRowLookup,0),MATCH(N$11,[10]!rng_ForecastColumnLookup,0))</f>
        <v>14736.24631</v>
      </c>
      <c r="O13" s="497">
        <f>INDEX([10]!tbl_Forecast,MATCH($D$8&amp;$C13&amp;$D$7,[10]!rng_ForecastRowLookup,0),MATCH(O$11,[10]!rng_ForecastColumnLookup,0))</f>
        <v>14860.320880000001</v>
      </c>
      <c r="P13" s="497">
        <f>INDEX([10]!tbl_Forecast,MATCH($D$8&amp;$C13&amp;$D$7,[10]!rng_ForecastRowLookup,0),MATCH(P$11,[10]!rng_ForecastColumnLookup,0))</f>
        <v>14983.078860000001</v>
      </c>
      <c r="Q13" s="497">
        <f>INDEX([10]!tbl_Forecast,MATCH($D$8&amp;$C13&amp;$D$7,[10]!rng_ForecastRowLookup,0),MATCH(Q$11,[10]!rng_ForecastColumnLookup,0))</f>
        <v>15104.70127</v>
      </c>
      <c r="R13" s="497">
        <f>INDEX([10]!tbl_Forecast,MATCH($D$8&amp;$C13&amp;$D$7,[10]!rng_ForecastRowLookup,0),MATCH(R$11,[10]!rng_ForecastColumnLookup,0))</f>
        <v>15225.195700000002</v>
      </c>
      <c r="S13" s="497">
        <f>INDEX([10]!tbl_Forecast,MATCH($D$8&amp;$C13&amp;$D$7,[10]!rng_ForecastRowLookup,0),MATCH(S$11,[10]!rng_ForecastColumnLookup,0))</f>
        <v>15344.62486</v>
      </c>
      <c r="T13" s="497">
        <f>INDEX([10]!tbl_Forecast,MATCH($D$8&amp;$C13&amp;$D$7,[10]!rng_ForecastRowLookup,0),MATCH(T$11,[10]!rng_ForecastColumnLookup,0))</f>
        <v>15463.089019999998</v>
      </c>
      <c r="U13" s="497">
        <f>INDEX([10]!tbl_Forecast,MATCH($D$8&amp;$C13&amp;$D$7,[10]!rng_ForecastRowLookup,0),MATCH(U$11,[10]!rng_ForecastColumnLookup,0))</f>
        <v>15580.68845</v>
      </c>
      <c r="V13" s="497">
        <f>INDEX([10]!tbl_Forecast,MATCH($D$8&amp;$C13&amp;$D$7,[10]!rng_ForecastRowLookup,0),MATCH(V$11,[10]!rng_ForecastColumnLookup,0))</f>
        <v>15697.50913</v>
      </c>
      <c r="W13" s="497">
        <f>INDEX([10]!tbl_Forecast,MATCH($D$8&amp;$C13&amp;$D$7,[10]!rng_ForecastRowLookup,0),MATCH(W$11,[10]!rng_ForecastColumnLookup,0))</f>
        <v>15813.626329999999</v>
      </c>
      <c r="X13" s="497">
        <f>INDEX([10]!tbl_Forecast,MATCH($D$8&amp;$C13&amp;$D$7,[10]!rng_ForecastRowLookup,0),MATCH(X$11,[10]!rng_ForecastColumnLookup,0))</f>
        <v>15929.254489999999</v>
      </c>
      <c r="Y13" s="171"/>
      <c r="AB13" s="264"/>
    </row>
    <row r="14" spans="1:29">
      <c r="A14" s="141">
        <f>B14/$E$13</f>
        <v>1.1276404163926914</v>
      </c>
      <c r="B14" s="349">
        <f>CBSA!E4</f>
        <v>15246.466476793195</v>
      </c>
      <c r="C14" s="25" t="s">
        <v>396</v>
      </c>
      <c r="D14" s="25" t="s">
        <v>948</v>
      </c>
      <c r="E14" s="66">
        <f>E$13*$A14</f>
        <v>15246.466476793197</v>
      </c>
      <c r="F14" s="66">
        <f t="shared" ref="F14:X18" si="2">F$13*$A14</f>
        <v>15405.643284582449</v>
      </c>
      <c r="G14" s="66">
        <f t="shared" si="2"/>
        <v>15565.600363157831</v>
      </c>
      <c r="H14" s="66">
        <f t="shared" si="2"/>
        <v>15724.129724925608</v>
      </c>
      <c r="I14" s="66">
        <f t="shared" si="2"/>
        <v>15880.335967013154</v>
      </c>
      <c r="J14" s="66">
        <f t="shared" si="2"/>
        <v>16033.598368476854</v>
      </c>
      <c r="K14" s="66">
        <f t="shared" si="2"/>
        <v>16183.803849535756</v>
      </c>
      <c r="L14" s="66">
        <f t="shared" si="2"/>
        <v>16330.981897986749</v>
      </c>
      <c r="M14" s="66">
        <f t="shared" si="2"/>
        <v>16475.301332876563</v>
      </c>
      <c r="N14" s="66">
        <f t="shared" si="2"/>
        <v>16617.186925073664</v>
      </c>
      <c r="O14" s="66">
        <f t="shared" si="2"/>
        <v>16757.098424852207</v>
      </c>
      <c r="P14" s="66">
        <f t="shared" si="2"/>
        <v>16895.525284534935</v>
      </c>
      <c r="Q14" s="66">
        <f t="shared" si="2"/>
        <v>17032.671629590015</v>
      </c>
      <c r="R14" s="66">
        <f t="shared" si="2"/>
        <v>17168.546018808218</v>
      </c>
      <c r="S14" s="66">
        <f t="shared" si="2"/>
        <v>17303.219166520044</v>
      </c>
      <c r="T14" s="66">
        <f t="shared" si="2"/>
        <v>17436.804141230052</v>
      </c>
      <c r="U14" s="66">
        <f t="shared" si="2"/>
        <v>17569.414011442797</v>
      </c>
      <c r="V14" s="66">
        <f t="shared" si="2"/>
        <v>17701.145731681274</v>
      </c>
      <c r="W14" s="66">
        <f t="shared" si="2"/>
        <v>17832.084179439629</v>
      </c>
      <c r="X14" s="66">
        <f t="shared" si="2"/>
        <v>17962.47116592875</v>
      </c>
      <c r="Y14" s="66"/>
      <c r="AB14" s="446">
        <f>$B14*$A23*INDEX($A$52:$D$56,MATCH($C14,$D$52:$D$56,0),1)/8760000</f>
        <v>2.5150847693673422</v>
      </c>
      <c r="AC14" s="446">
        <f>$X14*$A23*INDEX($A$52:$D$56,MATCH($C14,$D$52:$D$56,0),1)/8760000</f>
        <v>2.9631218301231979</v>
      </c>
    </row>
    <row r="15" spans="1:29">
      <c r="A15" s="141">
        <f>B15/$E$13</f>
        <v>4.0000095366391104</v>
      </c>
      <c r="B15" s="349">
        <f>CBSA!D4</f>
        <v>54082.853381856272</v>
      </c>
      <c r="C15" s="66" t="s">
        <v>397</v>
      </c>
      <c r="D15" s="25" t="s">
        <v>948</v>
      </c>
      <c r="E15" s="66">
        <f>E$13*$A15</f>
        <v>54082.853381856272</v>
      </c>
      <c r="F15" s="66">
        <f t="shared" ref="F15:T15" si="3">F$13*$A15</f>
        <v>54647.491488040519</v>
      </c>
      <c r="G15" s="66">
        <f t="shared" si="3"/>
        <v>55214.897400823655</v>
      </c>
      <c r="H15" s="66">
        <f t="shared" si="3"/>
        <v>55777.238861532343</v>
      </c>
      <c r="I15" s="66">
        <f t="shared" si="3"/>
        <v>56331.339662594051</v>
      </c>
      <c r="J15" s="66">
        <f t="shared" si="3"/>
        <v>56874.997958759202</v>
      </c>
      <c r="K15" s="66">
        <f t="shared" si="3"/>
        <v>57407.812629071479</v>
      </c>
      <c r="L15" s="66">
        <f t="shared" si="3"/>
        <v>57929.888273780271</v>
      </c>
      <c r="M15" s="66">
        <f t="shared" si="3"/>
        <v>58441.823734313279</v>
      </c>
      <c r="N15" s="66">
        <f t="shared" si="3"/>
        <v>58945.125774262902</v>
      </c>
      <c r="O15" s="66">
        <f t="shared" si="3"/>
        <v>59441.425237517302</v>
      </c>
      <c r="P15" s="66">
        <f t="shared" si="3"/>
        <v>59932.458328215856</v>
      </c>
      <c r="Q15" s="66">
        <f t="shared" si="3"/>
        <v>60418.949128084882</v>
      </c>
      <c r="R15" s="66">
        <f t="shared" si="3"/>
        <v>60900.927997196784</v>
      </c>
      <c r="S15" s="66">
        <f t="shared" si="3"/>
        <v>61378.645776149577</v>
      </c>
      <c r="T15" s="66">
        <f t="shared" si="3"/>
        <v>61852.503545899504</v>
      </c>
      <c r="U15" s="66">
        <f t="shared" si="2"/>
        <v>62322.902387402835</v>
      </c>
      <c r="V15" s="66">
        <f t="shared" si="2"/>
        <v>62790.186221479504</v>
      </c>
      <c r="W15" s="66">
        <f t="shared" si="2"/>
        <v>63254.656128847331</v>
      </c>
      <c r="X15" s="66">
        <f t="shared" si="2"/>
        <v>63717.169871551363</v>
      </c>
      <c r="Y15" s="66"/>
      <c r="AB15" s="446">
        <f t="shared" ref="AB15:AB18" si="4">$B15*$A24*INDEX($A$52:$D$56,MATCH($C15,$D$52:$D$56,0),1)/8760000</f>
        <v>2.3411177700501322</v>
      </c>
      <c r="AC15" s="446">
        <f t="shared" ref="AC15:AC18" si="5">$X15*$A24*INDEX($A$52:$D$56,MATCH($C15,$D$52:$D$56,0),1)/8760000</f>
        <v>2.758164359235439</v>
      </c>
    </row>
    <row r="16" spans="1:29">
      <c r="A16" s="141">
        <f>B16/$E$13</f>
        <v>1.6874681834711285</v>
      </c>
      <c r="B16" s="349">
        <f>CBSA!C4</f>
        <v>22815.719191984099</v>
      </c>
      <c r="C16" s="25" t="s">
        <v>398</v>
      </c>
      <c r="D16" s="25" t="s">
        <v>948</v>
      </c>
      <c r="E16" s="66">
        <f>E$13*$A16</f>
        <v>22815.719191984099</v>
      </c>
      <c r="F16" s="66">
        <f t="shared" si="2"/>
        <v>23053.920833913653</v>
      </c>
      <c r="G16" s="66">
        <f t="shared" si="2"/>
        <v>23293.290119452766</v>
      </c>
      <c r="H16" s="66">
        <f t="shared" si="2"/>
        <v>23530.522884650098</v>
      </c>
      <c r="I16" s="66">
        <f t="shared" si="2"/>
        <v>23764.279195394578</v>
      </c>
      <c r="J16" s="66">
        <f t="shared" si="2"/>
        <v>23993.630167949919</v>
      </c>
      <c r="K16" s="66">
        <f t="shared" si="2"/>
        <v>24218.406583006687</v>
      </c>
      <c r="L16" s="66">
        <f t="shared" si="2"/>
        <v>24438.652567857884</v>
      </c>
      <c r="M16" s="66">
        <f t="shared" si="2"/>
        <v>24654.620753365245</v>
      </c>
      <c r="N16" s="66">
        <f t="shared" si="2"/>
        <v>24866.946791918821</v>
      </c>
      <c r="O16" s="66">
        <f t="shared" si="2"/>
        <v>25076.318681171684</v>
      </c>
      <c r="P16" s="66">
        <f t="shared" si="2"/>
        <v>25283.468866688869</v>
      </c>
      <c r="Q16" s="66">
        <f t="shared" si="2"/>
        <v>25488.702813960947</v>
      </c>
      <c r="R16" s="66">
        <f t="shared" si="2"/>
        <v>25692.03333087144</v>
      </c>
      <c r="S16" s="66">
        <f t="shared" si="2"/>
        <v>25893.56623855012</v>
      </c>
      <c r="T16" s="66">
        <f t="shared" si="2"/>
        <v>26093.470739431748</v>
      </c>
      <c r="U16" s="66">
        <f t="shared" si="2"/>
        <v>26291.916035951093</v>
      </c>
      <c r="V16" s="66">
        <f t="shared" si="2"/>
        <v>26489.047216622555</v>
      </c>
      <c r="W16" s="66">
        <f t="shared" si="2"/>
        <v>26684.991297176308</v>
      </c>
      <c r="X16" s="66">
        <f t="shared" si="2"/>
        <v>26880.110138289616</v>
      </c>
      <c r="Y16" s="117"/>
      <c r="AB16" s="446">
        <f t="shared" si="4"/>
        <v>38.398208531614145</v>
      </c>
      <c r="AC16" s="446">
        <f t="shared" si="5"/>
        <v>45.238463261128643</v>
      </c>
    </row>
    <row r="17" spans="1:29">
      <c r="A17" s="141">
        <f>B17/$E$13</f>
        <v>1.0926692436917029</v>
      </c>
      <c r="B17" s="349">
        <f>CBSA!G4</f>
        <v>14773.632402660394</v>
      </c>
      <c r="C17" s="25" t="s">
        <v>399</v>
      </c>
      <c r="D17" s="25" t="s">
        <v>948</v>
      </c>
      <c r="E17" s="66">
        <f>E$13*$A17</f>
        <v>14773.632402660394</v>
      </c>
      <c r="F17" s="66">
        <f t="shared" si="2"/>
        <v>14927.872708037825</v>
      </c>
      <c r="G17" s="66">
        <f t="shared" si="2"/>
        <v>15082.869085898434</v>
      </c>
      <c r="H17" s="66">
        <f t="shared" si="2"/>
        <v>15236.482024302908</v>
      </c>
      <c r="I17" s="66">
        <f t="shared" si="2"/>
        <v>15387.843889238302</v>
      </c>
      <c r="J17" s="66">
        <f t="shared" si="2"/>
        <v>15536.353209992727</v>
      </c>
      <c r="K17" s="66">
        <f t="shared" si="2"/>
        <v>15681.900413694428</v>
      </c>
      <c r="L17" s="66">
        <f t="shared" si="2"/>
        <v>15824.51407364413</v>
      </c>
      <c r="M17" s="66">
        <f t="shared" si="2"/>
        <v>15964.357773354297</v>
      </c>
      <c r="N17" s="66">
        <f t="shared" si="2"/>
        <v>16101.843110402349</v>
      </c>
      <c r="O17" s="66">
        <f t="shared" si="2"/>
        <v>16237.415576965623</v>
      </c>
      <c r="P17" s="66">
        <f t="shared" si="2"/>
        <v>16371.549446129344</v>
      </c>
      <c r="Q17" s="66">
        <f t="shared" si="2"/>
        <v>16504.442512880003</v>
      </c>
      <c r="R17" s="66">
        <f t="shared" si="2"/>
        <v>16636.10307057717</v>
      </c>
      <c r="S17" s="66">
        <f t="shared" si="2"/>
        <v>16766.599640509103</v>
      </c>
      <c r="T17" s="66">
        <f t="shared" si="2"/>
        <v>16896.041784620873</v>
      </c>
      <c r="U17" s="66">
        <f t="shared" si="2"/>
        <v>17024.539064857552</v>
      </c>
      <c r="V17" s="66">
        <f t="shared" si="2"/>
        <v>17152.1854289207</v>
      </c>
      <c r="W17" s="66">
        <f t="shared" si="2"/>
        <v>17279.063122024298</v>
      </c>
      <c r="X17" s="66">
        <f t="shared" si="2"/>
        <v>17405.406456160963</v>
      </c>
      <c r="Y17" s="66"/>
      <c r="AB17" s="446">
        <f t="shared" si="4"/>
        <v>15.206860292752525</v>
      </c>
      <c r="AC17" s="446">
        <f t="shared" si="5"/>
        <v>17.915809538468647</v>
      </c>
    </row>
    <row r="18" spans="1:29">
      <c r="A18" s="141">
        <f>B18/$E$13</f>
        <v>2.6634115968669776</v>
      </c>
      <c r="B18" s="349">
        <f>CBSA!H4</f>
        <v>36011.138865914276</v>
      </c>
      <c r="C18" s="25" t="s">
        <v>400</v>
      </c>
      <c r="D18" s="25" t="s">
        <v>948</v>
      </c>
      <c r="E18" s="66">
        <f>E$13*$A18</f>
        <v>36011.138865914276</v>
      </c>
      <c r="F18" s="66">
        <f t="shared" si="2"/>
        <v>36387.10388956462</v>
      </c>
      <c r="G18" s="66">
        <f t="shared" si="2"/>
        <v>36764.911860869433</v>
      </c>
      <c r="H18" s="66">
        <f t="shared" si="2"/>
        <v>37139.347660117317</v>
      </c>
      <c r="I18" s="66">
        <f t="shared" si="2"/>
        <v>37508.29640532982</v>
      </c>
      <c r="J18" s="66">
        <f t="shared" si="2"/>
        <v>37870.291994959291</v>
      </c>
      <c r="K18" s="66">
        <f t="shared" si="2"/>
        <v>38225.067342090821</v>
      </c>
      <c r="L18" s="66">
        <f t="shared" si="2"/>
        <v>38572.692094937673</v>
      </c>
      <c r="M18" s="66">
        <f t="shared" si="2"/>
        <v>38913.564992849984</v>
      </c>
      <c r="N18" s="66">
        <f t="shared" si="2"/>
        <v>39248.689316342206</v>
      </c>
      <c r="O18" s="66">
        <f t="shared" si="2"/>
        <v>39579.15096495649</v>
      </c>
      <c r="P18" s="66">
        <f t="shared" si="2"/>
        <v>39906.105992496457</v>
      </c>
      <c r="Q18" s="66">
        <f t="shared" si="2"/>
        <v>40230.036529729361</v>
      </c>
      <c r="R18" s="66">
        <f t="shared" si="2"/>
        <v>40550.962791949249</v>
      </c>
      <c r="S18" s="66">
        <f t="shared" si="2"/>
        <v>40869.051801697322</v>
      </c>
      <c r="T18" s="66">
        <f t="shared" si="2"/>
        <v>41184.570619254424</v>
      </c>
      <c r="U18" s="66">
        <f t="shared" si="2"/>
        <v>41497.786304901376</v>
      </c>
      <c r="V18" s="66">
        <f t="shared" si="2"/>
        <v>41808.92785876726</v>
      </c>
      <c r="W18" s="66">
        <f t="shared" si="2"/>
        <v>42118.195755842979</v>
      </c>
      <c r="X18" s="66">
        <f t="shared" si="2"/>
        <v>42426.161138111369</v>
      </c>
      <c r="AB18" s="446">
        <f t="shared" si="4"/>
        <v>4.0474055361723416</v>
      </c>
      <c r="AC18" s="446">
        <f t="shared" si="5"/>
        <v>4.7684101329954478</v>
      </c>
    </row>
    <row r="19" spans="1:29">
      <c r="A19" s="141"/>
      <c r="B19" s="339">
        <f>SUM(B14:B18)</f>
        <v>142929.81031920825</v>
      </c>
      <c r="E19" s="66"/>
      <c r="F19" s="66"/>
      <c r="G19" s="66"/>
      <c r="H19" s="66"/>
      <c r="I19" s="66"/>
      <c r="J19" s="66"/>
      <c r="K19" s="66"/>
      <c r="L19" s="66"/>
      <c r="M19" s="66"/>
      <c r="N19" s="66"/>
      <c r="O19" s="66"/>
      <c r="P19" s="66"/>
      <c r="Q19" s="66"/>
      <c r="R19" s="66"/>
      <c r="S19" s="66"/>
      <c r="T19" s="66"/>
      <c r="U19" s="66"/>
      <c r="V19" s="66"/>
      <c r="W19" s="66"/>
      <c r="X19" s="66"/>
      <c r="AB19" s="141">
        <f>SUM(AB14:AB18)</f>
        <v>62.508676899956484</v>
      </c>
      <c r="AC19" s="141">
        <f>SUM(AC14:AC18)</f>
        <v>73.643969121951372</v>
      </c>
    </row>
    <row r="20" spans="1:29">
      <c r="C20" s="25" t="s">
        <v>79</v>
      </c>
      <c r="E20" s="66"/>
      <c r="F20" s="66"/>
      <c r="G20" s="66"/>
      <c r="H20" s="66"/>
      <c r="I20" s="66"/>
      <c r="J20" s="66"/>
      <c r="K20" s="66"/>
      <c r="L20" s="66"/>
      <c r="M20" s="66"/>
      <c r="N20" s="66"/>
      <c r="O20" s="66"/>
      <c r="P20" s="66"/>
      <c r="Q20" s="66"/>
      <c r="R20" s="66"/>
      <c r="S20" s="66"/>
      <c r="T20" s="66"/>
      <c r="U20" s="66"/>
      <c r="V20" s="66"/>
      <c r="W20" s="66"/>
      <c r="X20" s="66"/>
    </row>
    <row r="21" spans="1:29">
      <c r="A21" s="69" t="s">
        <v>76</v>
      </c>
      <c r="B21" s="69"/>
      <c r="C21" s="69"/>
      <c r="D21" s="69"/>
      <c r="E21" s="70">
        <f>E11</f>
        <v>2016</v>
      </c>
      <c r="F21" s="70">
        <f t="shared" ref="F21:X21" si="6">F11</f>
        <v>2017</v>
      </c>
      <c r="G21" s="70">
        <f t="shared" si="6"/>
        <v>2018</v>
      </c>
      <c r="H21" s="70">
        <f t="shared" si="6"/>
        <v>2019</v>
      </c>
      <c r="I21" s="70">
        <f t="shared" si="6"/>
        <v>2020</v>
      </c>
      <c r="J21" s="70">
        <f t="shared" si="6"/>
        <v>2021</v>
      </c>
      <c r="K21" s="70">
        <f t="shared" si="6"/>
        <v>2022</v>
      </c>
      <c r="L21" s="70">
        <f t="shared" si="6"/>
        <v>2023</v>
      </c>
      <c r="M21" s="70">
        <f t="shared" si="6"/>
        <v>2024</v>
      </c>
      <c r="N21" s="70">
        <f t="shared" si="6"/>
        <v>2025</v>
      </c>
      <c r="O21" s="70">
        <f t="shared" si="6"/>
        <v>2026</v>
      </c>
      <c r="P21" s="70">
        <f t="shared" si="6"/>
        <v>2027</v>
      </c>
      <c r="Q21" s="70">
        <f t="shared" si="6"/>
        <v>2028</v>
      </c>
      <c r="R21" s="70">
        <f t="shared" si="6"/>
        <v>2029</v>
      </c>
      <c r="S21" s="70">
        <f t="shared" si="6"/>
        <v>2030</v>
      </c>
      <c r="T21" s="70">
        <f t="shared" si="6"/>
        <v>2031</v>
      </c>
      <c r="U21" s="70">
        <f t="shared" si="6"/>
        <v>2032</v>
      </c>
      <c r="V21" s="70">
        <f t="shared" si="6"/>
        <v>2033</v>
      </c>
      <c r="W21" s="70">
        <f t="shared" si="6"/>
        <v>2034</v>
      </c>
      <c r="X21" s="70">
        <f t="shared" si="6"/>
        <v>2035</v>
      </c>
      <c r="Y21" s="65"/>
    </row>
    <row r="22" spans="1:29">
      <c r="A22" s="69" t="s">
        <v>77</v>
      </c>
      <c r="B22" s="69" t="s">
        <v>78</v>
      </c>
      <c r="C22" s="69" t="str">
        <f>C8</f>
        <v>Cooking Equipment-NR</v>
      </c>
      <c r="D22" s="69"/>
      <c r="E22" s="71"/>
      <c r="F22" s="71"/>
      <c r="G22" s="71"/>
      <c r="H22" s="71"/>
      <c r="I22" s="71"/>
      <c r="J22" s="71"/>
      <c r="K22" s="71"/>
      <c r="L22" s="71"/>
      <c r="M22" s="71"/>
      <c r="N22" s="71"/>
      <c r="O22" s="71"/>
      <c r="P22" s="71"/>
      <c r="Q22" s="71"/>
      <c r="R22" s="71"/>
      <c r="S22" s="71"/>
      <c r="T22" s="71"/>
      <c r="U22" s="71"/>
      <c r="V22" s="71"/>
      <c r="W22" s="71"/>
      <c r="X22" s="71"/>
    </row>
    <row r="23" spans="1:29" s="63" customFormat="1">
      <c r="A23" s="72">
        <f>VLOOKUP($C$22,[5]!APPLIC,MATCH($C$20,BLDGTYP,0)+1,FALSE)</f>
        <v>0.54900000000000004</v>
      </c>
      <c r="B23" s="73">
        <f>VLOOKUP($C$22,[5]TURN!TURN,MATCH($C$20,BLDGTYP,0)+1,FALSE)</f>
        <v>0.08</v>
      </c>
      <c r="C23" s="150" t="str">
        <f>C14</f>
        <v>Fryers</v>
      </c>
      <c r="D23" s="150"/>
      <c r="E23" s="150">
        <f>E14*$A23*$B23</f>
        <v>669.62480766075726</v>
      </c>
      <c r="F23" s="150">
        <f t="shared" ref="F23:X27" si="7">F14*$A23*$B23</f>
        <v>676.61585305886126</v>
      </c>
      <c r="G23" s="150">
        <f t="shared" si="7"/>
        <v>683.64116794989195</v>
      </c>
      <c r="H23" s="150">
        <f t="shared" si="7"/>
        <v>690.60377751873273</v>
      </c>
      <c r="I23" s="150">
        <f t="shared" si="7"/>
        <v>697.46435567121785</v>
      </c>
      <c r="J23" s="150">
        <f t="shared" si="7"/>
        <v>704.19564034350344</v>
      </c>
      <c r="K23" s="150">
        <f t="shared" si="7"/>
        <v>710.79266507161037</v>
      </c>
      <c r="L23" s="150">
        <f t="shared" si="7"/>
        <v>717.25672495957804</v>
      </c>
      <c r="M23" s="150">
        <f t="shared" si="7"/>
        <v>723.5952345399387</v>
      </c>
      <c r="N23" s="150">
        <f t="shared" si="7"/>
        <v>729.82684974923541</v>
      </c>
      <c r="O23" s="150">
        <f t="shared" si="7"/>
        <v>735.97176281950908</v>
      </c>
      <c r="P23" s="150">
        <f t="shared" si="7"/>
        <v>742.05147049677441</v>
      </c>
      <c r="Q23" s="150">
        <f t="shared" si="7"/>
        <v>748.0749379715935</v>
      </c>
      <c r="R23" s="150">
        <f t="shared" si="7"/>
        <v>754.04254114605703</v>
      </c>
      <c r="S23" s="150">
        <f t="shared" si="7"/>
        <v>759.95738579356043</v>
      </c>
      <c r="T23" s="150">
        <f t="shared" si="7"/>
        <v>765.82443788282399</v>
      </c>
      <c r="U23" s="150">
        <f t="shared" si="7"/>
        <v>771.64866338256775</v>
      </c>
      <c r="V23" s="150">
        <f t="shared" si="7"/>
        <v>777.43432053544166</v>
      </c>
      <c r="W23" s="150">
        <f t="shared" si="7"/>
        <v>783.18513716098857</v>
      </c>
      <c r="X23" s="150">
        <f t="shared" si="7"/>
        <v>788.91173360759069</v>
      </c>
      <c r="Y23" s="152">
        <f>X14*A23*$Y$28</f>
        <v>8382.1871695806512</v>
      </c>
    </row>
    <row r="24" spans="1:29" s="63" customFormat="1">
      <c r="A24" s="72">
        <f>VLOOKUP($C$22,[5]!APPLIC,MATCH($C$20,BLDGTYP,0)+1,FALSE)</f>
        <v>0.54900000000000004</v>
      </c>
      <c r="B24" s="73">
        <f>VLOOKUP($C$22,[5]TURN!TURN,MATCH($C$20,BLDGTYP,0)+1,FALSE)</f>
        <v>0.08</v>
      </c>
      <c r="C24" s="150" t="str">
        <f>C15</f>
        <v>HFHC (Wt Average Size)</v>
      </c>
      <c r="D24" s="150"/>
      <c r="E24" s="150">
        <f>E15*$A24*$B24</f>
        <v>2375.3189205311278</v>
      </c>
      <c r="F24" s="150">
        <f t="shared" ref="F24:T24" si="8">F15*$A24*$B24</f>
        <v>2400.1178261547398</v>
      </c>
      <c r="G24" s="150">
        <f t="shared" si="8"/>
        <v>2425.0382938441753</v>
      </c>
      <c r="H24" s="150">
        <f t="shared" si="8"/>
        <v>2449.7363307985011</v>
      </c>
      <c r="I24" s="150">
        <f t="shared" si="8"/>
        <v>2474.0724379811309</v>
      </c>
      <c r="J24" s="150">
        <f t="shared" si="8"/>
        <v>2497.9499103487046</v>
      </c>
      <c r="K24" s="150">
        <f t="shared" si="8"/>
        <v>2521.3511306688197</v>
      </c>
      <c r="L24" s="150">
        <f t="shared" si="8"/>
        <v>2544.2806929844296</v>
      </c>
      <c r="M24" s="150">
        <f t="shared" si="8"/>
        <v>2566.7648984110392</v>
      </c>
      <c r="N24" s="150">
        <f t="shared" si="8"/>
        <v>2588.8699240056267</v>
      </c>
      <c r="O24" s="150">
        <f t="shared" si="8"/>
        <v>2610.6673964317602</v>
      </c>
      <c r="P24" s="150">
        <f t="shared" si="8"/>
        <v>2632.2335697752405</v>
      </c>
      <c r="Q24" s="150">
        <f t="shared" si="8"/>
        <v>2653.6002457054888</v>
      </c>
      <c r="R24" s="150">
        <f t="shared" si="8"/>
        <v>2674.768757636883</v>
      </c>
      <c r="S24" s="150">
        <f t="shared" si="8"/>
        <v>2695.75012248849</v>
      </c>
      <c r="T24" s="150">
        <f t="shared" si="8"/>
        <v>2716.5619557359064</v>
      </c>
      <c r="U24" s="150">
        <f t="shared" si="7"/>
        <v>2737.2218728547327</v>
      </c>
      <c r="V24" s="150">
        <f t="shared" si="7"/>
        <v>2757.7449788473805</v>
      </c>
      <c r="W24" s="150">
        <f t="shared" si="7"/>
        <v>2778.1444971789751</v>
      </c>
      <c r="X24" s="150">
        <f t="shared" si="7"/>
        <v>2798.4581007585361</v>
      </c>
      <c r="Y24" s="152">
        <f t="shared" ref="Y24:Y27" si="9">X15*A24*$Y$28</f>
        <v>29733.617320559446</v>
      </c>
    </row>
    <row r="25" spans="1:29" s="63" customFormat="1">
      <c r="A25" s="72">
        <f>VLOOKUP($C$22,[5]!APPLIC,MATCH($C$20,BLDGTYP,0)+1,FALSE)*CBSA!D26</f>
        <v>0.32940000000000003</v>
      </c>
      <c r="B25" s="73">
        <f>VLOOKUP($C$22,[5]TURN!TURN,MATCH($C$20,BLDGTYP,0)+1,FALSE)</f>
        <v>0.08</v>
      </c>
      <c r="C25" s="150" t="str">
        <f>C16</f>
        <v>Steamer (Wt Average Size)</v>
      </c>
      <c r="D25" s="150"/>
      <c r="E25" s="150">
        <f>E16*$A25*$B25</f>
        <v>601.23983214716498</v>
      </c>
      <c r="F25" s="150">
        <f t="shared" si="7"/>
        <v>607.51692181529268</v>
      </c>
      <c r="G25" s="150">
        <f t="shared" si="7"/>
        <v>613.82478122781936</v>
      </c>
      <c r="H25" s="150">
        <f t="shared" si="7"/>
        <v>620.07633905629939</v>
      </c>
      <c r="I25" s="150">
        <f t="shared" si="7"/>
        <v>626.23628535703801</v>
      </c>
      <c r="J25" s="150">
        <f t="shared" si="7"/>
        <v>632.28014218581632</v>
      </c>
      <c r="K25" s="150">
        <f t="shared" si="7"/>
        <v>638.20345027539224</v>
      </c>
      <c r="L25" s="150">
        <f t="shared" si="7"/>
        <v>644.00737246819108</v>
      </c>
      <c r="M25" s="150">
        <f t="shared" si="7"/>
        <v>649.69856609268106</v>
      </c>
      <c r="N25" s="150">
        <f t="shared" si="7"/>
        <v>655.2937818606448</v>
      </c>
      <c r="O25" s="150">
        <f t="shared" si="7"/>
        <v>660.81114988623619</v>
      </c>
      <c r="P25" s="150">
        <f t="shared" si="7"/>
        <v>666.26997157498511</v>
      </c>
      <c r="Q25" s="150">
        <f t="shared" si="7"/>
        <v>671.67829655349897</v>
      </c>
      <c r="R25" s="150">
        <f t="shared" si="7"/>
        <v>677.03646233512427</v>
      </c>
      <c r="S25" s="150">
        <f t="shared" si="7"/>
        <v>682.34725751827284</v>
      </c>
      <c r="T25" s="150">
        <f t="shared" si="7"/>
        <v>687.61514092550556</v>
      </c>
      <c r="U25" s="150">
        <f t="shared" si="7"/>
        <v>692.8445713793833</v>
      </c>
      <c r="V25" s="150">
        <f t="shared" si="7"/>
        <v>698.0393722524376</v>
      </c>
      <c r="W25" s="150">
        <f t="shared" si="7"/>
        <v>703.20289066319026</v>
      </c>
      <c r="X25" s="150">
        <f t="shared" si="7"/>
        <v>708.34466236420803</v>
      </c>
      <c r="Y25" s="152">
        <f t="shared" si="9"/>
        <v>7526.1620376197106</v>
      </c>
    </row>
    <row r="26" spans="1:29" s="63" customFormat="1">
      <c r="A26" s="72">
        <f>VLOOKUP($C$22,[5]!APPLIC,MATCH($C$20,BLDGTYP,0)+1,FALSE)</f>
        <v>0.54900000000000004</v>
      </c>
      <c r="B26" s="73">
        <f>VLOOKUP($C$22,[5]TURN!TURN,MATCH($C$20,BLDGTYP,0)+1,FALSE)</f>
        <v>0.08</v>
      </c>
      <c r="C26" s="150" t="str">
        <f>C17</f>
        <v>Combi Oven (Wt Average)</v>
      </c>
      <c r="D26" s="150"/>
      <c r="E26" s="150">
        <f>E17*$A26*$B26</f>
        <v>648.85793512484463</v>
      </c>
      <c r="F26" s="150">
        <f t="shared" si="7"/>
        <v>655.63216933702131</v>
      </c>
      <c r="G26" s="150">
        <f t="shared" si="7"/>
        <v>662.43961025265935</v>
      </c>
      <c r="H26" s="150">
        <f t="shared" si="7"/>
        <v>669.18629050738389</v>
      </c>
      <c r="I26" s="150">
        <f t="shared" si="7"/>
        <v>675.83410361534629</v>
      </c>
      <c r="J26" s="150">
        <f t="shared" si="7"/>
        <v>682.35663298288068</v>
      </c>
      <c r="K26" s="150">
        <f t="shared" si="7"/>
        <v>688.7490661694593</v>
      </c>
      <c r="L26" s="150">
        <f t="shared" si="7"/>
        <v>695.01265811445023</v>
      </c>
      <c r="M26" s="150">
        <f t="shared" si="7"/>
        <v>701.15459340572079</v>
      </c>
      <c r="N26" s="150">
        <f t="shared" si="7"/>
        <v>707.19294940887119</v>
      </c>
      <c r="O26" s="150">
        <f t="shared" si="7"/>
        <v>713.14729214033025</v>
      </c>
      <c r="P26" s="150">
        <f t="shared" si="7"/>
        <v>719.03845167400084</v>
      </c>
      <c r="Q26" s="150">
        <f t="shared" si="7"/>
        <v>724.87511516568975</v>
      </c>
      <c r="R26" s="150">
        <f t="shared" si="7"/>
        <v>730.65764685974943</v>
      </c>
      <c r="S26" s="150">
        <f t="shared" si="7"/>
        <v>736.38905621115998</v>
      </c>
      <c r="T26" s="150">
        <f t="shared" si="7"/>
        <v>742.07415518054881</v>
      </c>
      <c r="U26" s="150">
        <f t="shared" si="7"/>
        <v>747.71775572854369</v>
      </c>
      <c r="V26" s="150">
        <f t="shared" si="7"/>
        <v>753.3239840381973</v>
      </c>
      <c r="W26" s="150">
        <f t="shared" si="7"/>
        <v>758.89645231930729</v>
      </c>
      <c r="X26" s="150">
        <f t="shared" si="7"/>
        <v>764.44545155458957</v>
      </c>
      <c r="Y26" s="152">
        <f t="shared" si="9"/>
        <v>8122.2329227675136</v>
      </c>
    </row>
    <row r="27" spans="1:29">
      <c r="A27" s="72">
        <f>VLOOKUP($C$22,[5]!APPLIC,MATCH($C$20,BLDGTYP,0)+1,FALSE)</f>
        <v>0.54900000000000004</v>
      </c>
      <c r="B27" s="73">
        <f>VLOOKUP($C$22,[5]TURN!TURN,MATCH($C$20,BLDGTYP,0)+1,FALSE)</f>
        <v>0.08</v>
      </c>
      <c r="C27" s="150" t="str">
        <f>C18</f>
        <v>Convection Oven (Wt Average)</v>
      </c>
      <c r="E27" s="150">
        <f>E18*$A27*$B27</f>
        <v>1581.609218990955</v>
      </c>
      <c r="F27" s="150">
        <f t="shared" si="7"/>
        <v>1598.1216028296783</v>
      </c>
      <c r="G27" s="150">
        <f t="shared" si="7"/>
        <v>1614.7149289293859</v>
      </c>
      <c r="H27" s="150">
        <f t="shared" si="7"/>
        <v>1631.1601492323525</v>
      </c>
      <c r="I27" s="150">
        <f t="shared" si="7"/>
        <v>1647.3643781220858</v>
      </c>
      <c r="J27" s="150">
        <f t="shared" si="7"/>
        <v>1663.263224418612</v>
      </c>
      <c r="K27" s="150">
        <f t="shared" si="7"/>
        <v>1678.844957664629</v>
      </c>
      <c r="L27" s="150">
        <f t="shared" si="7"/>
        <v>1694.1126368096629</v>
      </c>
      <c r="M27" s="150">
        <f t="shared" si="7"/>
        <v>1709.0837744859714</v>
      </c>
      <c r="N27" s="150">
        <f t="shared" si="7"/>
        <v>1723.8024347737498</v>
      </c>
      <c r="O27" s="150">
        <f t="shared" si="7"/>
        <v>1738.3163103808893</v>
      </c>
      <c r="P27" s="150">
        <f t="shared" si="7"/>
        <v>1752.6761751904446</v>
      </c>
      <c r="Q27" s="150">
        <f t="shared" si="7"/>
        <v>1766.9032043857137</v>
      </c>
      <c r="R27" s="150">
        <f t="shared" si="7"/>
        <v>1780.9982858224112</v>
      </c>
      <c r="S27" s="150">
        <f t="shared" si="7"/>
        <v>1794.9687551305467</v>
      </c>
      <c r="T27" s="150">
        <f t="shared" si="7"/>
        <v>1808.8263415976544</v>
      </c>
      <c r="U27" s="150">
        <f t="shared" si="7"/>
        <v>1822.5827745112688</v>
      </c>
      <c r="V27" s="150">
        <f t="shared" si="7"/>
        <v>1836.2481115570583</v>
      </c>
      <c r="W27" s="150">
        <f t="shared" si="7"/>
        <v>1849.8311575966238</v>
      </c>
      <c r="X27" s="150">
        <f t="shared" si="7"/>
        <v>1863.3569971858515</v>
      </c>
      <c r="Y27" s="152">
        <f t="shared" si="9"/>
        <v>19798.168095099671</v>
      </c>
    </row>
    <row r="28" spans="1:29">
      <c r="A28" s="72"/>
      <c r="B28" s="73"/>
      <c r="E28" s="67"/>
      <c r="F28" s="67"/>
      <c r="G28" s="67"/>
      <c r="H28" s="67"/>
      <c r="I28" s="67"/>
      <c r="J28" s="67"/>
      <c r="K28" s="67"/>
      <c r="L28" s="67"/>
      <c r="M28" s="67"/>
      <c r="N28" s="67"/>
      <c r="O28" s="67"/>
      <c r="P28" s="67"/>
      <c r="Q28" s="67"/>
      <c r="R28" s="67"/>
      <c r="S28" s="67"/>
      <c r="T28" s="67"/>
      <c r="U28" s="67"/>
      <c r="V28" s="67"/>
      <c r="W28" s="67"/>
      <c r="X28" s="67"/>
      <c r="Y28" s="443">
        <f>85%</f>
        <v>0.85</v>
      </c>
      <c r="Z28" s="25" t="s">
        <v>1116</v>
      </c>
    </row>
    <row r="29" spans="1:29">
      <c r="A29" s="153" t="s">
        <v>405</v>
      </c>
      <c r="B29" s="73"/>
      <c r="C29" s="66" t="str">
        <f>C23</f>
        <v>Fryers</v>
      </c>
      <c r="E29" s="66">
        <f>E23</f>
        <v>669.62480766075726</v>
      </c>
      <c r="F29" s="66">
        <f>E29+F23</f>
        <v>1346.2406607196185</v>
      </c>
      <c r="G29" s="66">
        <f t="shared" ref="G29:X29" si="10">F29+G23</f>
        <v>2029.8818286695105</v>
      </c>
      <c r="H29" s="66">
        <f t="shared" si="10"/>
        <v>2720.4856061882433</v>
      </c>
      <c r="I29" s="66">
        <f t="shared" si="10"/>
        <v>3417.9499618594609</v>
      </c>
      <c r="J29" s="66">
        <f t="shared" si="10"/>
        <v>4122.1456022029643</v>
      </c>
      <c r="K29" s="66">
        <f t="shared" si="10"/>
        <v>4832.9382672745742</v>
      </c>
      <c r="L29" s="66">
        <f t="shared" si="10"/>
        <v>5550.1949922341519</v>
      </c>
      <c r="M29" s="66">
        <f t="shared" si="10"/>
        <v>6273.7902267740901</v>
      </c>
      <c r="N29" s="66">
        <f t="shared" si="10"/>
        <v>7003.6170765233255</v>
      </c>
      <c r="O29" s="66">
        <f t="shared" si="10"/>
        <v>7739.5888393428349</v>
      </c>
      <c r="P29" s="66">
        <f t="shared" si="10"/>
        <v>8481.6403098396095</v>
      </c>
      <c r="Q29" s="66">
        <f t="shared" si="10"/>
        <v>9229.7152478112039</v>
      </c>
      <c r="R29" s="66">
        <f t="shared" si="10"/>
        <v>9983.7577889572603</v>
      </c>
      <c r="S29" s="66">
        <f t="shared" si="10"/>
        <v>10743.715174750821</v>
      </c>
      <c r="T29" s="66">
        <f t="shared" si="10"/>
        <v>11509.539612633645</v>
      </c>
      <c r="U29" s="66">
        <f t="shared" si="10"/>
        <v>12281.188276016213</v>
      </c>
      <c r="V29" s="66">
        <f t="shared" si="10"/>
        <v>13058.622596551655</v>
      </c>
      <c r="W29" s="66">
        <f t="shared" si="10"/>
        <v>13841.807733712643</v>
      </c>
      <c r="X29" s="66">
        <f t="shared" si="10"/>
        <v>14630.719467320234</v>
      </c>
      <c r="Y29" s="444">
        <f>Y23</f>
        <v>8382.1871695806512</v>
      </c>
    </row>
    <row r="30" spans="1:29">
      <c r="A30" s="72"/>
      <c r="B30" s="484"/>
      <c r="C30" s="66" t="str">
        <f>C24</f>
        <v>HFHC (Wt Average Size)</v>
      </c>
      <c r="E30" s="66">
        <f>E24</f>
        <v>2375.3189205311278</v>
      </c>
      <c r="F30" s="66">
        <f t="shared" ref="F30:X30" si="11">E30+F24</f>
        <v>4775.4367466858675</v>
      </c>
      <c r="G30" s="66">
        <f t="shared" si="11"/>
        <v>7200.4750405300429</v>
      </c>
      <c r="H30" s="66">
        <f t="shared" si="11"/>
        <v>9650.2113713285435</v>
      </c>
      <c r="I30" s="66">
        <f t="shared" si="11"/>
        <v>12124.283809309674</v>
      </c>
      <c r="J30" s="66">
        <f t="shared" si="11"/>
        <v>14622.233719658379</v>
      </c>
      <c r="K30" s="66">
        <f t="shared" si="11"/>
        <v>17143.584850327199</v>
      </c>
      <c r="L30" s="66">
        <f t="shared" si="11"/>
        <v>19687.865543311629</v>
      </c>
      <c r="M30" s="66">
        <f t="shared" si="11"/>
        <v>22254.630441722667</v>
      </c>
      <c r="N30" s="66">
        <f t="shared" si="11"/>
        <v>24843.500365728294</v>
      </c>
      <c r="O30" s="66">
        <f t="shared" si="11"/>
        <v>27454.167762160054</v>
      </c>
      <c r="P30" s="66">
        <f t="shared" si="11"/>
        <v>30086.401331935296</v>
      </c>
      <c r="Q30" s="66">
        <f t="shared" si="11"/>
        <v>32740.001577640785</v>
      </c>
      <c r="R30" s="66">
        <f t="shared" si="11"/>
        <v>35414.770335277666</v>
      </c>
      <c r="S30" s="66">
        <f t="shared" si="11"/>
        <v>38110.520457766157</v>
      </c>
      <c r="T30" s="66">
        <f t="shared" si="11"/>
        <v>40827.082413502067</v>
      </c>
      <c r="U30" s="66">
        <f t="shared" si="11"/>
        <v>43564.304286356797</v>
      </c>
      <c r="V30" s="66">
        <f t="shared" si="11"/>
        <v>46322.049265204179</v>
      </c>
      <c r="W30" s="66">
        <f t="shared" si="11"/>
        <v>49100.193762383155</v>
      </c>
      <c r="X30" s="66">
        <f t="shared" si="11"/>
        <v>51898.651863141691</v>
      </c>
      <c r="Y30" s="444">
        <f t="shared" ref="Y30:Y33" si="12">Y24</f>
        <v>29733.617320559446</v>
      </c>
    </row>
    <row r="31" spans="1:29">
      <c r="A31" s="445"/>
      <c r="B31" s="73"/>
      <c r="C31" s="66" t="str">
        <f>C25</f>
        <v>Steamer (Wt Average Size)</v>
      </c>
      <c r="E31" s="66">
        <f>E25</f>
        <v>601.23983214716498</v>
      </c>
      <c r="F31" s="66">
        <f t="shared" ref="F31:X31" si="13">E31+F25</f>
        <v>1208.7567539624577</v>
      </c>
      <c r="G31" s="66">
        <f t="shared" si="13"/>
        <v>1822.581535190277</v>
      </c>
      <c r="H31" s="66">
        <f t="shared" si="13"/>
        <v>2442.6578742465763</v>
      </c>
      <c r="I31" s="66">
        <f t="shared" si="13"/>
        <v>3068.8941596036143</v>
      </c>
      <c r="J31" s="66">
        <f t="shared" si="13"/>
        <v>3701.1743017894305</v>
      </c>
      <c r="K31" s="66">
        <f t="shared" si="13"/>
        <v>4339.3777520648227</v>
      </c>
      <c r="L31" s="66">
        <f t="shared" si="13"/>
        <v>4983.3851245330134</v>
      </c>
      <c r="M31" s="66">
        <f t="shared" si="13"/>
        <v>5633.0836906256945</v>
      </c>
      <c r="N31" s="66">
        <f t="shared" si="13"/>
        <v>6288.3774724863397</v>
      </c>
      <c r="O31" s="66">
        <f t="shared" si="13"/>
        <v>6949.188622372576</v>
      </c>
      <c r="P31" s="66">
        <f t="shared" si="13"/>
        <v>7615.458593947561</v>
      </c>
      <c r="Q31" s="66">
        <f t="shared" si="13"/>
        <v>8287.1368905010604</v>
      </c>
      <c r="R31" s="66">
        <f t="shared" si="13"/>
        <v>8964.1733528361838</v>
      </c>
      <c r="S31" s="66">
        <f t="shared" si="13"/>
        <v>9646.5206103544569</v>
      </c>
      <c r="T31" s="66">
        <f t="shared" si="13"/>
        <v>10334.135751279962</v>
      </c>
      <c r="U31" s="66">
        <f t="shared" si="13"/>
        <v>11026.980322659345</v>
      </c>
      <c r="V31" s="66">
        <f t="shared" si="13"/>
        <v>11725.019694911782</v>
      </c>
      <c r="W31" s="66">
        <f t="shared" si="13"/>
        <v>12428.222585574971</v>
      </c>
      <c r="X31" s="66">
        <f t="shared" si="13"/>
        <v>13136.56724793918</v>
      </c>
      <c r="Y31" s="444">
        <f t="shared" si="12"/>
        <v>7526.1620376197106</v>
      </c>
    </row>
    <row r="32" spans="1:29">
      <c r="A32" s="72"/>
      <c r="B32" s="73"/>
      <c r="C32" s="66" t="str">
        <f>C26</f>
        <v>Combi Oven (Wt Average)</v>
      </c>
      <c r="E32" s="66">
        <f>E26</f>
        <v>648.85793512484463</v>
      </c>
      <c r="F32" s="66">
        <f t="shared" ref="F32:X32" si="14">E32+F26</f>
        <v>1304.4901044618659</v>
      </c>
      <c r="G32" s="66">
        <f t="shared" si="14"/>
        <v>1966.9297147145253</v>
      </c>
      <c r="H32" s="66">
        <f t="shared" si="14"/>
        <v>2636.1160052219093</v>
      </c>
      <c r="I32" s="66">
        <f t="shared" si="14"/>
        <v>3311.9501088372554</v>
      </c>
      <c r="J32" s="66">
        <f t="shared" si="14"/>
        <v>3994.3067418201363</v>
      </c>
      <c r="K32" s="66">
        <f t="shared" si="14"/>
        <v>4683.0558079895955</v>
      </c>
      <c r="L32" s="66">
        <f t="shared" si="14"/>
        <v>5378.0684661040459</v>
      </c>
      <c r="M32" s="66">
        <f t="shared" si="14"/>
        <v>6079.2230595097662</v>
      </c>
      <c r="N32" s="66">
        <f t="shared" si="14"/>
        <v>6786.4160089186371</v>
      </c>
      <c r="O32" s="66">
        <f t="shared" si="14"/>
        <v>7499.5633010589672</v>
      </c>
      <c r="P32" s="66">
        <f t="shared" si="14"/>
        <v>8218.6017527329677</v>
      </c>
      <c r="Q32" s="66">
        <f t="shared" si="14"/>
        <v>8943.4768678986584</v>
      </c>
      <c r="R32" s="66">
        <f t="shared" si="14"/>
        <v>9674.134514758407</v>
      </c>
      <c r="S32" s="66">
        <f t="shared" si="14"/>
        <v>10410.523570969566</v>
      </c>
      <c r="T32" s="66">
        <f t="shared" si="14"/>
        <v>11152.597726150116</v>
      </c>
      <c r="U32" s="66">
        <f t="shared" si="14"/>
        <v>11900.315481878659</v>
      </c>
      <c r="V32" s="66">
        <f t="shared" si="14"/>
        <v>12653.639465916856</v>
      </c>
      <c r="W32" s="66">
        <f t="shared" si="14"/>
        <v>13412.535918236164</v>
      </c>
      <c r="X32" s="66">
        <f t="shared" si="14"/>
        <v>14176.981369790754</v>
      </c>
      <c r="Y32" s="444">
        <f t="shared" si="12"/>
        <v>8122.2329227675136</v>
      </c>
    </row>
    <row r="33" spans="1:72">
      <c r="A33" s="72"/>
      <c r="B33" s="73"/>
      <c r="C33" s="66" t="str">
        <f>C27</f>
        <v>Convection Oven (Wt Average)</v>
      </c>
      <c r="E33" s="66">
        <f>E27</f>
        <v>1581.609218990955</v>
      </c>
      <c r="F33" s="66">
        <f t="shared" ref="F33:X33" si="15">E33+F27</f>
        <v>3179.7308218206335</v>
      </c>
      <c r="G33" s="66">
        <f t="shared" si="15"/>
        <v>4794.4457507500192</v>
      </c>
      <c r="H33" s="66">
        <f t="shared" si="15"/>
        <v>6425.6058999823717</v>
      </c>
      <c r="I33" s="66">
        <f t="shared" si="15"/>
        <v>8072.970278104458</v>
      </c>
      <c r="J33" s="66">
        <f t="shared" si="15"/>
        <v>9736.2335025230695</v>
      </c>
      <c r="K33" s="66">
        <f t="shared" si="15"/>
        <v>11415.078460187699</v>
      </c>
      <c r="L33" s="66">
        <f t="shared" si="15"/>
        <v>13109.191096997361</v>
      </c>
      <c r="M33" s="66">
        <f t="shared" si="15"/>
        <v>14818.274871483332</v>
      </c>
      <c r="N33" s="66">
        <f t="shared" si="15"/>
        <v>16542.077306257081</v>
      </c>
      <c r="O33" s="66">
        <f t="shared" si="15"/>
        <v>18280.393616637972</v>
      </c>
      <c r="P33" s="66">
        <f t="shared" si="15"/>
        <v>20033.069791828417</v>
      </c>
      <c r="Q33" s="66">
        <f t="shared" si="15"/>
        <v>21799.972996214132</v>
      </c>
      <c r="R33" s="66">
        <f t="shared" si="15"/>
        <v>23580.971282036542</v>
      </c>
      <c r="S33" s="66">
        <f t="shared" si="15"/>
        <v>25375.940037167089</v>
      </c>
      <c r="T33" s="66">
        <f t="shared" si="15"/>
        <v>27184.766378764743</v>
      </c>
      <c r="U33" s="66">
        <f t="shared" si="15"/>
        <v>29007.349153276013</v>
      </c>
      <c r="V33" s="66">
        <f t="shared" si="15"/>
        <v>30843.597264833072</v>
      </c>
      <c r="W33" s="66">
        <f t="shared" si="15"/>
        <v>32693.428422429697</v>
      </c>
      <c r="X33" s="66">
        <f t="shared" si="15"/>
        <v>34556.785419615546</v>
      </c>
      <c r="Y33" s="444">
        <f t="shared" si="12"/>
        <v>19798.168095099671</v>
      </c>
    </row>
    <row r="34" spans="1:72">
      <c r="A34" s="72"/>
      <c r="B34" s="73"/>
      <c r="E34" s="67"/>
      <c r="F34" s="67"/>
      <c r="G34" s="67"/>
      <c r="H34" s="67"/>
      <c r="I34" s="67"/>
      <c r="J34" s="67"/>
      <c r="K34" s="67"/>
      <c r="L34" s="67"/>
      <c r="M34" s="67"/>
      <c r="N34" s="67"/>
      <c r="O34" s="67"/>
      <c r="P34" s="67"/>
      <c r="Q34" s="67"/>
      <c r="R34" s="67"/>
      <c r="S34" s="67"/>
      <c r="T34" s="67"/>
      <c r="U34" s="67"/>
      <c r="V34" s="67"/>
      <c r="W34" s="67"/>
      <c r="X34" s="67"/>
      <c r="Y34" s="117"/>
    </row>
    <row r="35" spans="1:72" s="63" customFormat="1">
      <c r="A35" s="69" t="s">
        <v>80</v>
      </c>
      <c r="B35" s="69"/>
      <c r="C35" s="69" t="str">
        <f>C22</f>
        <v>Cooking Equipment-NR</v>
      </c>
      <c r="D35" s="69"/>
      <c r="E35" s="71">
        <f>VLOOKUP($C$35,[5]!ACHIEV,MATCH(E$11,$E$11:$X$11,0)+2,FALSE)</f>
        <v>4.2999999999999997E-2</v>
      </c>
      <c r="F35" s="71">
        <f>VLOOKUP($C$35,[5]!ACHIEV,MATCH(F$11,$E$11:$X$11,0)+2,FALSE)</f>
        <v>9.5797142280278316E-2</v>
      </c>
      <c r="G35" s="71">
        <f>VLOOKUP($C$35,[5]!ACHIEV,MATCH(G$11,$E$11:$X$11,0)+2,FALSE)</f>
        <v>0.16040539374775648</v>
      </c>
      <c r="H35" s="71">
        <f>VLOOKUP($C$35,[5]!ACHIEV,MATCH(H$11,$E$11:$X$11,0)+2,FALSE)</f>
        <v>0.23540539374775649</v>
      </c>
      <c r="I35" s="71">
        <f>VLOOKUP($C$35,[5]!ACHIEV,MATCH(I$11,$E$11:$X$11,0)+2,FALSE)</f>
        <v>0.32095239121809005</v>
      </c>
      <c r="J35" s="71">
        <f>VLOOKUP($C$35,[5]!ACHIEV,MATCH(J$11,$E$11:$X$11,0)+2,FALSE)</f>
        <v>0.42096711425629652</v>
      </c>
      <c r="K35" s="71">
        <f>VLOOKUP($C$35,[5]!ACHIEV,MATCH(K$11,$E$11:$X$11,0)+2,FALSE)</f>
        <v>0.53068481860864725</v>
      </c>
      <c r="L35" s="71">
        <f>VLOOKUP($C$35,[5]!ACHIEV,MATCH(L$11,$E$11:$X$11,0)+2,FALSE)</f>
        <v>0.642769203728351</v>
      </c>
      <c r="M35" s="71">
        <f>VLOOKUP($C$35,[5]!ACHIEV,MATCH(M$11,$E$11:$X$11,0)+2,FALSE)</f>
        <v>0.74839528535557953</v>
      </c>
      <c r="N35" s="71">
        <f>VLOOKUP($C$35,[5]!ACHIEV,MATCH(N$11,$E$11:$X$11,0)+2,FALSE)</f>
        <v>0.83918984935345187</v>
      </c>
      <c r="O35" s="71">
        <f>VLOOKUP($C$35,[5]!ACHIEV,MATCH(O$11,$E$11:$X$11,0)+2,FALSE)</f>
        <v>0.90945051634530116</v>
      </c>
      <c r="P35" s="71">
        <f>VLOOKUP($C$35,[5]!ACHIEV,MATCH(P$11,$E$11:$X$11,0)+2,FALSE)</f>
        <v>0.9576688767502457</v>
      </c>
      <c r="Q35" s="71">
        <f>VLOOKUP($C$35,[5]!ACHIEV,MATCH(Q$11,$E$11:$X$11,0)+2,FALSE)</f>
        <v>0.9865231113648858</v>
      </c>
      <c r="R35" s="71">
        <f>VLOOKUP($C$35,[5]!ACHIEV,MATCH(R$11,$E$11:$X$11,0)+2,FALSE)</f>
        <v>1.0012970762896924</v>
      </c>
      <c r="S35" s="71">
        <f>VLOOKUP($C$35,[5]!ACHIEV,MATCH(S$11,$E$11:$X$11,0)+2,FALSE)</f>
        <v>1.0076356106578106</v>
      </c>
      <c r="T35" s="71">
        <f>VLOOKUP($C$35,[5]!ACHIEV,MATCH(T$11,$E$11:$X$11,0)+2,FALSE)</f>
        <v>1.0098624683774413</v>
      </c>
      <c r="U35" s="71">
        <f>VLOOKUP($C$35,[5]!ACHIEV,MATCH(U$11,$E$11:$X$11,0)+2,FALSE)</f>
        <v>1.0104871783970797</v>
      </c>
      <c r="V35" s="71">
        <f>VLOOKUP($C$35,[5]!ACHIEV,MATCH(V$11,$E$11:$X$11,0)+2,FALSE)</f>
        <v>1.010623336815976</v>
      </c>
      <c r="W35" s="71">
        <f>VLOOKUP($C$35,[5]!ACHIEV,MATCH(W$11,$E$11:$X$11,0)+2,FALSE)</f>
        <v>1.0106457174525985</v>
      </c>
      <c r="X35" s="71">
        <f>VLOOKUP($C$35,[5]!ACHIEV,MATCH(X$11,$E$11:$X$11,0)+2,FALSE)</f>
        <v>1.0106484038909742</v>
      </c>
      <c r="Y35" s="151"/>
    </row>
    <row r="36" spans="1:72" s="63" customFormat="1">
      <c r="C36" s="63" t="str">
        <f>C14</f>
        <v>Fryers</v>
      </c>
      <c r="E36" s="150">
        <f>E23*E$35*$Y$28</f>
        <v>24.474786720000676</v>
      </c>
      <c r="F36" s="150">
        <f t="shared" ref="F36:X40" si="16">F23*F$35*$Y$28</f>
        <v>55.095185372885872</v>
      </c>
      <c r="G36" s="150">
        <f t="shared" si="16"/>
        <v>93.210771118101746</v>
      </c>
      <c r="H36" s="150">
        <f t="shared" si="16"/>
        <v>138.18607604491251</v>
      </c>
      <c r="I36" s="150">
        <f t="shared" si="16"/>
        <v>190.27492483075252</v>
      </c>
      <c r="J36" s="150">
        <f t="shared" si="16"/>
        <v>251.97672559917908</v>
      </c>
      <c r="K36" s="150">
        <f t="shared" si="16"/>
        <v>320.62584505210185</v>
      </c>
      <c r="L36" s="150">
        <f t="shared" si="16"/>
        <v>391.87595387541188</v>
      </c>
      <c r="M36" s="150">
        <f t="shared" si="16"/>
        <v>460.30497273013668</v>
      </c>
      <c r="N36" s="150">
        <f t="shared" si="16"/>
        <v>520.59379148089045</v>
      </c>
      <c r="O36" s="150">
        <f t="shared" si="16"/>
        <v>568.93041475499945</v>
      </c>
      <c r="P36" s="150">
        <f t="shared" si="16"/>
        <v>604.04365850528688</v>
      </c>
      <c r="Q36" s="150">
        <f t="shared" si="16"/>
        <v>627.29423304055581</v>
      </c>
      <c r="R36" s="150">
        <f t="shared" si="16"/>
        <v>641.76750307045745</v>
      </c>
      <c r="S36" s="150">
        <f t="shared" si="16"/>
        <v>650.89610583180649</v>
      </c>
      <c r="T36" s="150">
        <f t="shared" si="16"/>
        <v>657.37075360649783</v>
      </c>
      <c r="U36" s="150">
        <f t="shared" si="16"/>
        <v>662.77991848902946</v>
      </c>
      <c r="V36" s="150">
        <f t="shared" si="16"/>
        <v>667.83927709857073</v>
      </c>
      <c r="W36" s="150">
        <f t="shared" si="16"/>
        <v>672.79429911763714</v>
      </c>
      <c r="X36" s="150">
        <f t="shared" si="16"/>
        <v>677.71552672416703</v>
      </c>
      <c r="Y36" s="151"/>
    </row>
    <row r="37" spans="1:72" s="63" customFormat="1">
      <c r="A37" s="63" t="s">
        <v>1198</v>
      </c>
      <c r="C37" s="63" t="str">
        <f>C15</f>
        <v>HFHC (Wt Average Size)</v>
      </c>
      <c r="E37" s="150">
        <f t="shared" ref="E37:E40" si="17">E24*E$35*$Y$28</f>
        <v>86.817906545412711</v>
      </c>
      <c r="F37" s="150">
        <f t="shared" ref="F37:T37" si="18">F24*F$35*$Y$28</f>
        <v>195.43576454934123</v>
      </c>
      <c r="G37" s="150">
        <f t="shared" si="18"/>
        <v>330.64083902084315</v>
      </c>
      <c r="H37" s="150">
        <f t="shared" si="18"/>
        <v>490.17897370033455</v>
      </c>
      <c r="I37" s="150">
        <f t="shared" si="18"/>
        <v>674.95054526429169</v>
      </c>
      <c r="J37" s="150">
        <f t="shared" si="18"/>
        <v>893.8215505188283</v>
      </c>
      <c r="K37" s="150">
        <f t="shared" si="18"/>
        <v>1137.3363523135367</v>
      </c>
      <c r="L37" s="150">
        <f t="shared" si="18"/>
        <v>1390.077483827366</v>
      </c>
      <c r="M37" s="150">
        <f t="shared" si="18"/>
        <v>1632.8115362989627</v>
      </c>
      <c r="N37" s="150">
        <f t="shared" si="18"/>
        <v>1846.6703572936694</v>
      </c>
      <c r="O37" s="150">
        <f t="shared" si="18"/>
        <v>2018.1318899371013</v>
      </c>
      <c r="P37" s="150">
        <f t="shared" si="18"/>
        <v>2142.6869411943026</v>
      </c>
      <c r="Q37" s="150">
        <f t="shared" si="18"/>
        <v>2225.1622751052037</v>
      </c>
      <c r="R37" s="150">
        <f t="shared" si="18"/>
        <v>2276.5024162569002</v>
      </c>
      <c r="S37" s="150">
        <f t="shared" si="18"/>
        <v>2308.8837477263737</v>
      </c>
      <c r="T37" s="150">
        <f t="shared" si="18"/>
        <v>2331.8508678017552</v>
      </c>
      <c r="U37" s="150">
        <f t="shared" si="16"/>
        <v>2351.0384659055862</v>
      </c>
      <c r="V37" s="150">
        <f t="shared" si="16"/>
        <v>2368.9852177187063</v>
      </c>
      <c r="W37" s="150">
        <f t="shared" si="16"/>
        <v>2386.5618627576687</v>
      </c>
      <c r="X37" s="150">
        <f t="shared" si="16"/>
        <v>2404.0186309542742</v>
      </c>
      <c r="Y37" s="150"/>
    </row>
    <row r="38" spans="1:72" s="63" customFormat="1">
      <c r="A38" s="154"/>
      <c r="C38" s="63" t="str">
        <f>C16</f>
        <v>Steamer (Wt Average Size)</v>
      </c>
      <c r="E38" s="150">
        <f t="shared" si="17"/>
        <v>21.975315864978878</v>
      </c>
      <c r="F38" s="150">
        <f t="shared" si="16"/>
        <v>49.46862724729386</v>
      </c>
      <c r="G38" s="150">
        <f t="shared" si="16"/>
        <v>83.691684866232009</v>
      </c>
      <c r="H38" s="150">
        <f t="shared" si="16"/>
        <v>124.07391753683316</v>
      </c>
      <c r="I38" s="150">
        <f t="shared" si="16"/>
        <v>170.8432282649442</v>
      </c>
      <c r="J38" s="150">
        <f t="shared" si="16"/>
        <v>226.24377482889537</v>
      </c>
      <c r="K38" s="150">
        <f t="shared" si="16"/>
        <v>287.88214990808791</v>
      </c>
      <c r="L38" s="150">
        <f t="shared" si="16"/>
        <v>351.85589009708167</v>
      </c>
      <c r="M38" s="150">
        <f t="shared" si="16"/>
        <v>413.29664220113642</v>
      </c>
      <c r="N38" s="150">
        <f t="shared" si="16"/>
        <v>467.42850656960502</v>
      </c>
      <c r="O38" s="150">
        <f t="shared" si="16"/>
        <v>510.82878525015423</v>
      </c>
      <c r="P38" s="150">
        <f t="shared" si="16"/>
        <v>542.35611299703896</v>
      </c>
      <c r="Q38" s="150">
        <f t="shared" si="16"/>
        <v>563.23223850939064</v>
      </c>
      <c r="R38" s="150">
        <f t="shared" si="16"/>
        <v>576.22743573602497</v>
      </c>
      <c r="S38" s="150">
        <f t="shared" si="16"/>
        <v>584.42378618359112</v>
      </c>
      <c r="T38" s="150">
        <f t="shared" si="16"/>
        <v>590.23721498242321</v>
      </c>
      <c r="U38" s="150">
        <f t="shared" si="16"/>
        <v>595.093972600754</v>
      </c>
      <c r="V38" s="150">
        <f t="shared" si="16"/>
        <v>599.63664767248451</v>
      </c>
      <c r="W38" s="150">
        <f t="shared" si="16"/>
        <v>604.08564145668493</v>
      </c>
      <c r="X38" s="150">
        <f t="shared" si="16"/>
        <v>608.5042920596162</v>
      </c>
      <c r="Y38" s="150"/>
    </row>
    <row r="39" spans="1:72" s="63" customFormat="1">
      <c r="A39" s="341"/>
      <c r="C39" s="63" t="str">
        <f>C17</f>
        <v>Combi Oven (Wt Average)</v>
      </c>
      <c r="E39" s="150">
        <f t="shared" si="17"/>
        <v>23.715757528813068</v>
      </c>
      <c r="F39" s="150">
        <f t="shared" si="16"/>
        <v>53.386534978080228</v>
      </c>
      <c r="G39" s="150">
        <f t="shared" si="16"/>
        <v>90.32005353918494</v>
      </c>
      <c r="H39" s="150">
        <f t="shared" si="16"/>
        <v>133.90055287636756</v>
      </c>
      <c r="I39" s="150">
        <f t="shared" si="16"/>
        <v>184.37398587876785</v>
      </c>
      <c r="J39" s="150">
        <f t="shared" si="16"/>
        <v>244.16224727837917</v>
      </c>
      <c r="K39" s="150">
        <f t="shared" si="16"/>
        <v>310.68237225996251</v>
      </c>
      <c r="L39" s="150">
        <f t="shared" si="16"/>
        <v>379.72282291174736</v>
      </c>
      <c r="M39" s="150">
        <f t="shared" si="16"/>
        <v>446.02967320871227</v>
      </c>
      <c r="N39" s="150">
        <f t="shared" si="16"/>
        <v>504.44877297651578</v>
      </c>
      <c r="O39" s="150">
        <f t="shared" si="16"/>
        <v>551.28634710718518</v>
      </c>
      <c r="P39" s="150">
        <f t="shared" si="16"/>
        <v>585.31063440164485</v>
      </c>
      <c r="Q39" s="150">
        <f t="shared" si="16"/>
        <v>607.84014586960075</v>
      </c>
      <c r="R39" s="150">
        <f t="shared" si="16"/>
        <v>621.86456073396766</v>
      </c>
      <c r="S39" s="150">
        <f t="shared" si="16"/>
        <v>630.71006088650188</v>
      </c>
      <c r="T39" s="150">
        <f t="shared" si="16"/>
        <v>636.9839123592734</v>
      </c>
      <c r="U39" s="150">
        <f t="shared" si="16"/>
        <v>642.22532444000308</v>
      </c>
      <c r="V39" s="150">
        <f t="shared" si="16"/>
        <v>647.12777868435978</v>
      </c>
      <c r="W39" s="150">
        <f t="shared" si="16"/>
        <v>651.92913209750623</v>
      </c>
      <c r="X39" s="150">
        <f t="shared" si="16"/>
        <v>656.69773915405688</v>
      </c>
      <c r="Y39" s="150"/>
    </row>
    <row r="40" spans="1:72" s="63" customFormat="1">
      <c r="A40" s="341"/>
      <c r="C40" s="63" t="str">
        <f>C18</f>
        <v>Convection Oven (Wt Average)</v>
      </c>
      <c r="E40" s="150">
        <f t="shared" si="17"/>
        <v>57.807816954119403</v>
      </c>
      <c r="F40" s="150">
        <f t="shared" si="16"/>
        <v>130.13116018234194</v>
      </c>
      <c r="G40" s="150">
        <f t="shared" si="16"/>
        <v>220.15763637050392</v>
      </c>
      <c r="H40" s="150">
        <f t="shared" si="16"/>
        <v>326.38631261633748</v>
      </c>
      <c r="I40" s="150">
        <f t="shared" si="16"/>
        <v>449.41670591091747</v>
      </c>
      <c r="J40" s="150">
        <f t="shared" si="16"/>
        <v>595.15225185730708</v>
      </c>
      <c r="K40" s="150">
        <f t="shared" si="16"/>
        <v>757.29690205575139</v>
      </c>
      <c r="L40" s="150">
        <f t="shared" si="16"/>
        <v>925.58491600004152</v>
      </c>
      <c r="M40" s="150">
        <f t="shared" si="16"/>
        <v>1087.2097032375666</v>
      </c>
      <c r="N40" s="150">
        <f t="shared" si="16"/>
        <v>1229.6078797199621</v>
      </c>
      <c r="O40" s="150">
        <f t="shared" si="16"/>
        <v>1343.7757661402547</v>
      </c>
      <c r="P40" s="150">
        <f t="shared" si="16"/>
        <v>1426.7109104013175</v>
      </c>
      <c r="Q40" s="150">
        <f t="shared" si="16"/>
        <v>1481.6272196705038</v>
      </c>
      <c r="R40" s="150">
        <f t="shared" si="16"/>
        <v>1515.812120000294</v>
      </c>
      <c r="S40" s="150">
        <f t="shared" si="16"/>
        <v>1537.3732720345097</v>
      </c>
      <c r="T40" s="150">
        <f t="shared" si="16"/>
        <v>1552.6659590631525</v>
      </c>
      <c r="U40" s="150">
        <f t="shared" si="16"/>
        <v>1565.442046429361</v>
      </c>
      <c r="V40" s="150">
        <f t="shared" si="16"/>
        <v>1577.3919146652545</v>
      </c>
      <c r="W40" s="150">
        <f t="shared" si="16"/>
        <v>1589.0953468200989</v>
      </c>
      <c r="X40" s="150">
        <f t="shared" si="16"/>
        <v>1600.7189588222154</v>
      </c>
      <c r="Y40" s="150"/>
    </row>
    <row r="41" spans="1:72" s="63" customFormat="1">
      <c r="A41" s="341"/>
      <c r="C41" s="150"/>
      <c r="D41" s="150"/>
      <c r="E41" s="150"/>
      <c r="F41" s="150"/>
      <c r="G41" s="150"/>
      <c r="H41" s="150"/>
      <c r="I41" s="150"/>
      <c r="J41" s="150"/>
      <c r="K41" s="150"/>
      <c r="L41" s="150"/>
      <c r="M41" s="150"/>
      <c r="N41" s="150"/>
      <c r="O41" s="150"/>
      <c r="P41" s="150"/>
      <c r="Q41" s="150"/>
      <c r="R41" s="150"/>
      <c r="S41" s="150"/>
      <c r="T41" s="150"/>
      <c r="U41" s="150"/>
      <c r="V41" s="150"/>
      <c r="W41" s="150"/>
      <c r="X41" s="150"/>
      <c r="Y41" s="150"/>
    </row>
    <row r="42" spans="1:72" s="63" customFormat="1">
      <c r="A42" s="341"/>
      <c r="C42" s="150" t="str">
        <f>C14</f>
        <v>Fryers</v>
      </c>
      <c r="D42" s="150"/>
      <c r="E42" s="150">
        <f>E36</f>
        <v>24.474786720000676</v>
      </c>
      <c r="F42" s="150">
        <f>E42+F36</f>
        <v>79.569972092886545</v>
      </c>
      <c r="G42" s="150">
        <f t="shared" ref="G42:X42" si="19">F42+G36</f>
        <v>172.78074321098831</v>
      </c>
      <c r="H42" s="150">
        <f t="shared" si="19"/>
        <v>310.96681925590082</v>
      </c>
      <c r="I42" s="150">
        <f t="shared" si="19"/>
        <v>501.24174408665334</v>
      </c>
      <c r="J42" s="150">
        <f t="shared" si="19"/>
        <v>753.21846968583236</v>
      </c>
      <c r="K42" s="150">
        <f t="shared" si="19"/>
        <v>1073.8443147379342</v>
      </c>
      <c r="L42" s="150">
        <f t="shared" si="19"/>
        <v>1465.720268613346</v>
      </c>
      <c r="M42" s="150">
        <f t="shared" si="19"/>
        <v>1926.0252413434828</v>
      </c>
      <c r="N42" s="150">
        <f t="shared" si="19"/>
        <v>2446.6190328243733</v>
      </c>
      <c r="O42" s="150">
        <f t="shared" si="19"/>
        <v>3015.549447579373</v>
      </c>
      <c r="P42" s="150">
        <f t="shared" si="19"/>
        <v>3619.5931060846597</v>
      </c>
      <c r="Q42" s="150">
        <f t="shared" si="19"/>
        <v>4246.8873391252155</v>
      </c>
      <c r="R42" s="150">
        <f t="shared" si="19"/>
        <v>4888.6548421956732</v>
      </c>
      <c r="S42" s="150">
        <f t="shared" si="19"/>
        <v>5539.5509480274795</v>
      </c>
      <c r="T42" s="150">
        <f t="shared" si="19"/>
        <v>6196.9217016339771</v>
      </c>
      <c r="U42" s="150">
        <f t="shared" si="19"/>
        <v>6859.7016201230063</v>
      </c>
      <c r="V42" s="150">
        <f t="shared" si="19"/>
        <v>7527.5408972215773</v>
      </c>
      <c r="W42" s="150">
        <f t="shared" si="19"/>
        <v>8200.3351963392142</v>
      </c>
      <c r="X42" s="150">
        <f t="shared" si="19"/>
        <v>8878.0507230633812</v>
      </c>
      <c r="Y42" s="150"/>
    </row>
    <row r="43" spans="1:72" s="63" customFormat="1">
      <c r="A43" s="341"/>
      <c r="C43" s="150" t="str">
        <f>C15</f>
        <v>HFHC (Wt Average Size)</v>
      </c>
      <c r="D43" s="150"/>
      <c r="E43" s="150">
        <f>E37</f>
        <v>86.817906545412711</v>
      </c>
      <c r="F43" s="150">
        <f>E43+F37</f>
        <v>282.25367109475394</v>
      </c>
      <c r="G43" s="150">
        <f t="shared" ref="G43:X43" si="20">F43+G37</f>
        <v>612.89451011559709</v>
      </c>
      <c r="H43" s="150">
        <f t="shared" si="20"/>
        <v>1103.0734838159317</v>
      </c>
      <c r="I43" s="150">
        <f t="shared" si="20"/>
        <v>1778.0240290802235</v>
      </c>
      <c r="J43" s="150">
        <f t="shared" si="20"/>
        <v>2671.8455795990517</v>
      </c>
      <c r="K43" s="150">
        <f t="shared" si="20"/>
        <v>3809.1819319125884</v>
      </c>
      <c r="L43" s="150">
        <f t="shared" si="20"/>
        <v>5199.2594157399544</v>
      </c>
      <c r="M43" s="150">
        <f t="shared" si="20"/>
        <v>6832.0709520389173</v>
      </c>
      <c r="N43" s="150">
        <f t="shared" si="20"/>
        <v>8678.7413093325868</v>
      </c>
      <c r="O43" s="150">
        <f>N43+O37</f>
        <v>10696.873199269688</v>
      </c>
      <c r="P43" s="150">
        <f t="shared" si="20"/>
        <v>12839.560140463991</v>
      </c>
      <c r="Q43" s="150">
        <f t="shared" si="20"/>
        <v>15064.722415569195</v>
      </c>
      <c r="R43" s="150">
        <f t="shared" si="20"/>
        <v>17341.224831826094</v>
      </c>
      <c r="S43" s="150">
        <f t="shared" si="20"/>
        <v>19650.108579552467</v>
      </c>
      <c r="T43" s="150">
        <f t="shared" si="20"/>
        <v>21981.959447354224</v>
      </c>
      <c r="U43" s="150">
        <f t="shared" si="20"/>
        <v>24332.997913259809</v>
      </c>
      <c r="V43" s="150">
        <f t="shared" si="20"/>
        <v>26701.983130978515</v>
      </c>
      <c r="W43" s="150">
        <f t="shared" si="20"/>
        <v>29088.544993736185</v>
      </c>
      <c r="X43" s="150">
        <f t="shared" si="20"/>
        <v>31492.563624690458</v>
      </c>
      <c r="Y43" s="150"/>
    </row>
    <row r="44" spans="1:72" s="63" customFormat="1">
      <c r="C44" s="150" t="str">
        <f>C16</f>
        <v>Steamer (Wt Average Size)</v>
      </c>
      <c r="D44" s="150"/>
      <c r="E44" s="150">
        <f>E38</f>
        <v>21.975315864978878</v>
      </c>
      <c r="F44" s="150">
        <f>E44+F38</f>
        <v>71.443943112272734</v>
      </c>
      <c r="G44" s="150">
        <f t="shared" ref="G44:X44" si="21">F44+G38</f>
        <v>155.13562797850474</v>
      </c>
      <c r="H44" s="150">
        <f t="shared" si="21"/>
        <v>279.20954551533794</v>
      </c>
      <c r="I44" s="150">
        <f t="shared" si="21"/>
        <v>450.05277378028211</v>
      </c>
      <c r="J44" s="150">
        <f t="shared" si="21"/>
        <v>676.29654860917753</v>
      </c>
      <c r="K44" s="150">
        <f t="shared" si="21"/>
        <v>964.1786985172655</v>
      </c>
      <c r="L44" s="150">
        <f t="shared" si="21"/>
        <v>1316.0345886143473</v>
      </c>
      <c r="M44" s="150">
        <f t="shared" si="21"/>
        <v>1729.3312308154837</v>
      </c>
      <c r="N44" s="150">
        <f t="shared" si="21"/>
        <v>2196.7597373850886</v>
      </c>
      <c r="O44" s="150">
        <f t="shared" si="21"/>
        <v>2707.588522635243</v>
      </c>
      <c r="P44" s="150">
        <f t="shared" si="21"/>
        <v>3249.9446356322819</v>
      </c>
      <c r="Q44" s="150">
        <f t="shared" si="21"/>
        <v>3813.1768741416727</v>
      </c>
      <c r="R44" s="150">
        <f t="shared" si="21"/>
        <v>4389.4043098776974</v>
      </c>
      <c r="S44" s="150">
        <f t="shared" si="21"/>
        <v>4973.8280960612883</v>
      </c>
      <c r="T44" s="150">
        <f t="shared" si="21"/>
        <v>5564.0653110437115</v>
      </c>
      <c r="U44" s="150">
        <f t="shared" si="21"/>
        <v>6159.1592836444652</v>
      </c>
      <c r="V44" s="150">
        <f t="shared" si="21"/>
        <v>6758.7959313169495</v>
      </c>
      <c r="W44" s="150">
        <f t="shared" si="21"/>
        <v>7362.8815727736346</v>
      </c>
      <c r="X44" s="150">
        <f t="shared" si="21"/>
        <v>7971.3858648332507</v>
      </c>
      <c r="Y44" s="150"/>
    </row>
    <row r="45" spans="1:72" s="63" customFormat="1">
      <c r="C45" s="150" t="str">
        <f>C17</f>
        <v>Combi Oven (Wt Average)</v>
      </c>
      <c r="D45" s="150"/>
      <c r="E45" s="150">
        <f>E39</f>
        <v>23.715757528813068</v>
      </c>
      <c r="F45" s="150">
        <f>E45+F39</f>
        <v>77.102292506893292</v>
      </c>
      <c r="G45" s="150">
        <f t="shared" ref="G45:X45" si="22">F45+G39</f>
        <v>167.42234604607825</v>
      </c>
      <c r="H45" s="150">
        <f t="shared" si="22"/>
        <v>301.3228989224458</v>
      </c>
      <c r="I45" s="150">
        <f t="shared" si="22"/>
        <v>485.69688480121363</v>
      </c>
      <c r="J45" s="150">
        <f t="shared" si="22"/>
        <v>729.85913207959277</v>
      </c>
      <c r="K45" s="150">
        <f t="shared" si="22"/>
        <v>1040.5415043395553</v>
      </c>
      <c r="L45" s="150">
        <f t="shared" si="22"/>
        <v>1420.2643272513028</v>
      </c>
      <c r="M45" s="150">
        <f t="shared" si="22"/>
        <v>1866.294000460015</v>
      </c>
      <c r="N45" s="150">
        <f t="shared" si="22"/>
        <v>2370.742773436531</v>
      </c>
      <c r="O45" s="150">
        <f t="shared" si="22"/>
        <v>2922.0291205437161</v>
      </c>
      <c r="P45" s="150">
        <f t="shared" si="22"/>
        <v>3507.3397549453612</v>
      </c>
      <c r="Q45" s="150">
        <f t="shared" si="22"/>
        <v>4115.1799008149619</v>
      </c>
      <c r="R45" s="150">
        <f t="shared" si="22"/>
        <v>4737.0444615489296</v>
      </c>
      <c r="S45" s="150">
        <f t="shared" si="22"/>
        <v>5367.7545224354317</v>
      </c>
      <c r="T45" s="150">
        <f t="shared" si="22"/>
        <v>6004.7384347947054</v>
      </c>
      <c r="U45" s="150">
        <f t="shared" si="22"/>
        <v>6646.963759234708</v>
      </c>
      <c r="V45" s="150">
        <f t="shared" si="22"/>
        <v>7294.0915379190683</v>
      </c>
      <c r="W45" s="150">
        <f t="shared" si="22"/>
        <v>7946.0206700165745</v>
      </c>
      <c r="X45" s="150">
        <f t="shared" si="22"/>
        <v>8602.7184091706313</v>
      </c>
      <c r="Y45" s="150"/>
    </row>
    <row r="46" spans="1:72" s="63" customFormat="1">
      <c r="C46" s="150" t="str">
        <f>C18</f>
        <v>Convection Oven (Wt Average)</v>
      </c>
      <c r="D46" s="150"/>
      <c r="E46" s="150">
        <f>E40</f>
        <v>57.807816954119403</v>
      </c>
      <c r="F46" s="150">
        <f>E46+F40</f>
        <v>187.93897713646135</v>
      </c>
      <c r="G46" s="150">
        <f t="shared" ref="G46:X46" si="23">F46+G40</f>
        <v>408.09661350696524</v>
      </c>
      <c r="H46" s="150">
        <f t="shared" si="23"/>
        <v>734.48292612330272</v>
      </c>
      <c r="I46" s="150">
        <f t="shared" si="23"/>
        <v>1183.8996320342203</v>
      </c>
      <c r="J46" s="150">
        <f t="shared" si="23"/>
        <v>1779.0518838915273</v>
      </c>
      <c r="K46" s="150">
        <f t="shared" si="23"/>
        <v>2536.3487859472789</v>
      </c>
      <c r="L46" s="150">
        <f t="shared" si="23"/>
        <v>3461.9337019473205</v>
      </c>
      <c r="M46" s="150">
        <f t="shared" si="23"/>
        <v>4549.1434051848873</v>
      </c>
      <c r="N46" s="150">
        <f t="shared" si="23"/>
        <v>5778.7512849048489</v>
      </c>
      <c r="O46" s="150">
        <f t="shared" si="23"/>
        <v>7122.5270510451037</v>
      </c>
      <c r="P46" s="150">
        <f t="shared" si="23"/>
        <v>8549.2379614464207</v>
      </c>
      <c r="Q46" s="150">
        <f t="shared" si="23"/>
        <v>10030.865181116924</v>
      </c>
      <c r="R46" s="150">
        <f t="shared" si="23"/>
        <v>11546.677301117217</v>
      </c>
      <c r="S46" s="150">
        <f t="shared" si="23"/>
        <v>13084.050573151726</v>
      </c>
      <c r="T46" s="150">
        <f t="shared" si="23"/>
        <v>14636.716532214879</v>
      </c>
      <c r="U46" s="150">
        <f t="shared" si="23"/>
        <v>16202.158578644241</v>
      </c>
      <c r="V46" s="150">
        <f t="shared" si="23"/>
        <v>17779.550493309496</v>
      </c>
      <c r="W46" s="150">
        <f t="shared" si="23"/>
        <v>19368.645840129597</v>
      </c>
      <c r="X46" s="150">
        <f t="shared" si="23"/>
        <v>20969.364798951814</v>
      </c>
      <c r="Y46" s="150"/>
    </row>
    <row r="47" spans="1:72" s="63" customFormat="1">
      <c r="D47" s="150"/>
      <c r="X47" s="150">
        <f>SUM(X42:X46)</f>
        <v>77914.083420709532</v>
      </c>
    </row>
    <row r="48" spans="1:72">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row>
    <row r="49" spans="1:80" ht="15">
      <c r="A49" s="118" t="s">
        <v>81</v>
      </c>
      <c r="C49" s="119" t="str">
        <f>C8</f>
        <v>Cooking Equipment-NR</v>
      </c>
      <c r="D49" s="119"/>
      <c r="E49" s="25" t="s">
        <v>289</v>
      </c>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row>
    <row r="50" spans="1:80" ht="15">
      <c r="A50" s="119"/>
      <c r="B50" s="119"/>
      <c r="C50" s="119">
        <v>1</v>
      </c>
      <c r="D50" s="119"/>
      <c r="E50" s="120">
        <f>E11</f>
        <v>2016</v>
      </c>
      <c r="F50" s="120">
        <f t="shared" ref="F50:X50" si="24">F11</f>
        <v>2017</v>
      </c>
      <c r="G50" s="120">
        <f t="shared" si="24"/>
        <v>2018</v>
      </c>
      <c r="H50" s="120">
        <f t="shared" si="24"/>
        <v>2019</v>
      </c>
      <c r="I50" s="120">
        <f t="shared" si="24"/>
        <v>2020</v>
      </c>
      <c r="J50" s="120">
        <f t="shared" si="24"/>
        <v>2021</v>
      </c>
      <c r="K50" s="120">
        <f t="shared" si="24"/>
        <v>2022</v>
      </c>
      <c r="L50" s="120">
        <f t="shared" si="24"/>
        <v>2023</v>
      </c>
      <c r="M50" s="120">
        <f t="shared" si="24"/>
        <v>2024</v>
      </c>
      <c r="N50" s="120">
        <f t="shared" si="24"/>
        <v>2025</v>
      </c>
      <c r="O50" s="120">
        <f t="shared" si="24"/>
        <v>2026</v>
      </c>
      <c r="P50" s="120">
        <f t="shared" si="24"/>
        <v>2027</v>
      </c>
      <c r="Q50" s="120">
        <f t="shared" si="24"/>
        <v>2028</v>
      </c>
      <c r="R50" s="120">
        <f t="shared" si="24"/>
        <v>2029</v>
      </c>
      <c r="S50" s="120">
        <f t="shared" si="24"/>
        <v>2030</v>
      </c>
      <c r="T50" s="120">
        <f t="shared" si="24"/>
        <v>2031</v>
      </c>
      <c r="U50" s="120">
        <f t="shared" si="24"/>
        <v>2032</v>
      </c>
      <c r="V50" s="120">
        <f t="shared" si="24"/>
        <v>2033</v>
      </c>
      <c r="W50" s="120">
        <f t="shared" si="24"/>
        <v>2034</v>
      </c>
      <c r="X50" s="120">
        <f t="shared" si="24"/>
        <v>2035</v>
      </c>
      <c r="Y50" s="447" t="s">
        <v>1115</v>
      </c>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row>
    <row r="51" spans="1:80" ht="15">
      <c r="A51" s="119" t="s">
        <v>341</v>
      </c>
      <c r="B51" s="119" t="s">
        <v>291</v>
      </c>
      <c r="C51" s="119" t="s">
        <v>292</v>
      </c>
      <c r="D51" s="119" t="s">
        <v>293</v>
      </c>
      <c r="E51" s="121" t="str">
        <f>CONCATENATE("aMW_",E$11)</f>
        <v>aMW_2016</v>
      </c>
      <c r="F51" s="121" t="str">
        <f t="shared" ref="F51:X51" si="25">CONCATENATE("aMW_",F$11)</f>
        <v>aMW_2017</v>
      </c>
      <c r="G51" s="121" t="str">
        <f t="shared" si="25"/>
        <v>aMW_2018</v>
      </c>
      <c r="H51" s="121" t="str">
        <f t="shared" si="25"/>
        <v>aMW_2019</v>
      </c>
      <c r="I51" s="121" t="str">
        <f t="shared" si="25"/>
        <v>aMW_2020</v>
      </c>
      <c r="J51" s="121" t="str">
        <f t="shared" si="25"/>
        <v>aMW_2021</v>
      </c>
      <c r="K51" s="121" t="str">
        <f t="shared" si="25"/>
        <v>aMW_2022</v>
      </c>
      <c r="L51" s="121" t="str">
        <f t="shared" si="25"/>
        <v>aMW_2023</v>
      </c>
      <c r="M51" s="121" t="str">
        <f t="shared" si="25"/>
        <v>aMW_2024</v>
      </c>
      <c r="N51" s="121" t="str">
        <f t="shared" si="25"/>
        <v>aMW_2025</v>
      </c>
      <c r="O51" s="121" t="str">
        <f t="shared" si="25"/>
        <v>aMW_2026</v>
      </c>
      <c r="P51" s="121" t="str">
        <f t="shared" si="25"/>
        <v>aMW_2027</v>
      </c>
      <c r="Q51" s="121" t="str">
        <f t="shared" si="25"/>
        <v>aMW_2028</v>
      </c>
      <c r="R51" s="121" t="str">
        <f t="shared" si="25"/>
        <v>aMW_2029</v>
      </c>
      <c r="S51" s="121" t="str">
        <f t="shared" si="25"/>
        <v>aMW_2030</v>
      </c>
      <c r="T51" s="121" t="str">
        <f t="shared" si="25"/>
        <v>aMW_2031</v>
      </c>
      <c r="U51" s="121" t="str">
        <f t="shared" si="25"/>
        <v>aMW_2032</v>
      </c>
      <c r="V51" s="121" t="str">
        <f t="shared" si="25"/>
        <v>aMW_2033</v>
      </c>
      <c r="W51" s="121" t="str">
        <f t="shared" si="25"/>
        <v>aMW_2034</v>
      </c>
      <c r="X51" s="121" t="str">
        <f t="shared" si="25"/>
        <v>aMW_2035</v>
      </c>
      <c r="Y51" s="447" t="s">
        <v>1115</v>
      </c>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row>
    <row r="52" spans="1:80">
      <c r="A52" s="122">
        <f>VLOOKUP($D52,MeasureOutput,3,FALSE)</f>
        <v>2632.1775809500482</v>
      </c>
      <c r="B52" s="122">
        <f>VLOOKUP($D52,MeasureOutput,11,FALSE)</f>
        <v>42.613319516920477</v>
      </c>
      <c r="C52" s="25" t="s">
        <v>339</v>
      </c>
      <c r="D52" s="25" t="str">
        <f>C36</f>
        <v>Fryers</v>
      </c>
      <c r="E52" s="486">
        <f>E36*$A52/8760000</f>
        <v>7.3541078656301079E-3</v>
      </c>
      <c r="F52" s="263">
        <f t="shared" ref="F52:X56" si="26">F36*$A52/8760000</f>
        <v>1.6554830109223428E-2</v>
      </c>
      <c r="G52" s="263">
        <f t="shared" si="26"/>
        <v>2.8007682881293801E-2</v>
      </c>
      <c r="H52" s="263">
        <f t="shared" si="26"/>
        <v>4.1521722758547625E-2</v>
      </c>
      <c r="I52" s="263">
        <f t="shared" si="26"/>
        <v>5.7173218191376989E-2</v>
      </c>
      <c r="J52" s="263">
        <f t="shared" si="26"/>
        <v>7.5713183566593747E-2</v>
      </c>
      <c r="K52" s="263">
        <f t="shared" si="26"/>
        <v>9.6340657673436803E-2</v>
      </c>
      <c r="L52" s="263">
        <f t="shared" si="26"/>
        <v>0.1177496689845062</v>
      </c>
      <c r="M52" s="263">
        <f t="shared" si="26"/>
        <v>0.13831100794749873</v>
      </c>
      <c r="N52" s="263">
        <f t="shared" si="26"/>
        <v>0.15642640487645934</v>
      </c>
      <c r="O52" s="263">
        <f t="shared" si="26"/>
        <v>0.17095044324642947</v>
      </c>
      <c r="P52" s="263">
        <f t="shared" si="26"/>
        <v>0.1815011616247332</v>
      </c>
      <c r="Q52" s="263">
        <f t="shared" si="26"/>
        <v>0.18848742201696417</v>
      </c>
      <c r="R52" s="263">
        <f t="shared" si="26"/>
        <v>0.19283630522424078</v>
      </c>
      <c r="S52" s="263">
        <f t="shared" si="26"/>
        <v>0.19557923941759942</v>
      </c>
      <c r="T52" s="263">
        <f t="shared" si="26"/>
        <v>0.1975247214629294</v>
      </c>
      <c r="U52" s="263">
        <f t="shared" si="26"/>
        <v>0.199150050519489</v>
      </c>
      <c r="V52" s="263">
        <f t="shared" si="26"/>
        <v>0.20067027087405762</v>
      </c>
      <c r="W52" s="263">
        <f t="shared" si="26"/>
        <v>0.20215914049411474</v>
      </c>
      <c r="X52" s="263">
        <f t="shared" si="26"/>
        <v>0.20363785567409884</v>
      </c>
      <c r="Y52" s="444">
        <f>VLOOKUP(D52,$C$29:$Y$33,23,FALSE)*A52/8760000</f>
        <v>2.5186535556047183</v>
      </c>
      <c r="AA52" s="66">
        <f>SUM(E52:X52)</f>
        <v>2.6676490954092231</v>
      </c>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row>
    <row r="53" spans="1:80">
      <c r="A53" s="122">
        <f>VLOOKUP($D53,MeasureOutput,3,FALSE)</f>
        <v>690.70949549977809</v>
      </c>
      <c r="B53" s="122">
        <f>VLOOKUP($D53,MeasureOutput,11,FALSE)</f>
        <v>80.452736427153098</v>
      </c>
      <c r="C53" s="25" t="s">
        <v>339</v>
      </c>
      <c r="D53" s="25" t="str">
        <f t="shared" ref="D53:D56" si="27">C37</f>
        <v>HFHC (Wt Average Size)</v>
      </c>
      <c r="E53" s="263">
        <f t="shared" ref="E53:T56" si="28">E37*$A53/8760000</f>
        <v>6.8454283596265861E-3</v>
      </c>
      <c r="F53" s="263">
        <f t="shared" si="28"/>
        <v>1.5409741819005581E-2</v>
      </c>
      <c r="G53" s="263">
        <f t="shared" si="28"/>
        <v>2.6070407204533096E-2</v>
      </c>
      <c r="H53" s="263">
        <f t="shared" si="28"/>
        <v>3.8649688542141215E-2</v>
      </c>
      <c r="I53" s="263">
        <f t="shared" si="28"/>
        <v>5.3218578836392583E-2</v>
      </c>
      <c r="J53" s="263">
        <f t="shared" si="28"/>
        <v>7.047614523124307E-2</v>
      </c>
      <c r="K53" s="263">
        <f t="shared" si="28"/>
        <v>8.9676828552516075E-2</v>
      </c>
      <c r="L53" s="263">
        <f t="shared" si="28"/>
        <v>0.1096049905890412</v>
      </c>
      <c r="M53" s="263">
        <f t="shared" si="28"/>
        <v>0.12874411329717739</v>
      </c>
      <c r="N53" s="263">
        <f t="shared" si="28"/>
        <v>0.14560647840647323</v>
      </c>
      <c r="O53" s="263">
        <f t="shared" si="28"/>
        <v>0.15912589720895765</v>
      </c>
      <c r="P53" s="263">
        <f t="shared" si="28"/>
        <v>0.16894682832948396</v>
      </c>
      <c r="Q53" s="263">
        <f t="shared" si="28"/>
        <v>0.17544985301861343</v>
      </c>
      <c r="R53" s="263">
        <f t="shared" si="28"/>
        <v>0.17949792641972939</v>
      </c>
      <c r="S53" s="263">
        <f t="shared" si="28"/>
        <v>0.18205113339722837</v>
      </c>
      <c r="T53" s="263">
        <f t="shared" si="28"/>
        <v>0.183862047543387</v>
      </c>
      <c r="U53" s="263">
        <f t="shared" si="26"/>
        <v>0.1853749535029931</v>
      </c>
      <c r="V53" s="263">
        <f t="shared" si="26"/>
        <v>0.18679002107042461</v>
      </c>
      <c r="W53" s="263">
        <f t="shared" si="26"/>
        <v>0.18817590641602283</v>
      </c>
      <c r="X53" s="263">
        <f t="shared" si="26"/>
        <v>0.18955233969845819</v>
      </c>
      <c r="Y53" s="444">
        <f t="shared" ref="Y53:Y56" si="29">VLOOKUP(D53,$C$29:$Y$33,23,FALSE)*A53/8760000</f>
        <v>2.3444397053501231</v>
      </c>
      <c r="AA53" s="66">
        <f t="shared" ref="AA53:AA56" si="30">SUM(E53:X53)</f>
        <v>2.4831293074434488</v>
      </c>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row>
    <row r="54" spans="1:80">
      <c r="A54" s="122">
        <f>VLOOKUP($D54,MeasureOutput,3,FALSE)</f>
        <v>44756.623064801512</v>
      </c>
      <c r="B54" s="122">
        <f>VLOOKUP($D54,MeasureOutput,11,FALSE)</f>
        <v>-43.951171695279832</v>
      </c>
      <c r="C54" s="25" t="s">
        <v>339</v>
      </c>
      <c r="D54" s="25" t="str">
        <f t="shared" si="27"/>
        <v>Steamer (Wt Average Size)</v>
      </c>
      <c r="E54" s="263">
        <f t="shared" si="28"/>
        <v>0.11227636174643976</v>
      </c>
      <c r="F54" s="263">
        <f t="shared" si="26"/>
        <v>0.25274528575802524</v>
      </c>
      <c r="G54" s="263">
        <f t="shared" si="26"/>
        <v>0.4275978531068606</v>
      </c>
      <c r="H54" s="263">
        <f t="shared" si="26"/>
        <v>0.63391889947138214</v>
      </c>
      <c r="I54" s="263">
        <f t="shared" si="26"/>
        <v>0.87287282769725472</v>
      </c>
      <c r="J54" s="263">
        <f t="shared" si="26"/>
        <v>1.1559254966637782</v>
      </c>
      <c r="K54" s="263">
        <f t="shared" si="26"/>
        <v>1.4708485012010244</v>
      </c>
      <c r="L54" s="263">
        <f t="shared" si="26"/>
        <v>1.7977033614389624</v>
      </c>
      <c r="M54" s="263">
        <f t="shared" si="26"/>
        <v>2.1116166699708216</v>
      </c>
      <c r="N54" s="263">
        <f t="shared" si="26"/>
        <v>2.3881873833651723</v>
      </c>
      <c r="O54" s="263">
        <f t="shared" si="26"/>
        <v>2.609928241106346</v>
      </c>
      <c r="P54" s="263">
        <f t="shared" si="26"/>
        <v>2.7710077758332612</v>
      </c>
      <c r="Q54" s="263">
        <f t="shared" si="26"/>
        <v>2.8776681503320982</v>
      </c>
      <c r="R54" s="263">
        <f t="shared" si="26"/>
        <v>2.9440632580861195</v>
      </c>
      <c r="S54" s="263">
        <f t="shared" si="26"/>
        <v>2.9859400808588061</v>
      </c>
      <c r="T54" s="263">
        <f t="shared" si="26"/>
        <v>3.0156420718934394</v>
      </c>
      <c r="U54" s="263">
        <f t="shared" si="26"/>
        <v>3.0404562351400988</v>
      </c>
      <c r="V54" s="263">
        <f t="shared" si="26"/>
        <v>3.0636656867258649</v>
      </c>
      <c r="W54" s="263">
        <f t="shared" si="26"/>
        <v>3.0863965015451691</v>
      </c>
      <c r="X54" s="263">
        <f t="shared" si="26"/>
        <v>3.1089722868751295</v>
      </c>
      <c r="Y54" s="444">
        <f t="shared" si="29"/>
        <v>38.452693771959346</v>
      </c>
      <c r="AA54" s="66">
        <f t="shared" si="30"/>
        <v>40.72743292881605</v>
      </c>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row>
    <row r="55" spans="1:80">
      <c r="A55" s="122">
        <f>VLOOKUP($D55,MeasureOutput,3,FALSE)</f>
        <v>16424.192594809676</v>
      </c>
      <c r="B55" s="122">
        <f>VLOOKUP($D55,MeasureOutput,11,FALSE)</f>
        <v>-20.897272104274599</v>
      </c>
      <c r="C55" s="25" t="s">
        <v>339</v>
      </c>
      <c r="D55" s="25" t="str">
        <f t="shared" si="27"/>
        <v>Combi Oven (Wt Average)</v>
      </c>
      <c r="E55" s="263">
        <f t="shared" si="28"/>
        <v>4.4464859496008383E-2</v>
      </c>
      <c r="F55" s="263">
        <f t="shared" si="26"/>
        <v>0.10009483247140788</v>
      </c>
      <c r="G55" s="263">
        <f t="shared" si="26"/>
        <v>0.16934177562797886</v>
      </c>
      <c r="H55" s="263">
        <f t="shared" si="26"/>
        <v>0.25105119509052026</v>
      </c>
      <c r="I55" s="263">
        <f t="shared" si="26"/>
        <v>0.34568422985680397</v>
      </c>
      <c r="J55" s="263">
        <f t="shared" si="26"/>
        <v>0.45778170932438855</v>
      </c>
      <c r="K55" s="263">
        <f t="shared" si="26"/>
        <v>0.58250081253538577</v>
      </c>
      <c r="L55" s="263">
        <f t="shared" si="26"/>
        <v>0.71194529408074736</v>
      </c>
      <c r="M55" s="263">
        <f t="shared" si="26"/>
        <v>0.83626452691551501</v>
      </c>
      <c r="N55" s="263">
        <f t="shared" si="26"/>
        <v>0.94579495451846096</v>
      </c>
      <c r="O55" s="263">
        <f t="shared" si="26"/>
        <v>1.0336110890156973</v>
      </c>
      <c r="P55" s="263">
        <f t="shared" si="26"/>
        <v>1.097403491689823</v>
      </c>
      <c r="Q55" s="263">
        <f t="shared" si="26"/>
        <v>1.1396442491574805</v>
      </c>
      <c r="R55" s="263">
        <f t="shared" si="26"/>
        <v>1.1659387344042698</v>
      </c>
      <c r="S55" s="263">
        <f t="shared" si="26"/>
        <v>1.1825232319045711</v>
      </c>
      <c r="T55" s="263">
        <f t="shared" si="26"/>
        <v>1.1942861251579993</v>
      </c>
      <c r="U55" s="263">
        <f t="shared" si="26"/>
        <v>1.2041132897108151</v>
      </c>
      <c r="V55" s="263">
        <f t="shared" si="26"/>
        <v>1.2133049395620201</v>
      </c>
      <c r="W55" s="263">
        <f t="shared" si="26"/>
        <v>1.2223070346731233</v>
      </c>
      <c r="X55" s="263">
        <f t="shared" si="26"/>
        <v>1.2312477333838263</v>
      </c>
      <c r="Y55" s="444">
        <f t="shared" si="29"/>
        <v>15.22843810769835</v>
      </c>
      <c r="AA55" s="66">
        <f t="shared" si="30"/>
        <v>16.129304108576843</v>
      </c>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row>
    <row r="56" spans="1:80">
      <c r="A56" s="122">
        <f>VLOOKUP($D56,MeasureOutput,3,FALSE)</f>
        <v>1793.3771286178865</v>
      </c>
      <c r="B56" s="122">
        <f>VLOOKUP($D56,MeasureOutput,11,FALSE)</f>
        <v>68.275612519602518</v>
      </c>
      <c r="C56" s="25" t="s">
        <v>339</v>
      </c>
      <c r="D56" s="25" t="str">
        <f t="shared" si="27"/>
        <v>Convection Oven (Wt Average)</v>
      </c>
      <c r="E56" s="263">
        <f t="shared" si="28"/>
        <v>1.1834613787767925E-2</v>
      </c>
      <c r="F56" s="263">
        <f t="shared" si="26"/>
        <v>2.6640895706794822E-2</v>
      </c>
      <c r="G56" s="263">
        <f t="shared" si="26"/>
        <v>4.5071423488291677E-2</v>
      </c>
      <c r="H56" s="263">
        <f t="shared" si="26"/>
        <v>6.6818921020555602E-2</v>
      </c>
      <c r="I56" s="263">
        <f t="shared" si="26"/>
        <v>9.2006123470254594E-2</v>
      </c>
      <c r="J56" s="263">
        <f t="shared" si="26"/>
        <v>0.12184160234318796</v>
      </c>
      <c r="K56" s="263">
        <f t="shared" si="26"/>
        <v>0.15503640910045255</v>
      </c>
      <c r="L56" s="263">
        <f t="shared" si="26"/>
        <v>0.18948890627262352</v>
      </c>
      <c r="M56" s="263">
        <f t="shared" si="26"/>
        <v>0.22257728490841228</v>
      </c>
      <c r="N56" s="263">
        <f t="shared" si="26"/>
        <v>0.2517295261025243</v>
      </c>
      <c r="O56" s="263">
        <f t="shared" si="26"/>
        <v>0.27510236586608566</v>
      </c>
      <c r="P56" s="263">
        <f t="shared" si="26"/>
        <v>0.29208113194786822</v>
      </c>
      <c r="Q56" s="263">
        <f t="shared" si="26"/>
        <v>0.30332378640351493</v>
      </c>
      <c r="R56" s="263">
        <f t="shared" si="26"/>
        <v>0.3103222359920455</v>
      </c>
      <c r="S56" s="263">
        <f t="shared" si="26"/>
        <v>0.31473630870035774</v>
      </c>
      <c r="T56" s="263">
        <f t="shared" si="26"/>
        <v>0.31786707983646267</v>
      </c>
      <c r="U56" s="263">
        <f t="shared" si="26"/>
        <v>0.32048264409168897</v>
      </c>
      <c r="V56" s="263">
        <f t="shared" si="26"/>
        <v>0.32292906194377213</v>
      </c>
      <c r="W56" s="263">
        <f t="shared" si="26"/>
        <v>0.32532502855939194</v>
      </c>
      <c r="X56" s="263">
        <f t="shared" si="26"/>
        <v>0.32770465412063898</v>
      </c>
      <c r="Y56" s="444">
        <f t="shared" si="29"/>
        <v>4.0531486130461305</v>
      </c>
      <c r="AA56" s="66">
        <f t="shared" si="30"/>
        <v>4.292920003662692</v>
      </c>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row>
    <row r="57" spans="1:80">
      <c r="A57" s="66"/>
      <c r="AA57" s="66"/>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row>
    <row r="58" spans="1:80">
      <c r="B58" s="123">
        <f>SUMPRODUCT(B52:B56,AA52:AA56)/SUM(AA52:AA56)</f>
        <v>-22.933833998158317</v>
      </c>
      <c r="E58" s="264">
        <f>SUM(E52:E56)</f>
        <v>0.18277537125547275</v>
      </c>
      <c r="F58" s="264">
        <f t="shared" ref="F58:X58" si="31">SUM(F52:F56)</f>
        <v>0.41144558586445695</v>
      </c>
      <c r="G58" s="264">
        <f t="shared" si="31"/>
        <v>0.69608914230895791</v>
      </c>
      <c r="H58" s="264">
        <f t="shared" si="31"/>
        <v>1.0319604268831468</v>
      </c>
      <c r="I58" s="264">
        <f t="shared" si="31"/>
        <v>1.4209549780520827</v>
      </c>
      <c r="J58" s="264">
        <f t="shared" si="31"/>
        <v>1.8817381371291915</v>
      </c>
      <c r="K58" s="264">
        <f t="shared" si="31"/>
        <v>2.3944032090628156</v>
      </c>
      <c r="L58" s="264">
        <f t="shared" si="31"/>
        <v>2.9264922213658804</v>
      </c>
      <c r="M58" s="264">
        <f t="shared" si="31"/>
        <v>3.4375136030394251</v>
      </c>
      <c r="N58" s="264">
        <f t="shared" si="31"/>
        <v>3.8877447472690903</v>
      </c>
      <c r="O58" s="264">
        <f t="shared" si="31"/>
        <v>4.248718036443516</v>
      </c>
      <c r="P58" s="264">
        <f t="shared" si="31"/>
        <v>4.5109403894251701</v>
      </c>
      <c r="Q58" s="264">
        <f t="shared" si="31"/>
        <v>4.6845734609286707</v>
      </c>
      <c r="R58" s="264">
        <f t="shared" si="31"/>
        <v>4.7926584601264048</v>
      </c>
      <c r="S58" s="264">
        <f t="shared" si="31"/>
        <v>4.8608299942785624</v>
      </c>
      <c r="T58" s="264">
        <f t="shared" si="31"/>
        <v>4.9091820458942177</v>
      </c>
      <c r="U58" s="264">
        <f t="shared" si="31"/>
        <v>4.9495771729650846</v>
      </c>
      <c r="V58" s="264">
        <f t="shared" si="31"/>
        <v>4.9873599801761399</v>
      </c>
      <c r="W58" s="264">
        <f t="shared" si="31"/>
        <v>5.0243636116878214</v>
      </c>
      <c r="X58" s="264">
        <f t="shared" si="31"/>
        <v>5.061114869752152</v>
      </c>
      <c r="Y58" s="45">
        <f>SUM(Y52:Y56)</f>
        <v>62.597373753658673</v>
      </c>
      <c r="AA58" s="66"/>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c r="A59" s="141"/>
      <c r="E59" s="264"/>
      <c r="F59" s="264"/>
      <c r="G59" s="264"/>
      <c r="H59" s="264"/>
      <c r="I59" s="264"/>
      <c r="J59" s="264"/>
      <c r="K59" s="264"/>
      <c r="L59" s="264"/>
      <c r="M59" s="264"/>
      <c r="N59" s="264"/>
      <c r="O59" s="264"/>
      <c r="P59" s="264"/>
      <c r="Q59" s="264"/>
      <c r="R59" s="264"/>
      <c r="S59" s="264"/>
      <c r="T59" s="264"/>
      <c r="U59" s="264"/>
      <c r="V59" s="264"/>
      <c r="W59" s="264"/>
      <c r="X59" s="264"/>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row>
    <row r="60" spans="1:8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row>
    <row r="61" spans="1:80" ht="15">
      <c r="A61" s="127" t="s">
        <v>294</v>
      </c>
      <c r="B61" s="1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row>
    <row r="62" spans="1:80" ht="15">
      <c r="B62" s="162"/>
      <c r="C62" s="165"/>
      <c r="D62" s="163"/>
      <c r="E62" s="120">
        <f>E50</f>
        <v>2016</v>
      </c>
      <c r="F62" s="120">
        <f t="shared" ref="F62:X62" si="32">F50</f>
        <v>2017</v>
      </c>
      <c r="G62" s="120">
        <f t="shared" si="32"/>
        <v>2018</v>
      </c>
      <c r="H62" s="120">
        <f t="shared" si="32"/>
        <v>2019</v>
      </c>
      <c r="I62" s="120">
        <f t="shared" si="32"/>
        <v>2020</v>
      </c>
      <c r="J62" s="120">
        <f t="shared" si="32"/>
        <v>2021</v>
      </c>
      <c r="K62" s="120">
        <f t="shared" si="32"/>
        <v>2022</v>
      </c>
      <c r="L62" s="120">
        <f t="shared" si="32"/>
        <v>2023</v>
      </c>
      <c r="M62" s="120">
        <f t="shared" si="32"/>
        <v>2024</v>
      </c>
      <c r="N62" s="120">
        <f t="shared" si="32"/>
        <v>2025</v>
      </c>
      <c r="O62" s="120">
        <f t="shared" si="32"/>
        <v>2026</v>
      </c>
      <c r="P62" s="120">
        <f t="shared" si="32"/>
        <v>2027</v>
      </c>
      <c r="Q62" s="120">
        <f t="shared" si="32"/>
        <v>2028</v>
      </c>
      <c r="R62" s="120">
        <f t="shared" si="32"/>
        <v>2029</v>
      </c>
      <c r="S62" s="120">
        <f t="shared" si="32"/>
        <v>2030</v>
      </c>
      <c r="T62" s="120">
        <f t="shared" si="32"/>
        <v>2031</v>
      </c>
      <c r="U62" s="120">
        <f t="shared" si="32"/>
        <v>2032</v>
      </c>
      <c r="V62" s="120">
        <f t="shared" si="32"/>
        <v>2033</v>
      </c>
      <c r="W62" s="120">
        <f t="shared" si="32"/>
        <v>2034</v>
      </c>
      <c r="X62" s="120">
        <f t="shared" si="32"/>
        <v>2035</v>
      </c>
      <c r="Y62" s="448" t="s">
        <v>1114</v>
      </c>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row>
    <row r="63" spans="1:80" ht="15">
      <c r="B63" s="167" t="s">
        <v>421</v>
      </c>
      <c r="C63" s="166" t="s">
        <v>291</v>
      </c>
      <c r="D63" s="164" t="s">
        <v>291</v>
      </c>
      <c r="E63" s="121" t="str">
        <f>E51</f>
        <v>aMW_2016</v>
      </c>
      <c r="F63" s="121" t="str">
        <f t="shared" ref="F63:X63" si="33">F51</f>
        <v>aMW_2017</v>
      </c>
      <c r="G63" s="121" t="str">
        <f t="shared" si="33"/>
        <v>aMW_2018</v>
      </c>
      <c r="H63" s="121" t="str">
        <f t="shared" si="33"/>
        <v>aMW_2019</v>
      </c>
      <c r="I63" s="121" t="str">
        <f t="shared" si="33"/>
        <v>aMW_2020</v>
      </c>
      <c r="J63" s="121" t="str">
        <f t="shared" si="33"/>
        <v>aMW_2021</v>
      </c>
      <c r="K63" s="121" t="str">
        <f t="shared" si="33"/>
        <v>aMW_2022</v>
      </c>
      <c r="L63" s="121" t="str">
        <f t="shared" si="33"/>
        <v>aMW_2023</v>
      </c>
      <c r="M63" s="121" t="str">
        <f t="shared" si="33"/>
        <v>aMW_2024</v>
      </c>
      <c r="N63" s="121" t="str">
        <f t="shared" si="33"/>
        <v>aMW_2025</v>
      </c>
      <c r="O63" s="121" t="str">
        <f t="shared" si="33"/>
        <v>aMW_2026</v>
      </c>
      <c r="P63" s="121" t="str">
        <f t="shared" si="33"/>
        <v>aMW_2027</v>
      </c>
      <c r="Q63" s="121" t="str">
        <f t="shared" si="33"/>
        <v>aMW_2028</v>
      </c>
      <c r="R63" s="121" t="str">
        <f t="shared" si="33"/>
        <v>aMW_2029</v>
      </c>
      <c r="S63" s="121" t="str">
        <f t="shared" si="33"/>
        <v>aMW_2030</v>
      </c>
      <c r="T63" s="121" t="str">
        <f t="shared" si="33"/>
        <v>aMW_2031</v>
      </c>
      <c r="U63" s="121" t="str">
        <f t="shared" si="33"/>
        <v>aMW_2032</v>
      </c>
      <c r="V63" s="121" t="str">
        <f t="shared" si="33"/>
        <v>aMW_2033</v>
      </c>
      <c r="W63" s="121" t="str">
        <f t="shared" si="33"/>
        <v>aMW_2034</v>
      </c>
      <c r="X63" s="121" t="str">
        <f t="shared" si="33"/>
        <v>aMW_2035</v>
      </c>
      <c r="Y63" s="449" t="s">
        <v>1114</v>
      </c>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row>
    <row r="64" spans="1:80">
      <c r="B64" s="25" t="s">
        <v>84</v>
      </c>
      <c r="C64" s="340" t="s">
        <v>295</v>
      </c>
      <c r="D64" s="340" t="s">
        <v>296</v>
      </c>
      <c r="E64" s="264">
        <f>DSUM($B$51:$Y$56,E$51,$C$63:$D64)</f>
        <v>0.15674122124244816</v>
      </c>
      <c r="F64" s="264">
        <f>DSUM($B$51:$Y$56,F$51,$C$63:$D64)</f>
        <v>0.35284011822943312</v>
      </c>
      <c r="G64" s="264">
        <f>DSUM($B$51:$Y$56,G$51,$C$63:$D64)</f>
        <v>0.59693962873483941</v>
      </c>
      <c r="H64" s="264">
        <f>DSUM($B$51:$Y$56,H$51,$C$63:$D64)</f>
        <v>0.88497009456190234</v>
      </c>
      <c r="I64" s="264">
        <f>DSUM($B$51:$Y$56,I$51,$C$63:$D64)</f>
        <v>1.2185570575540587</v>
      </c>
      <c r="J64" s="264">
        <f>DSUM($B$51:$Y$56,J$51,$C$63:$D64)</f>
        <v>1.6137072059881667</v>
      </c>
      <c r="K64" s="264">
        <f>DSUM($B$51:$Y$56,K$51,$C$63:$D64)</f>
        <v>2.0533493137364101</v>
      </c>
      <c r="L64" s="264">
        <f>DSUM($B$51:$Y$56,L$51,$C$63:$D64)</f>
        <v>2.5096486555197099</v>
      </c>
      <c r="M64" s="264">
        <f>DSUM($B$51:$Y$56,M$51,$C$63:$D64)</f>
        <v>2.9478811968863368</v>
      </c>
      <c r="N64" s="264">
        <f>DSUM($B$51:$Y$56,N$51,$C$63:$D64)</f>
        <v>3.3339823378836333</v>
      </c>
      <c r="O64" s="264">
        <f>DSUM($B$51:$Y$56,O$51,$C$63:$D64)</f>
        <v>3.6435393301220431</v>
      </c>
      <c r="P64" s="264">
        <f>DSUM($B$51:$Y$56,P$51,$C$63:$D64)</f>
        <v>3.8684112675230842</v>
      </c>
      <c r="Q64" s="264">
        <f>DSUM($B$51:$Y$56,Q$51,$C$63:$D64)</f>
        <v>4.0173123994895787</v>
      </c>
      <c r="R64" s="264">
        <f>DSUM($B$51:$Y$56,R$51,$C$63:$D64)</f>
        <v>4.110001992490389</v>
      </c>
      <c r="S64" s="264">
        <f>DSUM($B$51:$Y$56,S$51,$C$63:$D64)</f>
        <v>4.168463312763377</v>
      </c>
      <c r="T64" s="264">
        <f>DSUM($B$51:$Y$56,T$51,$C$63:$D64)</f>
        <v>4.2099281970514388</v>
      </c>
      <c r="U64" s="264">
        <f>DSUM($B$51:$Y$56,U$51,$C$63:$D64)</f>
        <v>4.2445695248509141</v>
      </c>
      <c r="V64" s="264">
        <f>DSUM($B$51:$Y$56,V$51,$C$63:$D64)</f>
        <v>4.276970626287885</v>
      </c>
      <c r="W64" s="264">
        <f>DSUM($B$51:$Y$56,W$51,$C$63:$D64)</f>
        <v>4.3087035362182924</v>
      </c>
      <c r="X64" s="264">
        <f>DSUM($B$51:$Y$56,X$51,$C$63:$D64)</f>
        <v>4.3402200202589558</v>
      </c>
      <c r="Y64" s="264">
        <f>DSUM($B$51:$Y$56,Y$51,$C$63:$D64)</f>
        <v>53.681131879657698</v>
      </c>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row>
    <row r="65" spans="2:78">
      <c r="B65" s="25" t="s">
        <v>85</v>
      </c>
      <c r="C65" s="340" t="s">
        <v>297</v>
      </c>
      <c r="D65" s="340" t="s">
        <v>298</v>
      </c>
      <c r="E65" s="264">
        <f>DSUM($B$51:$Y$56,E$51,$C$63:$D65)</f>
        <v>0.15674122124244816</v>
      </c>
      <c r="F65" s="264">
        <f>DSUM($B$51:$Y$56,F$51,$C$63:$D65)</f>
        <v>0.35284011822943312</v>
      </c>
      <c r="G65" s="264">
        <f>DSUM($B$51:$Y$56,G$51,$C$63:$D65)</f>
        <v>0.59693962873483941</v>
      </c>
      <c r="H65" s="264">
        <f>DSUM($B$51:$Y$56,H$51,$C$63:$D65)</f>
        <v>0.88497009456190234</v>
      </c>
      <c r="I65" s="264">
        <f>DSUM($B$51:$Y$56,I$51,$C$63:$D65)</f>
        <v>1.2185570575540587</v>
      </c>
      <c r="J65" s="264">
        <f>DSUM($B$51:$Y$56,J$51,$C$63:$D65)</f>
        <v>1.6137072059881667</v>
      </c>
      <c r="K65" s="264">
        <f>DSUM($B$51:$Y$56,K$51,$C$63:$D65)</f>
        <v>2.0533493137364101</v>
      </c>
      <c r="L65" s="264">
        <f>DSUM($B$51:$Y$56,L$51,$C$63:$D65)</f>
        <v>2.5096486555197099</v>
      </c>
      <c r="M65" s="264">
        <f>DSUM($B$51:$Y$56,M$51,$C$63:$D65)</f>
        <v>2.9478811968863368</v>
      </c>
      <c r="N65" s="264">
        <f>DSUM($B$51:$Y$56,N$51,$C$63:$D65)</f>
        <v>3.3339823378836333</v>
      </c>
      <c r="O65" s="264">
        <f>DSUM($B$51:$Y$56,O$51,$C$63:$D65)</f>
        <v>3.6435393301220431</v>
      </c>
      <c r="P65" s="264">
        <f>DSUM($B$51:$Y$56,P$51,$C$63:$D65)</f>
        <v>3.8684112675230842</v>
      </c>
      <c r="Q65" s="264">
        <f>DSUM($B$51:$Y$56,Q$51,$C$63:$D65)</f>
        <v>4.0173123994895787</v>
      </c>
      <c r="R65" s="264">
        <f>DSUM($B$51:$Y$56,R$51,$C$63:$D65)</f>
        <v>4.110001992490389</v>
      </c>
      <c r="S65" s="264">
        <f>DSUM($B$51:$Y$56,S$51,$C$63:$D65)</f>
        <v>4.168463312763377</v>
      </c>
      <c r="T65" s="264">
        <f>DSUM($B$51:$Y$56,T$51,$C$63:$D65)</f>
        <v>4.2099281970514388</v>
      </c>
      <c r="U65" s="264">
        <f>DSUM($B$51:$Y$56,U$51,$C$63:$D65)</f>
        <v>4.2445695248509141</v>
      </c>
      <c r="V65" s="264">
        <f>DSUM($B$51:$Y$56,V$51,$C$63:$D65)</f>
        <v>4.276970626287885</v>
      </c>
      <c r="W65" s="264">
        <f>DSUM($B$51:$Y$56,W$51,$C$63:$D65)</f>
        <v>4.3087035362182924</v>
      </c>
      <c r="X65" s="264">
        <f>DSUM($B$51:$Y$56,X$51,$C$63:$D65)</f>
        <v>4.3402200202589558</v>
      </c>
      <c r="Y65" s="264">
        <f>DSUM($B$51:$Y$56,Y$51,$C$63:$D65)</f>
        <v>53.681131879657698</v>
      </c>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row>
    <row r="66" spans="2:78">
      <c r="B66" s="25" t="s">
        <v>86</v>
      </c>
      <c r="C66" s="340" t="s">
        <v>299</v>
      </c>
      <c r="D66" s="340" t="s">
        <v>300</v>
      </c>
      <c r="E66" s="264">
        <f>DSUM($B$51:$Y$56,E$51,$C$63:$D66)</f>
        <v>0.15674122124244816</v>
      </c>
      <c r="F66" s="264">
        <f>DSUM($B$51:$Y$56,F$51,$C$63:$D66)</f>
        <v>0.35284011822943312</v>
      </c>
      <c r="G66" s="264">
        <f>DSUM($B$51:$Y$56,G$51,$C$63:$D66)</f>
        <v>0.59693962873483941</v>
      </c>
      <c r="H66" s="264">
        <f>DSUM($B$51:$Y$56,H$51,$C$63:$D66)</f>
        <v>0.88497009456190234</v>
      </c>
      <c r="I66" s="264">
        <f>DSUM($B$51:$Y$56,I$51,$C$63:$D66)</f>
        <v>1.2185570575540587</v>
      </c>
      <c r="J66" s="264">
        <f>DSUM($B$51:$Y$56,J$51,$C$63:$D66)</f>
        <v>1.6137072059881667</v>
      </c>
      <c r="K66" s="264">
        <f>DSUM($B$51:$Y$56,K$51,$C$63:$D66)</f>
        <v>2.0533493137364101</v>
      </c>
      <c r="L66" s="264">
        <f>DSUM($B$51:$Y$56,L$51,$C$63:$D66)</f>
        <v>2.5096486555197099</v>
      </c>
      <c r="M66" s="264">
        <f>DSUM($B$51:$Y$56,M$51,$C$63:$D66)</f>
        <v>2.9478811968863368</v>
      </c>
      <c r="N66" s="264">
        <f>DSUM($B$51:$Y$56,N$51,$C$63:$D66)</f>
        <v>3.3339823378836333</v>
      </c>
      <c r="O66" s="264">
        <f>DSUM($B$51:$Y$56,O$51,$C$63:$D66)</f>
        <v>3.6435393301220431</v>
      </c>
      <c r="P66" s="264">
        <f>DSUM($B$51:$Y$56,P$51,$C$63:$D66)</f>
        <v>3.8684112675230842</v>
      </c>
      <c r="Q66" s="264">
        <f>DSUM($B$51:$Y$56,Q$51,$C$63:$D66)</f>
        <v>4.0173123994895787</v>
      </c>
      <c r="R66" s="264">
        <f>DSUM($B$51:$Y$56,R$51,$C$63:$D66)</f>
        <v>4.110001992490389</v>
      </c>
      <c r="S66" s="264">
        <f>DSUM($B$51:$Y$56,S$51,$C$63:$D66)</f>
        <v>4.168463312763377</v>
      </c>
      <c r="T66" s="264">
        <f>DSUM($B$51:$Y$56,T$51,$C$63:$D66)</f>
        <v>4.2099281970514388</v>
      </c>
      <c r="U66" s="264">
        <f>DSUM($B$51:$Y$56,U$51,$C$63:$D66)</f>
        <v>4.2445695248509141</v>
      </c>
      <c r="V66" s="264">
        <f>DSUM($B$51:$Y$56,V$51,$C$63:$D66)</f>
        <v>4.276970626287885</v>
      </c>
      <c r="W66" s="264">
        <f>DSUM($B$51:$Y$56,W$51,$C$63:$D66)</f>
        <v>4.3087035362182924</v>
      </c>
      <c r="X66" s="264">
        <f>DSUM($B$51:$Y$56,X$51,$C$63:$D66)</f>
        <v>4.3402200202589558</v>
      </c>
      <c r="Y66" s="264">
        <f>DSUM($B$51:$Y$56,Y$51,$C$63:$D66)</f>
        <v>53.681131879657698</v>
      </c>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row>
    <row r="67" spans="2:78">
      <c r="B67" s="25" t="s">
        <v>87</v>
      </c>
      <c r="C67" s="340" t="s">
        <v>301</v>
      </c>
      <c r="D67" s="340" t="s">
        <v>302</v>
      </c>
      <c r="E67" s="264">
        <f>DSUM($B$51:$Y$56,E$51,$C$63:$D67)</f>
        <v>0.15674122124244816</v>
      </c>
      <c r="F67" s="264">
        <f>DSUM($B$51:$Y$56,F$51,$C$63:$D67)</f>
        <v>0.35284011822943312</v>
      </c>
      <c r="G67" s="264">
        <f>DSUM($B$51:$Y$56,G$51,$C$63:$D67)</f>
        <v>0.59693962873483941</v>
      </c>
      <c r="H67" s="264">
        <f>DSUM($B$51:$Y$56,H$51,$C$63:$D67)</f>
        <v>0.88497009456190234</v>
      </c>
      <c r="I67" s="264">
        <f>DSUM($B$51:$Y$56,I$51,$C$63:$D67)</f>
        <v>1.2185570575540587</v>
      </c>
      <c r="J67" s="264">
        <f>DSUM($B$51:$Y$56,J$51,$C$63:$D67)</f>
        <v>1.6137072059881667</v>
      </c>
      <c r="K67" s="264">
        <f>DSUM($B$51:$Y$56,K$51,$C$63:$D67)</f>
        <v>2.0533493137364101</v>
      </c>
      <c r="L67" s="264">
        <f>DSUM($B$51:$Y$56,L$51,$C$63:$D67)</f>
        <v>2.5096486555197099</v>
      </c>
      <c r="M67" s="264">
        <f>DSUM($B$51:$Y$56,M$51,$C$63:$D67)</f>
        <v>2.9478811968863368</v>
      </c>
      <c r="N67" s="264">
        <f>DSUM($B$51:$Y$56,N$51,$C$63:$D67)</f>
        <v>3.3339823378836333</v>
      </c>
      <c r="O67" s="264">
        <f>DSUM($B$51:$Y$56,O$51,$C$63:$D67)</f>
        <v>3.6435393301220431</v>
      </c>
      <c r="P67" s="264">
        <f>DSUM($B$51:$Y$56,P$51,$C$63:$D67)</f>
        <v>3.8684112675230842</v>
      </c>
      <c r="Q67" s="264">
        <f>DSUM($B$51:$Y$56,Q$51,$C$63:$D67)</f>
        <v>4.0173123994895787</v>
      </c>
      <c r="R67" s="264">
        <f>DSUM($B$51:$Y$56,R$51,$C$63:$D67)</f>
        <v>4.110001992490389</v>
      </c>
      <c r="S67" s="264">
        <f>DSUM($B$51:$Y$56,S$51,$C$63:$D67)</f>
        <v>4.168463312763377</v>
      </c>
      <c r="T67" s="264">
        <f>DSUM($B$51:$Y$56,T$51,$C$63:$D67)</f>
        <v>4.2099281970514388</v>
      </c>
      <c r="U67" s="264">
        <f>DSUM($B$51:$Y$56,U$51,$C$63:$D67)</f>
        <v>4.2445695248509141</v>
      </c>
      <c r="V67" s="264">
        <f>DSUM($B$51:$Y$56,V$51,$C$63:$D67)</f>
        <v>4.276970626287885</v>
      </c>
      <c r="W67" s="264">
        <f>DSUM($B$51:$Y$56,W$51,$C$63:$D67)</f>
        <v>4.3087035362182924</v>
      </c>
      <c r="X67" s="264">
        <f>DSUM($B$51:$Y$56,X$51,$C$63:$D67)</f>
        <v>4.3402200202589558</v>
      </c>
      <c r="Y67" s="264">
        <f>DSUM($B$51:$Y$56,Y$51,$C$63:$D67)</f>
        <v>53.681131879657698</v>
      </c>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row>
    <row r="68" spans="2:78">
      <c r="B68" s="25" t="s">
        <v>88</v>
      </c>
      <c r="C68" s="340" t="s">
        <v>303</v>
      </c>
      <c r="D68" s="340" t="s">
        <v>304</v>
      </c>
      <c r="E68" s="264">
        <f>DSUM($B$51:$Y$56,E$51,$C$63:$D68)</f>
        <v>0.15674122124244816</v>
      </c>
      <c r="F68" s="264">
        <f>DSUM($B$51:$Y$56,F$51,$C$63:$D68)</f>
        <v>0.35284011822943312</v>
      </c>
      <c r="G68" s="264">
        <f>DSUM($B$51:$Y$56,G$51,$C$63:$D68)</f>
        <v>0.59693962873483941</v>
      </c>
      <c r="H68" s="264">
        <f>DSUM($B$51:$Y$56,H$51,$C$63:$D68)</f>
        <v>0.88497009456190234</v>
      </c>
      <c r="I68" s="264">
        <f>DSUM($B$51:$Y$56,I$51,$C$63:$D68)</f>
        <v>1.2185570575540587</v>
      </c>
      <c r="J68" s="264">
        <f>DSUM($B$51:$Y$56,J$51,$C$63:$D68)</f>
        <v>1.6137072059881667</v>
      </c>
      <c r="K68" s="264">
        <f>DSUM($B$51:$Y$56,K$51,$C$63:$D68)</f>
        <v>2.0533493137364101</v>
      </c>
      <c r="L68" s="264">
        <f>DSUM($B$51:$Y$56,L$51,$C$63:$D68)</f>
        <v>2.5096486555197099</v>
      </c>
      <c r="M68" s="264">
        <f>DSUM($B$51:$Y$56,M$51,$C$63:$D68)</f>
        <v>2.9478811968863368</v>
      </c>
      <c r="N68" s="264">
        <f>DSUM($B$51:$Y$56,N$51,$C$63:$D68)</f>
        <v>3.3339823378836333</v>
      </c>
      <c r="O68" s="264">
        <f>DSUM($B$51:$Y$56,O$51,$C$63:$D68)</f>
        <v>3.6435393301220431</v>
      </c>
      <c r="P68" s="264">
        <f>DSUM($B$51:$Y$56,P$51,$C$63:$D68)</f>
        <v>3.8684112675230842</v>
      </c>
      <c r="Q68" s="264">
        <f>DSUM($B$51:$Y$56,Q$51,$C$63:$D68)</f>
        <v>4.0173123994895787</v>
      </c>
      <c r="R68" s="264">
        <f>DSUM($B$51:$Y$56,R$51,$C$63:$D68)</f>
        <v>4.110001992490389</v>
      </c>
      <c r="S68" s="264">
        <f>DSUM($B$51:$Y$56,S$51,$C$63:$D68)</f>
        <v>4.168463312763377</v>
      </c>
      <c r="T68" s="264">
        <f>DSUM($B$51:$Y$56,T$51,$C$63:$D68)</f>
        <v>4.2099281970514388</v>
      </c>
      <c r="U68" s="264">
        <f>DSUM($B$51:$Y$56,U$51,$C$63:$D68)</f>
        <v>4.2445695248509141</v>
      </c>
      <c r="V68" s="264">
        <f>DSUM($B$51:$Y$56,V$51,$C$63:$D68)</f>
        <v>4.276970626287885</v>
      </c>
      <c r="W68" s="264">
        <f>DSUM($B$51:$Y$56,W$51,$C$63:$D68)</f>
        <v>4.3087035362182924</v>
      </c>
      <c r="X68" s="264">
        <f>DSUM($B$51:$Y$56,X$51,$C$63:$D68)</f>
        <v>4.3402200202589558</v>
      </c>
      <c r="Y68" s="264">
        <f>DSUM($B$51:$Y$56,Y$51,$C$63:$D68)</f>
        <v>53.681131879657698</v>
      </c>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row>
    <row r="69" spans="2:78">
      <c r="B69" s="25" t="s">
        <v>89</v>
      </c>
      <c r="C69" s="340" t="s">
        <v>305</v>
      </c>
      <c r="D69" s="340" t="s">
        <v>306</v>
      </c>
      <c r="E69" s="264">
        <f>DSUM($B$51:$Y$56,E$51,$C$63:$D69)</f>
        <v>0.16409532910807825</v>
      </c>
      <c r="F69" s="264">
        <f>DSUM($B$51:$Y$56,F$51,$C$63:$D69)</f>
        <v>0.36939494833865655</v>
      </c>
      <c r="G69" s="264">
        <f>DSUM($B$51:$Y$56,G$51,$C$63:$D69)</f>
        <v>0.62494731161613326</v>
      </c>
      <c r="H69" s="264">
        <f>DSUM($B$51:$Y$56,H$51,$C$63:$D69)</f>
        <v>0.92649181732044994</v>
      </c>
      <c r="I69" s="264">
        <f>DSUM($B$51:$Y$56,I$51,$C$63:$D69)</f>
        <v>1.2757302757454356</v>
      </c>
      <c r="J69" s="264">
        <f>DSUM($B$51:$Y$56,J$51,$C$63:$D69)</f>
        <v>1.6894203895547606</v>
      </c>
      <c r="K69" s="264">
        <f>DSUM($B$51:$Y$56,K$51,$C$63:$D69)</f>
        <v>2.1496899714098467</v>
      </c>
      <c r="L69" s="264">
        <f>DSUM($B$51:$Y$56,L$51,$C$63:$D69)</f>
        <v>2.6273983245042158</v>
      </c>
      <c r="M69" s="264">
        <f>DSUM($B$51:$Y$56,M$51,$C$63:$D69)</f>
        <v>3.0861922048338353</v>
      </c>
      <c r="N69" s="264">
        <f>DSUM($B$51:$Y$56,N$51,$C$63:$D69)</f>
        <v>3.4904087427600925</v>
      </c>
      <c r="O69" s="264">
        <f>DSUM($B$51:$Y$56,O$51,$C$63:$D69)</f>
        <v>3.8144897733684724</v>
      </c>
      <c r="P69" s="264">
        <f>DSUM($B$51:$Y$56,P$51,$C$63:$D69)</f>
        <v>4.0499124291478168</v>
      </c>
      <c r="Q69" s="264">
        <f>DSUM($B$51:$Y$56,Q$51,$C$63:$D69)</f>
        <v>4.2057998215065435</v>
      </c>
      <c r="R69" s="264">
        <f>DSUM($B$51:$Y$56,R$51,$C$63:$D69)</f>
        <v>4.3028382977146302</v>
      </c>
      <c r="S69" s="264">
        <f>DSUM($B$51:$Y$56,S$51,$C$63:$D69)</f>
        <v>4.3640425521809769</v>
      </c>
      <c r="T69" s="264">
        <f>DSUM($B$51:$Y$56,T$51,$C$63:$D69)</f>
        <v>4.4074529185143678</v>
      </c>
      <c r="U69" s="264">
        <f>DSUM($B$51:$Y$56,U$51,$C$63:$D69)</f>
        <v>4.4437195753704026</v>
      </c>
      <c r="V69" s="264">
        <f>DSUM($B$51:$Y$56,V$51,$C$63:$D69)</f>
        <v>4.4776408971619421</v>
      </c>
      <c r="W69" s="264">
        <f>DSUM($B$51:$Y$56,W$51,$C$63:$D69)</f>
        <v>4.5108626767124065</v>
      </c>
      <c r="X69" s="264">
        <f>DSUM($B$51:$Y$56,X$51,$C$63:$D69)</f>
        <v>4.543857875933055</v>
      </c>
      <c r="Y69" s="264">
        <f>DSUM($B$51:$Y$56,Y$51,$C$63:$D69)</f>
        <v>56.199785435262413</v>
      </c>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row>
    <row r="70" spans="2:78">
      <c r="B70" s="25" t="s">
        <v>90</v>
      </c>
      <c r="C70" s="340" t="s">
        <v>307</v>
      </c>
      <c r="D70" s="340" t="s">
        <v>308</v>
      </c>
      <c r="E70" s="264">
        <f>DSUM($B$51:$Y$56,E$51,$C$63:$D70)</f>
        <v>0.16409532910807825</v>
      </c>
      <c r="F70" s="264">
        <f>DSUM($B$51:$Y$56,F$51,$C$63:$D70)</f>
        <v>0.36939494833865655</v>
      </c>
      <c r="G70" s="264">
        <f>DSUM($B$51:$Y$56,G$51,$C$63:$D70)</f>
        <v>0.62494731161613326</v>
      </c>
      <c r="H70" s="264">
        <f>DSUM($B$51:$Y$56,H$51,$C$63:$D70)</f>
        <v>0.92649181732044994</v>
      </c>
      <c r="I70" s="264">
        <f>DSUM($B$51:$Y$56,I$51,$C$63:$D70)</f>
        <v>1.2757302757454356</v>
      </c>
      <c r="J70" s="264">
        <f>DSUM($B$51:$Y$56,J$51,$C$63:$D70)</f>
        <v>1.6894203895547606</v>
      </c>
      <c r="K70" s="264">
        <f>DSUM($B$51:$Y$56,K$51,$C$63:$D70)</f>
        <v>2.1496899714098467</v>
      </c>
      <c r="L70" s="264">
        <f>DSUM($B$51:$Y$56,L$51,$C$63:$D70)</f>
        <v>2.6273983245042158</v>
      </c>
      <c r="M70" s="264">
        <f>DSUM($B$51:$Y$56,M$51,$C$63:$D70)</f>
        <v>3.0861922048338353</v>
      </c>
      <c r="N70" s="264">
        <f>DSUM($B$51:$Y$56,N$51,$C$63:$D70)</f>
        <v>3.4904087427600925</v>
      </c>
      <c r="O70" s="264">
        <f>DSUM($B$51:$Y$56,O$51,$C$63:$D70)</f>
        <v>3.8144897733684724</v>
      </c>
      <c r="P70" s="264">
        <f>DSUM($B$51:$Y$56,P$51,$C$63:$D70)</f>
        <v>4.0499124291478168</v>
      </c>
      <c r="Q70" s="264">
        <f>DSUM($B$51:$Y$56,Q$51,$C$63:$D70)</f>
        <v>4.2057998215065435</v>
      </c>
      <c r="R70" s="264">
        <f>DSUM($B$51:$Y$56,R$51,$C$63:$D70)</f>
        <v>4.3028382977146302</v>
      </c>
      <c r="S70" s="264">
        <f>DSUM($B$51:$Y$56,S$51,$C$63:$D70)</f>
        <v>4.3640425521809769</v>
      </c>
      <c r="T70" s="264">
        <f>DSUM($B$51:$Y$56,T$51,$C$63:$D70)</f>
        <v>4.4074529185143678</v>
      </c>
      <c r="U70" s="264">
        <f>DSUM($B$51:$Y$56,U$51,$C$63:$D70)</f>
        <v>4.4437195753704026</v>
      </c>
      <c r="V70" s="264">
        <f>DSUM($B$51:$Y$56,V$51,$C$63:$D70)</f>
        <v>4.4776408971619421</v>
      </c>
      <c r="W70" s="264">
        <f>DSUM($B$51:$Y$56,W$51,$C$63:$D70)</f>
        <v>4.5108626767124065</v>
      </c>
      <c r="X70" s="264">
        <f>DSUM($B$51:$Y$56,X$51,$C$63:$D70)</f>
        <v>4.543857875933055</v>
      </c>
      <c r="Y70" s="264">
        <f>DSUM($B$51:$Y$56,Y$51,$C$63:$D70)</f>
        <v>56.199785435262413</v>
      </c>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row>
    <row r="71" spans="2:78">
      <c r="B71" s="25" t="s">
        <v>91</v>
      </c>
      <c r="C71" s="340" t="s">
        <v>309</v>
      </c>
      <c r="D71" s="340" t="s">
        <v>310</v>
      </c>
      <c r="E71" s="264">
        <f>DSUM($B$51:$Y$56,E$51,$C$63:$D71)</f>
        <v>0.17592994289584618</v>
      </c>
      <c r="F71" s="264">
        <f>DSUM($B$51:$Y$56,F$51,$C$63:$D71)</f>
        <v>0.39603584404545139</v>
      </c>
      <c r="G71" s="264">
        <f>DSUM($B$51:$Y$56,G$51,$C$63:$D71)</f>
        <v>0.67001873510442489</v>
      </c>
      <c r="H71" s="264">
        <f>DSUM($B$51:$Y$56,H$51,$C$63:$D71)</f>
        <v>0.99331073834100558</v>
      </c>
      <c r="I71" s="264">
        <f>DSUM($B$51:$Y$56,I$51,$C$63:$D71)</f>
        <v>1.3677363992156901</v>
      </c>
      <c r="J71" s="264">
        <f>DSUM($B$51:$Y$56,J$51,$C$63:$D71)</f>
        <v>1.8112619918979485</v>
      </c>
      <c r="K71" s="264">
        <f>DSUM($B$51:$Y$56,K$51,$C$63:$D71)</f>
        <v>2.3047263805102993</v>
      </c>
      <c r="L71" s="264">
        <f>DSUM($B$51:$Y$56,L$51,$C$63:$D71)</f>
        <v>2.8168872307768393</v>
      </c>
      <c r="M71" s="264">
        <f>DSUM($B$51:$Y$56,M$51,$C$63:$D71)</f>
        <v>3.3087694897422475</v>
      </c>
      <c r="N71" s="264">
        <f>DSUM($B$51:$Y$56,N$51,$C$63:$D71)</f>
        <v>3.7421382688626168</v>
      </c>
      <c r="O71" s="264">
        <f>DSUM($B$51:$Y$56,O$51,$C$63:$D71)</f>
        <v>4.0895921392345578</v>
      </c>
      <c r="P71" s="264">
        <f>DSUM($B$51:$Y$56,P$51,$C$63:$D71)</f>
        <v>4.341993561095685</v>
      </c>
      <c r="Q71" s="264">
        <f>DSUM($B$51:$Y$56,Q$51,$C$63:$D71)</f>
        <v>4.5091236079100581</v>
      </c>
      <c r="R71" s="264">
        <f>DSUM($B$51:$Y$56,R$51,$C$63:$D71)</f>
        <v>4.6131605337066759</v>
      </c>
      <c r="S71" s="264">
        <f>DSUM($B$51:$Y$56,S$51,$C$63:$D71)</f>
        <v>4.6787788608813345</v>
      </c>
      <c r="T71" s="264">
        <f>DSUM($B$51:$Y$56,T$51,$C$63:$D71)</f>
        <v>4.7253199983508303</v>
      </c>
      <c r="U71" s="264">
        <f>DSUM($B$51:$Y$56,U$51,$C$63:$D71)</f>
        <v>4.7642022194620912</v>
      </c>
      <c r="V71" s="264">
        <f>DSUM($B$51:$Y$56,V$51,$C$63:$D71)</f>
        <v>4.8005699591057143</v>
      </c>
      <c r="W71" s="264">
        <f>DSUM($B$51:$Y$56,W$51,$C$63:$D71)</f>
        <v>4.8361877052717981</v>
      </c>
      <c r="X71" s="264">
        <f>DSUM($B$51:$Y$56,X$51,$C$63:$D71)</f>
        <v>4.8715625300536942</v>
      </c>
      <c r="Y71" s="264">
        <f>DSUM($B$51:$Y$56,Y$51,$C$63:$D71)</f>
        <v>60.252934048308546</v>
      </c>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row>
    <row r="72" spans="2:78">
      <c r="B72" s="25" t="s">
        <v>92</v>
      </c>
      <c r="C72" s="340" t="s">
        <v>311</v>
      </c>
      <c r="D72" s="340" t="s">
        <v>312</v>
      </c>
      <c r="E72" s="264">
        <f>DSUM($B$51:$Y$56,E$51,$C$63:$D72)</f>
        <v>0.17592994289584618</v>
      </c>
      <c r="F72" s="264">
        <f>DSUM($B$51:$Y$56,F$51,$C$63:$D72)</f>
        <v>0.39603584404545139</v>
      </c>
      <c r="G72" s="264">
        <f>DSUM($B$51:$Y$56,G$51,$C$63:$D72)</f>
        <v>0.67001873510442489</v>
      </c>
      <c r="H72" s="264">
        <f>DSUM($B$51:$Y$56,H$51,$C$63:$D72)</f>
        <v>0.99331073834100558</v>
      </c>
      <c r="I72" s="264">
        <f>DSUM($B$51:$Y$56,I$51,$C$63:$D72)</f>
        <v>1.3677363992156901</v>
      </c>
      <c r="J72" s="264">
        <f>DSUM($B$51:$Y$56,J$51,$C$63:$D72)</f>
        <v>1.8112619918979485</v>
      </c>
      <c r="K72" s="264">
        <f>DSUM($B$51:$Y$56,K$51,$C$63:$D72)</f>
        <v>2.3047263805102993</v>
      </c>
      <c r="L72" s="264">
        <f>DSUM($B$51:$Y$56,L$51,$C$63:$D72)</f>
        <v>2.8168872307768393</v>
      </c>
      <c r="M72" s="264">
        <f>DSUM($B$51:$Y$56,M$51,$C$63:$D72)</f>
        <v>3.3087694897422475</v>
      </c>
      <c r="N72" s="264">
        <f>DSUM($B$51:$Y$56,N$51,$C$63:$D72)</f>
        <v>3.7421382688626168</v>
      </c>
      <c r="O72" s="264">
        <f>DSUM($B$51:$Y$56,O$51,$C$63:$D72)</f>
        <v>4.0895921392345578</v>
      </c>
      <c r="P72" s="264">
        <f>DSUM($B$51:$Y$56,P$51,$C$63:$D72)</f>
        <v>4.341993561095685</v>
      </c>
      <c r="Q72" s="264">
        <f>DSUM($B$51:$Y$56,Q$51,$C$63:$D72)</f>
        <v>4.5091236079100581</v>
      </c>
      <c r="R72" s="264">
        <f>DSUM($B$51:$Y$56,R$51,$C$63:$D72)</f>
        <v>4.6131605337066759</v>
      </c>
      <c r="S72" s="264">
        <f>DSUM($B$51:$Y$56,S$51,$C$63:$D72)</f>
        <v>4.6787788608813345</v>
      </c>
      <c r="T72" s="264">
        <f>DSUM($B$51:$Y$56,T$51,$C$63:$D72)</f>
        <v>4.7253199983508303</v>
      </c>
      <c r="U72" s="264">
        <f>DSUM($B$51:$Y$56,U$51,$C$63:$D72)</f>
        <v>4.7642022194620912</v>
      </c>
      <c r="V72" s="264">
        <f>DSUM($B$51:$Y$56,V$51,$C$63:$D72)</f>
        <v>4.8005699591057143</v>
      </c>
      <c r="W72" s="264">
        <f>DSUM($B$51:$Y$56,W$51,$C$63:$D72)</f>
        <v>4.8361877052717981</v>
      </c>
      <c r="X72" s="264">
        <f>DSUM($B$51:$Y$56,X$51,$C$63:$D72)</f>
        <v>4.8715625300536942</v>
      </c>
      <c r="Y72" s="264">
        <f>DSUM($B$51:$Y$56,Y$51,$C$63:$D72)</f>
        <v>60.252934048308546</v>
      </c>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row>
    <row r="73" spans="2:78">
      <c r="B73" s="25" t="s">
        <v>93</v>
      </c>
      <c r="C73" s="340" t="s">
        <v>313</v>
      </c>
      <c r="D73" s="340" t="s">
        <v>314</v>
      </c>
      <c r="E73" s="264">
        <f>DSUM($B$51:$Y$56,E$51,$C$63:$D73)</f>
        <v>0.18277537125547275</v>
      </c>
      <c r="F73" s="264">
        <f>DSUM($B$51:$Y$56,F$51,$C$63:$D73)</f>
        <v>0.41144558586445695</v>
      </c>
      <c r="G73" s="264">
        <f>DSUM($B$51:$Y$56,G$51,$C$63:$D73)</f>
        <v>0.69608914230895791</v>
      </c>
      <c r="H73" s="264">
        <f>DSUM($B$51:$Y$56,H$51,$C$63:$D73)</f>
        <v>1.0319604268831468</v>
      </c>
      <c r="I73" s="264">
        <f>DSUM($B$51:$Y$56,I$51,$C$63:$D73)</f>
        <v>1.4209549780520827</v>
      </c>
      <c r="J73" s="264">
        <f>DSUM($B$51:$Y$56,J$51,$C$63:$D73)</f>
        <v>1.8817381371291915</v>
      </c>
      <c r="K73" s="264">
        <f>DSUM($B$51:$Y$56,K$51,$C$63:$D73)</f>
        <v>2.3944032090628156</v>
      </c>
      <c r="L73" s="264">
        <f>DSUM($B$51:$Y$56,L$51,$C$63:$D73)</f>
        <v>2.9264922213658804</v>
      </c>
      <c r="M73" s="264">
        <f>DSUM($B$51:$Y$56,M$51,$C$63:$D73)</f>
        <v>3.4375136030394251</v>
      </c>
      <c r="N73" s="264">
        <f>DSUM($B$51:$Y$56,N$51,$C$63:$D73)</f>
        <v>3.8877447472690903</v>
      </c>
      <c r="O73" s="264">
        <f>DSUM($B$51:$Y$56,O$51,$C$63:$D73)</f>
        <v>4.248718036443516</v>
      </c>
      <c r="P73" s="264">
        <f>DSUM($B$51:$Y$56,P$51,$C$63:$D73)</f>
        <v>4.5109403894251701</v>
      </c>
      <c r="Q73" s="264">
        <f>DSUM($B$51:$Y$56,Q$51,$C$63:$D73)</f>
        <v>4.6845734609286707</v>
      </c>
      <c r="R73" s="264">
        <f>DSUM($B$51:$Y$56,R$51,$C$63:$D73)</f>
        <v>4.7926584601264048</v>
      </c>
      <c r="S73" s="264">
        <f>DSUM($B$51:$Y$56,S$51,$C$63:$D73)</f>
        <v>4.8608299942785624</v>
      </c>
      <c r="T73" s="264">
        <f>DSUM($B$51:$Y$56,T$51,$C$63:$D73)</f>
        <v>4.9091820458942177</v>
      </c>
      <c r="U73" s="264">
        <f>DSUM($B$51:$Y$56,U$51,$C$63:$D73)</f>
        <v>4.9495771729650846</v>
      </c>
      <c r="V73" s="264">
        <f>DSUM($B$51:$Y$56,V$51,$C$63:$D73)</f>
        <v>4.9873599801761399</v>
      </c>
      <c r="W73" s="264">
        <f>DSUM($B$51:$Y$56,W$51,$C$63:$D73)</f>
        <v>5.0243636116878214</v>
      </c>
      <c r="X73" s="264">
        <f>DSUM($B$51:$Y$56,X$51,$C$63:$D73)</f>
        <v>5.061114869752152</v>
      </c>
      <c r="Y73" s="264">
        <f>DSUM($B$51:$Y$56,Y$51,$C$63:$D73)</f>
        <v>62.597373753658673</v>
      </c>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row>
    <row r="74" spans="2:78">
      <c r="B74" s="25" t="s">
        <v>94</v>
      </c>
      <c r="C74" s="340" t="s">
        <v>315</v>
      </c>
      <c r="D74" s="340" t="s">
        <v>316</v>
      </c>
      <c r="E74" s="264">
        <f>DSUM($B$51:$Y$56,E$51,$C$63:$D74)</f>
        <v>0.18277537125547275</v>
      </c>
      <c r="F74" s="264">
        <f>DSUM($B$51:$Y$56,F$51,$C$63:$D74)</f>
        <v>0.41144558586445695</v>
      </c>
      <c r="G74" s="264">
        <f>DSUM($B$51:$Y$56,G$51,$C$63:$D74)</f>
        <v>0.69608914230895791</v>
      </c>
      <c r="H74" s="264">
        <f>DSUM($B$51:$Y$56,H$51,$C$63:$D74)</f>
        <v>1.0319604268831468</v>
      </c>
      <c r="I74" s="264">
        <f>DSUM($B$51:$Y$56,I$51,$C$63:$D74)</f>
        <v>1.4209549780520827</v>
      </c>
      <c r="J74" s="264">
        <f>DSUM($B$51:$Y$56,J$51,$C$63:$D74)</f>
        <v>1.8817381371291915</v>
      </c>
      <c r="K74" s="264">
        <f>DSUM($B$51:$Y$56,K$51,$C$63:$D74)</f>
        <v>2.3944032090628156</v>
      </c>
      <c r="L74" s="264">
        <f>DSUM($B$51:$Y$56,L$51,$C$63:$D74)</f>
        <v>2.9264922213658804</v>
      </c>
      <c r="M74" s="264">
        <f>DSUM($B$51:$Y$56,M$51,$C$63:$D74)</f>
        <v>3.4375136030394251</v>
      </c>
      <c r="N74" s="264">
        <f>DSUM($B$51:$Y$56,N$51,$C$63:$D74)</f>
        <v>3.8877447472690903</v>
      </c>
      <c r="O74" s="264">
        <f>DSUM($B$51:$Y$56,O$51,$C$63:$D74)</f>
        <v>4.248718036443516</v>
      </c>
      <c r="P74" s="264">
        <f>DSUM($B$51:$Y$56,P$51,$C$63:$D74)</f>
        <v>4.5109403894251701</v>
      </c>
      <c r="Q74" s="264">
        <f>DSUM($B$51:$Y$56,Q$51,$C$63:$D74)</f>
        <v>4.6845734609286707</v>
      </c>
      <c r="R74" s="264">
        <f>DSUM($B$51:$Y$56,R$51,$C$63:$D74)</f>
        <v>4.7926584601264048</v>
      </c>
      <c r="S74" s="264">
        <f>DSUM($B$51:$Y$56,S$51,$C$63:$D74)</f>
        <v>4.8608299942785624</v>
      </c>
      <c r="T74" s="264">
        <f>DSUM($B$51:$Y$56,T$51,$C$63:$D74)</f>
        <v>4.9091820458942177</v>
      </c>
      <c r="U74" s="264">
        <f>DSUM($B$51:$Y$56,U$51,$C$63:$D74)</f>
        <v>4.9495771729650846</v>
      </c>
      <c r="V74" s="264">
        <f>DSUM($B$51:$Y$56,V$51,$C$63:$D74)</f>
        <v>4.9873599801761399</v>
      </c>
      <c r="W74" s="264">
        <f>DSUM($B$51:$Y$56,W$51,$C$63:$D74)</f>
        <v>5.0243636116878214</v>
      </c>
      <c r="X74" s="264">
        <f>DSUM($B$51:$Y$56,X$51,$C$63:$D74)</f>
        <v>5.061114869752152</v>
      </c>
      <c r="Y74" s="264">
        <f>DSUM($B$51:$Y$56,Y$51,$C$63:$D74)</f>
        <v>62.597373753658673</v>
      </c>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row>
    <row r="75" spans="2:78">
      <c r="B75" s="25" t="s">
        <v>95</v>
      </c>
      <c r="C75" s="340" t="s">
        <v>317</v>
      </c>
      <c r="D75" s="340" t="s">
        <v>318</v>
      </c>
      <c r="E75" s="264">
        <f>DSUM($B$51:$Y$56,E$51,$C$63:$D75)</f>
        <v>0.18277537125547275</v>
      </c>
      <c r="F75" s="264">
        <f>DSUM($B$51:$Y$56,F$51,$C$63:$D75)</f>
        <v>0.41144558586445695</v>
      </c>
      <c r="G75" s="264">
        <f>DSUM($B$51:$Y$56,G$51,$C$63:$D75)</f>
        <v>0.69608914230895791</v>
      </c>
      <c r="H75" s="264">
        <f>DSUM($B$51:$Y$56,H$51,$C$63:$D75)</f>
        <v>1.0319604268831468</v>
      </c>
      <c r="I75" s="264">
        <f>DSUM($B$51:$Y$56,I$51,$C$63:$D75)</f>
        <v>1.4209549780520827</v>
      </c>
      <c r="J75" s="264">
        <f>DSUM($B$51:$Y$56,J$51,$C$63:$D75)</f>
        <v>1.8817381371291915</v>
      </c>
      <c r="K75" s="264">
        <f>DSUM($B$51:$Y$56,K$51,$C$63:$D75)</f>
        <v>2.3944032090628156</v>
      </c>
      <c r="L75" s="264">
        <f>DSUM($B$51:$Y$56,L$51,$C$63:$D75)</f>
        <v>2.9264922213658804</v>
      </c>
      <c r="M75" s="264">
        <f>DSUM($B$51:$Y$56,M$51,$C$63:$D75)</f>
        <v>3.4375136030394251</v>
      </c>
      <c r="N75" s="264">
        <f>DSUM($B$51:$Y$56,N$51,$C$63:$D75)</f>
        <v>3.8877447472690903</v>
      </c>
      <c r="O75" s="264">
        <f>DSUM($B$51:$Y$56,O$51,$C$63:$D75)</f>
        <v>4.248718036443516</v>
      </c>
      <c r="P75" s="264">
        <f>DSUM($B$51:$Y$56,P$51,$C$63:$D75)</f>
        <v>4.5109403894251701</v>
      </c>
      <c r="Q75" s="264">
        <f>DSUM($B$51:$Y$56,Q$51,$C$63:$D75)</f>
        <v>4.6845734609286707</v>
      </c>
      <c r="R75" s="264">
        <f>DSUM($B$51:$Y$56,R$51,$C$63:$D75)</f>
        <v>4.7926584601264048</v>
      </c>
      <c r="S75" s="264">
        <f>DSUM($B$51:$Y$56,S$51,$C$63:$D75)</f>
        <v>4.8608299942785624</v>
      </c>
      <c r="T75" s="264">
        <f>DSUM($B$51:$Y$56,T$51,$C$63:$D75)</f>
        <v>4.9091820458942177</v>
      </c>
      <c r="U75" s="264">
        <f>DSUM($B$51:$Y$56,U$51,$C$63:$D75)</f>
        <v>4.9495771729650846</v>
      </c>
      <c r="V75" s="264">
        <f>DSUM($B$51:$Y$56,V$51,$C$63:$D75)</f>
        <v>4.9873599801761399</v>
      </c>
      <c r="W75" s="264">
        <f>DSUM($B$51:$Y$56,W$51,$C$63:$D75)</f>
        <v>5.0243636116878214</v>
      </c>
      <c r="X75" s="264">
        <f>DSUM($B$51:$Y$56,X$51,$C$63:$D75)</f>
        <v>5.061114869752152</v>
      </c>
      <c r="Y75" s="264">
        <f>DSUM($B$51:$Y$56,Y$51,$C$63:$D75)</f>
        <v>62.597373753658673</v>
      </c>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row>
    <row r="76" spans="2:78">
      <c r="B76" s="25" t="s">
        <v>96</v>
      </c>
      <c r="C76" s="340" t="s">
        <v>319</v>
      </c>
      <c r="D76" s="340" t="s">
        <v>320</v>
      </c>
      <c r="E76" s="264">
        <f>DSUM($B$51:$Y$56,E$51,$C$63:$D76)</f>
        <v>0.18277537125547275</v>
      </c>
      <c r="F76" s="264">
        <f>DSUM($B$51:$Y$56,F$51,$C$63:$D76)</f>
        <v>0.41144558586445695</v>
      </c>
      <c r="G76" s="264">
        <f>DSUM($B$51:$Y$56,G$51,$C$63:$D76)</f>
        <v>0.69608914230895791</v>
      </c>
      <c r="H76" s="264">
        <f>DSUM($B$51:$Y$56,H$51,$C$63:$D76)</f>
        <v>1.0319604268831468</v>
      </c>
      <c r="I76" s="264">
        <f>DSUM($B$51:$Y$56,I$51,$C$63:$D76)</f>
        <v>1.4209549780520827</v>
      </c>
      <c r="J76" s="264">
        <f>DSUM($B$51:$Y$56,J$51,$C$63:$D76)</f>
        <v>1.8817381371291915</v>
      </c>
      <c r="K76" s="264">
        <f>DSUM($B$51:$Y$56,K$51,$C$63:$D76)</f>
        <v>2.3944032090628156</v>
      </c>
      <c r="L76" s="264">
        <f>DSUM($B$51:$Y$56,L$51,$C$63:$D76)</f>
        <v>2.9264922213658804</v>
      </c>
      <c r="M76" s="264">
        <f>DSUM($B$51:$Y$56,M$51,$C$63:$D76)</f>
        <v>3.4375136030394251</v>
      </c>
      <c r="N76" s="264">
        <f>DSUM($B$51:$Y$56,N$51,$C$63:$D76)</f>
        <v>3.8877447472690903</v>
      </c>
      <c r="O76" s="264">
        <f>DSUM($B$51:$Y$56,O$51,$C$63:$D76)</f>
        <v>4.248718036443516</v>
      </c>
      <c r="P76" s="264">
        <f>DSUM($B$51:$Y$56,P$51,$C$63:$D76)</f>
        <v>4.5109403894251701</v>
      </c>
      <c r="Q76" s="264">
        <f>DSUM($B$51:$Y$56,Q$51,$C$63:$D76)</f>
        <v>4.6845734609286707</v>
      </c>
      <c r="R76" s="264">
        <f>DSUM($B$51:$Y$56,R$51,$C$63:$D76)</f>
        <v>4.7926584601264048</v>
      </c>
      <c r="S76" s="264">
        <f>DSUM($B$51:$Y$56,S$51,$C$63:$D76)</f>
        <v>4.8608299942785624</v>
      </c>
      <c r="T76" s="264">
        <f>DSUM($B$51:$Y$56,T$51,$C$63:$D76)</f>
        <v>4.9091820458942177</v>
      </c>
      <c r="U76" s="264">
        <f>DSUM($B$51:$Y$56,U$51,$C$63:$D76)</f>
        <v>4.9495771729650846</v>
      </c>
      <c r="V76" s="264">
        <f>DSUM($B$51:$Y$56,V$51,$C$63:$D76)</f>
        <v>4.9873599801761399</v>
      </c>
      <c r="W76" s="264">
        <f>DSUM($B$51:$Y$56,W$51,$C$63:$D76)</f>
        <v>5.0243636116878214</v>
      </c>
      <c r="X76" s="264">
        <f>DSUM($B$51:$Y$56,X$51,$C$63:$D76)</f>
        <v>5.061114869752152</v>
      </c>
      <c r="Y76" s="264">
        <f>DSUM($B$51:$Y$56,Y$51,$C$63:$D76)</f>
        <v>62.597373753658673</v>
      </c>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row>
    <row r="77" spans="2:78">
      <c r="B77" s="25" t="s">
        <v>97</v>
      </c>
      <c r="C77" s="340" t="s">
        <v>321</v>
      </c>
      <c r="D77" s="340" t="s">
        <v>322</v>
      </c>
      <c r="E77" s="264">
        <f>DSUM($B$51:$Y$56,E$51,$C$63:$D77)</f>
        <v>0.18277537125547275</v>
      </c>
      <c r="F77" s="264">
        <f>DSUM($B$51:$Y$56,F$51,$C$63:$D77)</f>
        <v>0.41144558586445695</v>
      </c>
      <c r="G77" s="264">
        <f>DSUM($B$51:$Y$56,G$51,$C$63:$D77)</f>
        <v>0.69608914230895791</v>
      </c>
      <c r="H77" s="264">
        <f>DSUM($B$51:$Y$56,H$51,$C$63:$D77)</f>
        <v>1.0319604268831468</v>
      </c>
      <c r="I77" s="264">
        <f>DSUM($B$51:$Y$56,I$51,$C$63:$D77)</f>
        <v>1.4209549780520827</v>
      </c>
      <c r="J77" s="264">
        <f>DSUM($B$51:$Y$56,J$51,$C$63:$D77)</f>
        <v>1.8817381371291915</v>
      </c>
      <c r="K77" s="264">
        <f>DSUM($B$51:$Y$56,K$51,$C$63:$D77)</f>
        <v>2.3944032090628156</v>
      </c>
      <c r="L77" s="264">
        <f>DSUM($B$51:$Y$56,L$51,$C$63:$D77)</f>
        <v>2.9264922213658804</v>
      </c>
      <c r="M77" s="264">
        <f>DSUM($B$51:$Y$56,M$51,$C$63:$D77)</f>
        <v>3.4375136030394251</v>
      </c>
      <c r="N77" s="264">
        <f>DSUM($B$51:$Y$56,N$51,$C$63:$D77)</f>
        <v>3.8877447472690903</v>
      </c>
      <c r="O77" s="264">
        <f>DSUM($B$51:$Y$56,O$51,$C$63:$D77)</f>
        <v>4.248718036443516</v>
      </c>
      <c r="P77" s="264">
        <f>DSUM($B$51:$Y$56,P$51,$C$63:$D77)</f>
        <v>4.5109403894251701</v>
      </c>
      <c r="Q77" s="264">
        <f>DSUM($B$51:$Y$56,Q$51,$C$63:$D77)</f>
        <v>4.6845734609286707</v>
      </c>
      <c r="R77" s="264">
        <f>DSUM($B$51:$Y$56,R$51,$C$63:$D77)</f>
        <v>4.7926584601264048</v>
      </c>
      <c r="S77" s="264">
        <f>DSUM($B$51:$Y$56,S$51,$C$63:$D77)</f>
        <v>4.8608299942785624</v>
      </c>
      <c r="T77" s="264">
        <f>DSUM($B$51:$Y$56,T$51,$C$63:$D77)</f>
        <v>4.9091820458942177</v>
      </c>
      <c r="U77" s="264">
        <f>DSUM($B$51:$Y$56,U$51,$C$63:$D77)</f>
        <v>4.9495771729650846</v>
      </c>
      <c r="V77" s="264">
        <f>DSUM($B$51:$Y$56,V$51,$C$63:$D77)</f>
        <v>4.9873599801761399</v>
      </c>
      <c r="W77" s="264">
        <f>DSUM($B$51:$Y$56,W$51,$C$63:$D77)</f>
        <v>5.0243636116878214</v>
      </c>
      <c r="X77" s="264">
        <f>DSUM($B$51:$Y$56,X$51,$C$63:$D77)</f>
        <v>5.061114869752152</v>
      </c>
      <c r="Y77" s="264">
        <f>DSUM($B$51:$Y$56,Y$51,$C$63:$D77)</f>
        <v>62.597373753658673</v>
      </c>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row>
    <row r="78" spans="2:78">
      <c r="B78" s="25" t="s">
        <v>98</v>
      </c>
      <c r="C78" s="340" t="s">
        <v>323</v>
      </c>
      <c r="D78" s="340" t="s">
        <v>324</v>
      </c>
      <c r="E78" s="264">
        <f>DSUM($B$51:$Y$56,E$51,$C$63:$D78)</f>
        <v>0.18277537125547275</v>
      </c>
      <c r="F78" s="264">
        <f>DSUM($B$51:$Y$56,F$51,$C$63:$D78)</f>
        <v>0.41144558586445695</v>
      </c>
      <c r="G78" s="264">
        <f>DSUM($B$51:$Y$56,G$51,$C$63:$D78)</f>
        <v>0.69608914230895791</v>
      </c>
      <c r="H78" s="264">
        <f>DSUM($B$51:$Y$56,H$51,$C$63:$D78)</f>
        <v>1.0319604268831468</v>
      </c>
      <c r="I78" s="264">
        <f>DSUM($B$51:$Y$56,I$51,$C$63:$D78)</f>
        <v>1.4209549780520827</v>
      </c>
      <c r="J78" s="264">
        <f>DSUM($B$51:$Y$56,J$51,$C$63:$D78)</f>
        <v>1.8817381371291915</v>
      </c>
      <c r="K78" s="264">
        <f>DSUM($B$51:$Y$56,K$51,$C$63:$D78)</f>
        <v>2.3944032090628156</v>
      </c>
      <c r="L78" s="264">
        <f>DSUM($B$51:$Y$56,L$51,$C$63:$D78)</f>
        <v>2.9264922213658804</v>
      </c>
      <c r="M78" s="264">
        <f>DSUM($B$51:$Y$56,M$51,$C$63:$D78)</f>
        <v>3.4375136030394251</v>
      </c>
      <c r="N78" s="264">
        <f>DSUM($B$51:$Y$56,N$51,$C$63:$D78)</f>
        <v>3.8877447472690903</v>
      </c>
      <c r="O78" s="264">
        <f>DSUM($B$51:$Y$56,O$51,$C$63:$D78)</f>
        <v>4.248718036443516</v>
      </c>
      <c r="P78" s="264">
        <f>DSUM($B$51:$Y$56,P$51,$C$63:$D78)</f>
        <v>4.5109403894251701</v>
      </c>
      <c r="Q78" s="264">
        <f>DSUM($B$51:$Y$56,Q$51,$C$63:$D78)</f>
        <v>4.6845734609286707</v>
      </c>
      <c r="R78" s="264">
        <f>DSUM($B$51:$Y$56,R$51,$C$63:$D78)</f>
        <v>4.7926584601264048</v>
      </c>
      <c r="S78" s="264">
        <f>DSUM($B$51:$Y$56,S$51,$C$63:$D78)</f>
        <v>4.8608299942785624</v>
      </c>
      <c r="T78" s="264">
        <f>DSUM($B$51:$Y$56,T$51,$C$63:$D78)</f>
        <v>4.9091820458942177</v>
      </c>
      <c r="U78" s="264">
        <f>DSUM($B$51:$Y$56,U$51,$C$63:$D78)</f>
        <v>4.9495771729650846</v>
      </c>
      <c r="V78" s="264">
        <f>DSUM($B$51:$Y$56,V$51,$C$63:$D78)</f>
        <v>4.9873599801761399</v>
      </c>
      <c r="W78" s="264">
        <f>DSUM($B$51:$Y$56,W$51,$C$63:$D78)</f>
        <v>5.0243636116878214</v>
      </c>
      <c r="X78" s="264">
        <f>DSUM($B$51:$Y$56,X$51,$C$63:$D78)</f>
        <v>5.061114869752152</v>
      </c>
      <c r="Y78" s="264">
        <f>DSUM($B$51:$Y$56,Y$51,$C$63:$D78)</f>
        <v>62.597373753658673</v>
      </c>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row>
    <row r="79" spans="2:78">
      <c r="B79" s="25" t="s">
        <v>99</v>
      </c>
      <c r="C79" s="340" t="s">
        <v>325</v>
      </c>
      <c r="D79" s="340" t="s">
        <v>326</v>
      </c>
      <c r="E79" s="264">
        <f>DSUM($B$51:$Y$56,E$51,$C$63:$D79)</f>
        <v>0.18277537125547275</v>
      </c>
      <c r="F79" s="264">
        <f>DSUM($B$51:$Y$56,F$51,$C$63:$D79)</f>
        <v>0.41144558586445695</v>
      </c>
      <c r="G79" s="264">
        <f>DSUM($B$51:$Y$56,G$51,$C$63:$D79)</f>
        <v>0.69608914230895791</v>
      </c>
      <c r="H79" s="264">
        <f>DSUM($B$51:$Y$56,H$51,$C$63:$D79)</f>
        <v>1.0319604268831468</v>
      </c>
      <c r="I79" s="264">
        <f>DSUM($B$51:$Y$56,I$51,$C$63:$D79)</f>
        <v>1.4209549780520827</v>
      </c>
      <c r="J79" s="264">
        <f>DSUM($B$51:$Y$56,J$51,$C$63:$D79)</f>
        <v>1.8817381371291915</v>
      </c>
      <c r="K79" s="264">
        <f>DSUM($B$51:$Y$56,K$51,$C$63:$D79)</f>
        <v>2.3944032090628156</v>
      </c>
      <c r="L79" s="264">
        <f>DSUM($B$51:$Y$56,L$51,$C$63:$D79)</f>
        <v>2.9264922213658804</v>
      </c>
      <c r="M79" s="264">
        <f>DSUM($B$51:$Y$56,M$51,$C$63:$D79)</f>
        <v>3.4375136030394251</v>
      </c>
      <c r="N79" s="264">
        <f>DSUM($B$51:$Y$56,N$51,$C$63:$D79)</f>
        <v>3.8877447472690903</v>
      </c>
      <c r="O79" s="264">
        <f>DSUM($B$51:$Y$56,O$51,$C$63:$D79)</f>
        <v>4.248718036443516</v>
      </c>
      <c r="P79" s="264">
        <f>DSUM($B$51:$Y$56,P$51,$C$63:$D79)</f>
        <v>4.5109403894251701</v>
      </c>
      <c r="Q79" s="264">
        <f>DSUM($B$51:$Y$56,Q$51,$C$63:$D79)</f>
        <v>4.6845734609286707</v>
      </c>
      <c r="R79" s="264">
        <f>DSUM($B$51:$Y$56,R$51,$C$63:$D79)</f>
        <v>4.7926584601264048</v>
      </c>
      <c r="S79" s="264">
        <f>DSUM($B$51:$Y$56,S$51,$C$63:$D79)</f>
        <v>4.8608299942785624</v>
      </c>
      <c r="T79" s="264">
        <f>DSUM($B$51:$Y$56,T$51,$C$63:$D79)</f>
        <v>4.9091820458942177</v>
      </c>
      <c r="U79" s="264">
        <f>DSUM($B$51:$Y$56,U$51,$C$63:$D79)</f>
        <v>4.9495771729650846</v>
      </c>
      <c r="V79" s="264">
        <f>DSUM($B$51:$Y$56,V$51,$C$63:$D79)</f>
        <v>4.9873599801761399</v>
      </c>
      <c r="W79" s="264">
        <f>DSUM($B$51:$Y$56,W$51,$C$63:$D79)</f>
        <v>5.0243636116878214</v>
      </c>
      <c r="X79" s="264">
        <f>DSUM($B$51:$Y$56,X$51,$C$63:$D79)</f>
        <v>5.061114869752152</v>
      </c>
      <c r="Y79" s="264">
        <f>DSUM($B$51:$Y$56,Y$51,$C$63:$D79)</f>
        <v>62.597373753658673</v>
      </c>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row>
    <row r="80" spans="2:78">
      <c r="B80" s="25" t="s">
        <v>100</v>
      </c>
      <c r="C80" s="340" t="s">
        <v>327</v>
      </c>
      <c r="D80" s="340" t="s">
        <v>328</v>
      </c>
      <c r="E80" s="264">
        <f>DSUM($B$51:$Y$56,E$51,$C$63:$D80)</f>
        <v>0.18277537125547275</v>
      </c>
      <c r="F80" s="264">
        <f>DSUM($B$51:$Y$56,F$51,$C$63:$D80)</f>
        <v>0.41144558586445695</v>
      </c>
      <c r="G80" s="264">
        <f>DSUM($B$51:$Y$56,G$51,$C$63:$D80)</f>
        <v>0.69608914230895791</v>
      </c>
      <c r="H80" s="264">
        <f>DSUM($B$51:$Y$56,H$51,$C$63:$D80)</f>
        <v>1.0319604268831468</v>
      </c>
      <c r="I80" s="264">
        <f>DSUM($B$51:$Y$56,I$51,$C$63:$D80)</f>
        <v>1.4209549780520827</v>
      </c>
      <c r="J80" s="264">
        <f>DSUM($B$51:$Y$56,J$51,$C$63:$D80)</f>
        <v>1.8817381371291915</v>
      </c>
      <c r="K80" s="264">
        <f>DSUM($B$51:$Y$56,K$51,$C$63:$D80)</f>
        <v>2.3944032090628156</v>
      </c>
      <c r="L80" s="264">
        <f>DSUM($B$51:$Y$56,L$51,$C$63:$D80)</f>
        <v>2.9264922213658804</v>
      </c>
      <c r="M80" s="264">
        <f>DSUM($B$51:$Y$56,M$51,$C$63:$D80)</f>
        <v>3.4375136030394251</v>
      </c>
      <c r="N80" s="264">
        <f>DSUM($B$51:$Y$56,N$51,$C$63:$D80)</f>
        <v>3.8877447472690903</v>
      </c>
      <c r="O80" s="264">
        <f>DSUM($B$51:$Y$56,O$51,$C$63:$D80)</f>
        <v>4.248718036443516</v>
      </c>
      <c r="P80" s="264">
        <f>DSUM($B$51:$Y$56,P$51,$C$63:$D80)</f>
        <v>4.5109403894251701</v>
      </c>
      <c r="Q80" s="264">
        <f>DSUM($B$51:$Y$56,Q$51,$C$63:$D80)</f>
        <v>4.6845734609286707</v>
      </c>
      <c r="R80" s="264">
        <f>DSUM($B$51:$Y$56,R$51,$C$63:$D80)</f>
        <v>4.7926584601264048</v>
      </c>
      <c r="S80" s="264">
        <f>DSUM($B$51:$Y$56,S$51,$C$63:$D80)</f>
        <v>4.8608299942785624</v>
      </c>
      <c r="T80" s="264">
        <f>DSUM($B$51:$Y$56,T$51,$C$63:$D80)</f>
        <v>4.9091820458942177</v>
      </c>
      <c r="U80" s="264">
        <f>DSUM($B$51:$Y$56,U$51,$C$63:$D80)</f>
        <v>4.9495771729650846</v>
      </c>
      <c r="V80" s="264">
        <f>DSUM($B$51:$Y$56,V$51,$C$63:$D80)</f>
        <v>4.9873599801761399</v>
      </c>
      <c r="W80" s="264">
        <f>DSUM($B$51:$Y$56,W$51,$C$63:$D80)</f>
        <v>5.0243636116878214</v>
      </c>
      <c r="X80" s="264">
        <f>DSUM($B$51:$Y$56,X$51,$C$63:$D80)</f>
        <v>5.061114869752152</v>
      </c>
      <c r="Y80" s="264">
        <f>DSUM($B$51:$Y$56,Y$51,$C$63:$D80)</f>
        <v>62.597373753658673</v>
      </c>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row>
    <row r="81" spans="2:78">
      <c r="B81" s="25" t="s">
        <v>101</v>
      </c>
      <c r="C81" s="340" t="s">
        <v>329</v>
      </c>
      <c r="D81" s="340" t="s">
        <v>330</v>
      </c>
      <c r="E81" s="264">
        <f>DSUM($B$51:$Y$56,E$51,$C$63:$D81)</f>
        <v>0.18277537125547275</v>
      </c>
      <c r="F81" s="264">
        <f>DSUM($B$51:$Y$56,F$51,$C$63:$D81)</f>
        <v>0.41144558586445695</v>
      </c>
      <c r="G81" s="264">
        <f>DSUM($B$51:$Y$56,G$51,$C$63:$D81)</f>
        <v>0.69608914230895791</v>
      </c>
      <c r="H81" s="264">
        <f>DSUM($B$51:$Y$56,H$51,$C$63:$D81)</f>
        <v>1.0319604268831468</v>
      </c>
      <c r="I81" s="264">
        <f>DSUM($B$51:$Y$56,I$51,$C$63:$D81)</f>
        <v>1.4209549780520827</v>
      </c>
      <c r="J81" s="264">
        <f>DSUM($B$51:$Y$56,J$51,$C$63:$D81)</f>
        <v>1.8817381371291915</v>
      </c>
      <c r="K81" s="264">
        <f>DSUM($B$51:$Y$56,K$51,$C$63:$D81)</f>
        <v>2.3944032090628156</v>
      </c>
      <c r="L81" s="264">
        <f>DSUM($B$51:$Y$56,L$51,$C$63:$D81)</f>
        <v>2.9264922213658804</v>
      </c>
      <c r="M81" s="264">
        <f>DSUM($B$51:$Y$56,M$51,$C$63:$D81)</f>
        <v>3.4375136030394251</v>
      </c>
      <c r="N81" s="264">
        <f>DSUM($B$51:$Y$56,N$51,$C$63:$D81)</f>
        <v>3.8877447472690903</v>
      </c>
      <c r="O81" s="264">
        <f>DSUM($B$51:$Y$56,O$51,$C$63:$D81)</f>
        <v>4.248718036443516</v>
      </c>
      <c r="P81" s="264">
        <f>DSUM($B$51:$Y$56,P$51,$C$63:$D81)</f>
        <v>4.5109403894251701</v>
      </c>
      <c r="Q81" s="264">
        <f>DSUM($B$51:$Y$56,Q$51,$C$63:$D81)</f>
        <v>4.6845734609286707</v>
      </c>
      <c r="R81" s="264">
        <f>DSUM($B$51:$Y$56,R$51,$C$63:$D81)</f>
        <v>4.7926584601264048</v>
      </c>
      <c r="S81" s="264">
        <f>DSUM($B$51:$Y$56,S$51,$C$63:$D81)</f>
        <v>4.8608299942785624</v>
      </c>
      <c r="T81" s="264">
        <f>DSUM($B$51:$Y$56,T$51,$C$63:$D81)</f>
        <v>4.9091820458942177</v>
      </c>
      <c r="U81" s="264">
        <f>DSUM($B$51:$Y$56,U$51,$C$63:$D81)</f>
        <v>4.9495771729650846</v>
      </c>
      <c r="V81" s="264">
        <f>DSUM($B$51:$Y$56,V$51,$C$63:$D81)</f>
        <v>4.9873599801761399</v>
      </c>
      <c r="W81" s="264">
        <f>DSUM($B$51:$Y$56,W$51,$C$63:$D81)</f>
        <v>5.0243636116878214</v>
      </c>
      <c r="X81" s="264">
        <f>DSUM($B$51:$Y$56,X$51,$C$63:$D81)</f>
        <v>5.061114869752152</v>
      </c>
      <c r="Y81" s="264">
        <f>DSUM($B$51:$Y$56,Y$51,$C$63:$D81)</f>
        <v>62.597373753658673</v>
      </c>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row>
    <row r="82" spans="2:78">
      <c r="B82" s="25" t="s">
        <v>102</v>
      </c>
      <c r="C82" s="340" t="s">
        <v>331</v>
      </c>
      <c r="D82" s="340" t="s">
        <v>332</v>
      </c>
      <c r="E82" s="264">
        <f>DSUM($B$51:$Y$56,E$51,$C$63:$D82)</f>
        <v>0.18277537125547275</v>
      </c>
      <c r="F82" s="264">
        <f>DSUM($B$51:$Y$56,F$51,$C$63:$D82)</f>
        <v>0.41144558586445695</v>
      </c>
      <c r="G82" s="264">
        <f>DSUM($B$51:$Y$56,G$51,$C$63:$D82)</f>
        <v>0.69608914230895791</v>
      </c>
      <c r="H82" s="264">
        <f>DSUM($B$51:$Y$56,H$51,$C$63:$D82)</f>
        <v>1.0319604268831468</v>
      </c>
      <c r="I82" s="264">
        <f>DSUM($B$51:$Y$56,I$51,$C$63:$D82)</f>
        <v>1.4209549780520827</v>
      </c>
      <c r="J82" s="264">
        <f>DSUM($B$51:$Y$56,J$51,$C$63:$D82)</f>
        <v>1.8817381371291915</v>
      </c>
      <c r="K82" s="264">
        <f>DSUM($B$51:$Y$56,K$51,$C$63:$D82)</f>
        <v>2.3944032090628156</v>
      </c>
      <c r="L82" s="264">
        <f>DSUM($B$51:$Y$56,L$51,$C$63:$D82)</f>
        <v>2.9264922213658804</v>
      </c>
      <c r="M82" s="264">
        <f>DSUM($B$51:$Y$56,M$51,$C$63:$D82)</f>
        <v>3.4375136030394251</v>
      </c>
      <c r="N82" s="264">
        <f>DSUM($B$51:$Y$56,N$51,$C$63:$D82)</f>
        <v>3.8877447472690903</v>
      </c>
      <c r="O82" s="264">
        <f>DSUM($B$51:$Y$56,O$51,$C$63:$D82)</f>
        <v>4.248718036443516</v>
      </c>
      <c r="P82" s="264">
        <f>DSUM($B$51:$Y$56,P$51,$C$63:$D82)</f>
        <v>4.5109403894251701</v>
      </c>
      <c r="Q82" s="264">
        <f>DSUM($B$51:$Y$56,Q$51,$C$63:$D82)</f>
        <v>4.6845734609286707</v>
      </c>
      <c r="R82" s="264">
        <f>DSUM($B$51:$Y$56,R$51,$C$63:$D82)</f>
        <v>4.7926584601264048</v>
      </c>
      <c r="S82" s="264">
        <f>DSUM($B$51:$Y$56,S$51,$C$63:$D82)</f>
        <v>4.8608299942785624</v>
      </c>
      <c r="T82" s="264">
        <f>DSUM($B$51:$Y$56,T$51,$C$63:$D82)</f>
        <v>4.9091820458942177</v>
      </c>
      <c r="U82" s="264">
        <f>DSUM($B$51:$Y$56,U$51,$C$63:$D82)</f>
        <v>4.9495771729650846</v>
      </c>
      <c r="V82" s="264">
        <f>DSUM($B$51:$Y$56,V$51,$C$63:$D82)</f>
        <v>4.9873599801761399</v>
      </c>
      <c r="W82" s="264">
        <f>DSUM($B$51:$Y$56,W$51,$C$63:$D82)</f>
        <v>5.0243636116878214</v>
      </c>
      <c r="X82" s="264">
        <f>DSUM($B$51:$Y$56,X$51,$C$63:$D82)</f>
        <v>5.061114869752152</v>
      </c>
      <c r="Y82" s="264">
        <f>DSUM($B$51:$Y$56,Y$51,$C$63:$D82)</f>
        <v>62.597373753658673</v>
      </c>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row>
    <row r="83" spans="2:78">
      <c r="B83" s="25" t="s">
        <v>103</v>
      </c>
      <c r="C83" s="340" t="s">
        <v>333</v>
      </c>
      <c r="D83" s="340" t="s">
        <v>334</v>
      </c>
      <c r="E83" s="264">
        <f>DSUM($B$51:$Y$56,E$51,$C$63:$D83)</f>
        <v>0.18277537125547275</v>
      </c>
      <c r="F83" s="264">
        <f>DSUM($B$51:$Y$56,F$51,$C$63:$D83)</f>
        <v>0.41144558586445695</v>
      </c>
      <c r="G83" s="264">
        <f>DSUM($B$51:$Y$56,G$51,$C$63:$D83)</f>
        <v>0.69608914230895791</v>
      </c>
      <c r="H83" s="264">
        <f>DSUM($B$51:$Y$56,H$51,$C$63:$D83)</f>
        <v>1.0319604268831468</v>
      </c>
      <c r="I83" s="264">
        <f>DSUM($B$51:$Y$56,I$51,$C$63:$D83)</f>
        <v>1.4209549780520827</v>
      </c>
      <c r="J83" s="264">
        <f>DSUM($B$51:$Y$56,J$51,$C$63:$D83)</f>
        <v>1.8817381371291915</v>
      </c>
      <c r="K83" s="264">
        <f>DSUM($B$51:$Y$56,K$51,$C$63:$D83)</f>
        <v>2.3944032090628156</v>
      </c>
      <c r="L83" s="264">
        <f>DSUM($B$51:$Y$56,L$51,$C$63:$D83)</f>
        <v>2.9264922213658804</v>
      </c>
      <c r="M83" s="264">
        <f>DSUM($B$51:$Y$56,M$51,$C$63:$D83)</f>
        <v>3.4375136030394251</v>
      </c>
      <c r="N83" s="264">
        <f>DSUM($B$51:$Y$56,N$51,$C$63:$D83)</f>
        <v>3.8877447472690903</v>
      </c>
      <c r="O83" s="264">
        <f>DSUM($B$51:$Y$56,O$51,$C$63:$D83)</f>
        <v>4.248718036443516</v>
      </c>
      <c r="P83" s="264">
        <f>DSUM($B$51:$Y$56,P$51,$C$63:$D83)</f>
        <v>4.5109403894251701</v>
      </c>
      <c r="Q83" s="264">
        <f>DSUM($B$51:$Y$56,Q$51,$C$63:$D83)</f>
        <v>4.6845734609286707</v>
      </c>
      <c r="R83" s="264">
        <f>DSUM($B$51:$Y$56,R$51,$C$63:$D83)</f>
        <v>4.7926584601264048</v>
      </c>
      <c r="S83" s="264">
        <f>DSUM($B$51:$Y$56,S$51,$C$63:$D83)</f>
        <v>4.8608299942785624</v>
      </c>
      <c r="T83" s="264">
        <f>DSUM($B$51:$Y$56,T$51,$C$63:$D83)</f>
        <v>4.9091820458942177</v>
      </c>
      <c r="U83" s="264">
        <f>DSUM($B$51:$Y$56,U$51,$C$63:$D83)</f>
        <v>4.9495771729650846</v>
      </c>
      <c r="V83" s="264">
        <f>DSUM($B$51:$Y$56,V$51,$C$63:$D83)</f>
        <v>4.9873599801761399</v>
      </c>
      <c r="W83" s="264">
        <f>DSUM($B$51:$Y$56,W$51,$C$63:$D83)</f>
        <v>5.0243636116878214</v>
      </c>
      <c r="X83" s="264">
        <f>DSUM($B$51:$Y$56,X$51,$C$63:$D83)</f>
        <v>5.061114869752152</v>
      </c>
      <c r="Y83" s="264">
        <f>DSUM($B$51:$Y$56,Y$51,$C$63:$D83)</f>
        <v>62.597373753658673</v>
      </c>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row>
    <row r="84" spans="2:78">
      <c r="B84" s="25" t="s">
        <v>104</v>
      </c>
      <c r="C84" s="340" t="s">
        <v>335</v>
      </c>
      <c r="D84" s="340" t="s">
        <v>336</v>
      </c>
      <c r="E84" s="264">
        <f>DSUM($B$51:$Y$56,E$51,$C$63:$D84)</f>
        <v>0.18277537125547275</v>
      </c>
      <c r="F84" s="264">
        <f>DSUM($B$51:$Y$56,F$51,$C$63:$D84)</f>
        <v>0.41144558586445695</v>
      </c>
      <c r="G84" s="264">
        <f>DSUM($B$51:$Y$56,G$51,$C$63:$D84)</f>
        <v>0.69608914230895791</v>
      </c>
      <c r="H84" s="264">
        <f>DSUM($B$51:$Y$56,H$51,$C$63:$D84)</f>
        <v>1.0319604268831468</v>
      </c>
      <c r="I84" s="264">
        <f>DSUM($B$51:$Y$56,I$51,$C$63:$D84)</f>
        <v>1.4209549780520827</v>
      </c>
      <c r="J84" s="264">
        <f>DSUM($B$51:$Y$56,J$51,$C$63:$D84)</f>
        <v>1.8817381371291915</v>
      </c>
      <c r="K84" s="264">
        <f>DSUM($B$51:$Y$56,K$51,$C$63:$D84)</f>
        <v>2.3944032090628156</v>
      </c>
      <c r="L84" s="264">
        <f>DSUM($B$51:$Y$56,L$51,$C$63:$D84)</f>
        <v>2.9264922213658804</v>
      </c>
      <c r="M84" s="264">
        <f>DSUM($B$51:$Y$56,M$51,$C$63:$D84)</f>
        <v>3.4375136030394251</v>
      </c>
      <c r="N84" s="264">
        <f>DSUM($B$51:$Y$56,N$51,$C$63:$D84)</f>
        <v>3.8877447472690903</v>
      </c>
      <c r="O84" s="264">
        <f>DSUM($B$51:$Y$56,O$51,$C$63:$D84)</f>
        <v>4.248718036443516</v>
      </c>
      <c r="P84" s="264">
        <f>DSUM($B$51:$Y$56,P$51,$C$63:$D84)</f>
        <v>4.5109403894251701</v>
      </c>
      <c r="Q84" s="264">
        <f>DSUM($B$51:$Y$56,Q$51,$C$63:$D84)</f>
        <v>4.6845734609286707</v>
      </c>
      <c r="R84" s="264">
        <f>DSUM($B$51:$Y$56,R$51,$C$63:$D84)</f>
        <v>4.7926584601264048</v>
      </c>
      <c r="S84" s="264">
        <f>DSUM($B$51:$Y$56,S$51,$C$63:$D84)</f>
        <v>4.8608299942785624</v>
      </c>
      <c r="T84" s="264">
        <f>DSUM($B$51:$Y$56,T$51,$C$63:$D84)</f>
        <v>4.9091820458942177</v>
      </c>
      <c r="U84" s="264">
        <f>DSUM($B$51:$Y$56,U$51,$C$63:$D84)</f>
        <v>4.9495771729650846</v>
      </c>
      <c r="V84" s="264">
        <f>DSUM($B$51:$Y$56,V$51,$C$63:$D84)</f>
        <v>4.9873599801761399</v>
      </c>
      <c r="W84" s="264">
        <f>DSUM($B$51:$Y$56,W$51,$C$63:$D84)</f>
        <v>5.0243636116878214</v>
      </c>
      <c r="X84" s="264">
        <f>DSUM($B$51:$Y$56,X$51,$C$63:$D84)</f>
        <v>5.061114869752152</v>
      </c>
      <c r="Y84" s="264">
        <f>DSUM($B$51:$Y$56,Y$51,$C$63:$D84)</f>
        <v>62.597373753658673</v>
      </c>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row>
    <row r="85" spans="2:78">
      <c r="B85" s="25" t="s">
        <v>909</v>
      </c>
      <c r="C85" s="340" t="s">
        <v>337</v>
      </c>
      <c r="D85" s="340" t="s">
        <v>910</v>
      </c>
      <c r="E85" s="264">
        <f>DSUM($B$51:$Y$56,E$51,$C$63:$D85)</f>
        <v>0.18277537125547275</v>
      </c>
      <c r="F85" s="264">
        <f>DSUM($B$51:$Y$56,F$51,$C$63:$D85)</f>
        <v>0.41144558586445695</v>
      </c>
      <c r="G85" s="264">
        <f>DSUM($B$51:$Y$56,G$51,$C$63:$D85)</f>
        <v>0.69608914230895791</v>
      </c>
      <c r="H85" s="264">
        <f>DSUM($B$51:$Y$56,H$51,$C$63:$D85)</f>
        <v>1.0319604268831468</v>
      </c>
      <c r="I85" s="264">
        <f>DSUM($B$51:$Y$56,I$51,$C$63:$D85)</f>
        <v>1.4209549780520827</v>
      </c>
      <c r="J85" s="264">
        <f>DSUM($B$51:$Y$56,J$51,$C$63:$D85)</f>
        <v>1.8817381371291915</v>
      </c>
      <c r="K85" s="264">
        <f>DSUM($B$51:$Y$56,K$51,$C$63:$D85)</f>
        <v>2.3944032090628156</v>
      </c>
      <c r="L85" s="264">
        <f>DSUM($B$51:$Y$56,L$51,$C$63:$D85)</f>
        <v>2.9264922213658804</v>
      </c>
      <c r="M85" s="264">
        <f>DSUM($B$51:$Y$56,M$51,$C$63:$D85)</f>
        <v>3.4375136030394251</v>
      </c>
      <c r="N85" s="264">
        <f>DSUM($B$51:$Y$56,N$51,$C$63:$D85)</f>
        <v>3.8877447472690903</v>
      </c>
      <c r="O85" s="264">
        <f>DSUM($B$51:$Y$56,O$51,$C$63:$D85)</f>
        <v>4.248718036443516</v>
      </c>
      <c r="P85" s="264">
        <f>DSUM($B$51:$Y$56,P$51,$C$63:$D85)</f>
        <v>4.5109403894251701</v>
      </c>
      <c r="Q85" s="264">
        <f>DSUM($B$51:$Y$56,Q$51,$C$63:$D85)</f>
        <v>4.6845734609286707</v>
      </c>
      <c r="R85" s="264">
        <f>DSUM($B$51:$Y$56,R$51,$C$63:$D85)</f>
        <v>4.7926584601264048</v>
      </c>
      <c r="S85" s="264">
        <f>DSUM($B$51:$Y$56,S$51,$C$63:$D85)</f>
        <v>4.8608299942785624</v>
      </c>
      <c r="T85" s="264">
        <f>DSUM($B$51:$Y$56,T$51,$C$63:$D85)</f>
        <v>4.9091820458942177</v>
      </c>
      <c r="U85" s="264">
        <f>DSUM($B$51:$Y$56,U$51,$C$63:$D85)</f>
        <v>4.9495771729650846</v>
      </c>
      <c r="V85" s="264">
        <f>DSUM($B$51:$Y$56,V$51,$C$63:$D85)</f>
        <v>4.9873599801761399</v>
      </c>
      <c r="W85" s="264">
        <f>DSUM($B$51:$Y$56,W$51,$C$63:$D85)</f>
        <v>5.0243636116878214</v>
      </c>
      <c r="X85" s="264">
        <f>DSUM($B$51:$Y$56,X$51,$C$63:$D85)</f>
        <v>5.061114869752152</v>
      </c>
      <c r="Y85" s="264">
        <f>DSUM($B$51:$Y$56,Y$51,$C$63:$D85)</f>
        <v>62.597373753658673</v>
      </c>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row>
    <row r="86" spans="2:78">
      <c r="B86" s="25" t="s">
        <v>911</v>
      </c>
      <c r="C86" s="340" t="s">
        <v>912</v>
      </c>
      <c r="D86" s="340" t="s">
        <v>913</v>
      </c>
      <c r="E86" s="264">
        <f>DSUM($B$51:$Y$56,E$51,$C$63:$D86)</f>
        <v>0.18277537125547275</v>
      </c>
      <c r="F86" s="264">
        <f>DSUM($B$51:$Y$56,F$51,$C$63:$D86)</f>
        <v>0.41144558586445695</v>
      </c>
      <c r="G86" s="264">
        <f>DSUM($B$51:$Y$56,G$51,$C$63:$D86)</f>
        <v>0.69608914230895791</v>
      </c>
      <c r="H86" s="264">
        <f>DSUM($B$51:$Y$56,H$51,$C$63:$D86)</f>
        <v>1.0319604268831468</v>
      </c>
      <c r="I86" s="264">
        <f>DSUM($B$51:$Y$56,I$51,$C$63:$D86)</f>
        <v>1.4209549780520827</v>
      </c>
      <c r="J86" s="264">
        <f>DSUM($B$51:$Y$56,J$51,$C$63:$D86)</f>
        <v>1.8817381371291915</v>
      </c>
      <c r="K86" s="264">
        <f>DSUM($B$51:$Y$56,K$51,$C$63:$D86)</f>
        <v>2.3944032090628156</v>
      </c>
      <c r="L86" s="264">
        <f>DSUM($B$51:$Y$56,L$51,$C$63:$D86)</f>
        <v>2.9264922213658804</v>
      </c>
      <c r="M86" s="264">
        <f>DSUM($B$51:$Y$56,M$51,$C$63:$D86)</f>
        <v>3.4375136030394251</v>
      </c>
      <c r="N86" s="264">
        <f>DSUM($B$51:$Y$56,N$51,$C$63:$D86)</f>
        <v>3.8877447472690903</v>
      </c>
      <c r="O86" s="264">
        <f>DSUM($B$51:$Y$56,O$51,$C$63:$D86)</f>
        <v>4.248718036443516</v>
      </c>
      <c r="P86" s="264">
        <f>DSUM($B$51:$Y$56,P$51,$C$63:$D86)</f>
        <v>4.5109403894251701</v>
      </c>
      <c r="Q86" s="264">
        <f>DSUM($B$51:$Y$56,Q$51,$C$63:$D86)</f>
        <v>4.6845734609286707</v>
      </c>
      <c r="R86" s="264">
        <f>DSUM($B$51:$Y$56,R$51,$C$63:$D86)</f>
        <v>4.7926584601264048</v>
      </c>
      <c r="S86" s="264">
        <f>DSUM($B$51:$Y$56,S$51,$C$63:$D86)</f>
        <v>4.8608299942785624</v>
      </c>
      <c r="T86" s="264">
        <f>DSUM($B$51:$Y$56,T$51,$C$63:$D86)</f>
        <v>4.9091820458942177</v>
      </c>
      <c r="U86" s="264">
        <f>DSUM($B$51:$Y$56,U$51,$C$63:$D86)</f>
        <v>4.9495771729650846</v>
      </c>
      <c r="V86" s="264">
        <f>DSUM($B$51:$Y$56,V$51,$C$63:$D86)</f>
        <v>4.9873599801761399</v>
      </c>
      <c r="W86" s="264">
        <f>DSUM($B$51:$Y$56,W$51,$C$63:$D86)</f>
        <v>5.0243636116878214</v>
      </c>
      <c r="X86" s="264">
        <f>DSUM($B$51:$Y$56,X$51,$C$63:$D86)</f>
        <v>5.061114869752152</v>
      </c>
      <c r="Y86" s="264">
        <f>DSUM($B$51:$Y$56,Y$51,$C$63:$D86)</f>
        <v>62.597373753658673</v>
      </c>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row>
    <row r="87" spans="2:78">
      <c r="B87" s="25" t="s">
        <v>914</v>
      </c>
      <c r="C87" s="340" t="s">
        <v>915</v>
      </c>
      <c r="D87" s="340" t="s">
        <v>916</v>
      </c>
      <c r="E87" s="264">
        <f>DSUM($B$51:$Y$56,E$51,$C$63:$D87)</f>
        <v>0.18277537125547275</v>
      </c>
      <c r="F87" s="264">
        <f>DSUM($B$51:$Y$56,F$51,$C$63:$D87)</f>
        <v>0.41144558586445695</v>
      </c>
      <c r="G87" s="264">
        <f>DSUM($B$51:$Y$56,G$51,$C$63:$D87)</f>
        <v>0.69608914230895791</v>
      </c>
      <c r="H87" s="264">
        <f>DSUM($B$51:$Y$56,H$51,$C$63:$D87)</f>
        <v>1.0319604268831468</v>
      </c>
      <c r="I87" s="264">
        <f>DSUM($B$51:$Y$56,I$51,$C$63:$D87)</f>
        <v>1.4209549780520827</v>
      </c>
      <c r="J87" s="264">
        <f>DSUM($B$51:$Y$56,J$51,$C$63:$D87)</f>
        <v>1.8817381371291915</v>
      </c>
      <c r="K87" s="264">
        <f>DSUM($B$51:$Y$56,K$51,$C$63:$D87)</f>
        <v>2.3944032090628156</v>
      </c>
      <c r="L87" s="264">
        <f>DSUM($B$51:$Y$56,L$51,$C$63:$D87)</f>
        <v>2.9264922213658804</v>
      </c>
      <c r="M87" s="264">
        <f>DSUM($B$51:$Y$56,M$51,$C$63:$D87)</f>
        <v>3.4375136030394251</v>
      </c>
      <c r="N87" s="264">
        <f>DSUM($B$51:$Y$56,N$51,$C$63:$D87)</f>
        <v>3.8877447472690903</v>
      </c>
      <c r="O87" s="264">
        <f>DSUM($B$51:$Y$56,O$51,$C$63:$D87)</f>
        <v>4.248718036443516</v>
      </c>
      <c r="P87" s="264">
        <f>DSUM($B$51:$Y$56,P$51,$C$63:$D87)</f>
        <v>4.5109403894251701</v>
      </c>
      <c r="Q87" s="264">
        <f>DSUM($B$51:$Y$56,Q$51,$C$63:$D87)</f>
        <v>4.6845734609286707</v>
      </c>
      <c r="R87" s="264">
        <f>DSUM($B$51:$Y$56,R$51,$C$63:$D87)</f>
        <v>4.7926584601264048</v>
      </c>
      <c r="S87" s="264">
        <f>DSUM($B$51:$Y$56,S$51,$C$63:$D87)</f>
        <v>4.8608299942785624</v>
      </c>
      <c r="T87" s="264">
        <f>DSUM($B$51:$Y$56,T$51,$C$63:$D87)</f>
        <v>4.9091820458942177</v>
      </c>
      <c r="U87" s="264">
        <f>DSUM($B$51:$Y$56,U$51,$C$63:$D87)</f>
        <v>4.9495771729650846</v>
      </c>
      <c r="V87" s="264">
        <f>DSUM($B$51:$Y$56,V$51,$C$63:$D87)</f>
        <v>4.9873599801761399</v>
      </c>
      <c r="W87" s="264">
        <f>DSUM($B$51:$Y$56,W$51,$C$63:$D87)</f>
        <v>5.0243636116878214</v>
      </c>
      <c r="X87" s="264">
        <f>DSUM($B$51:$Y$56,X$51,$C$63:$D87)</f>
        <v>5.061114869752152</v>
      </c>
      <c r="Y87" s="264">
        <f>DSUM($B$51:$Y$56,Y$51,$C$63:$D87)</f>
        <v>62.597373753658673</v>
      </c>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row>
    <row r="88" spans="2:78">
      <c r="B88" s="25" t="s">
        <v>917</v>
      </c>
      <c r="C88" s="340" t="s">
        <v>918</v>
      </c>
      <c r="D88" s="340" t="s">
        <v>919</v>
      </c>
      <c r="E88" s="264">
        <f>DSUM($B$51:$Y$56,E$51,$C$63:$D88)</f>
        <v>0.18277537125547275</v>
      </c>
      <c r="F88" s="264">
        <f>DSUM($B$51:$Y$56,F$51,$C$63:$D88)</f>
        <v>0.41144558586445695</v>
      </c>
      <c r="G88" s="264">
        <f>DSUM($B$51:$Y$56,G$51,$C$63:$D88)</f>
        <v>0.69608914230895791</v>
      </c>
      <c r="H88" s="264">
        <f>DSUM($B$51:$Y$56,H$51,$C$63:$D88)</f>
        <v>1.0319604268831468</v>
      </c>
      <c r="I88" s="264">
        <f>DSUM($B$51:$Y$56,I$51,$C$63:$D88)</f>
        <v>1.4209549780520827</v>
      </c>
      <c r="J88" s="264">
        <f>DSUM($B$51:$Y$56,J$51,$C$63:$D88)</f>
        <v>1.8817381371291915</v>
      </c>
      <c r="K88" s="264">
        <f>DSUM($B$51:$Y$56,K$51,$C$63:$D88)</f>
        <v>2.3944032090628156</v>
      </c>
      <c r="L88" s="264">
        <f>DSUM($B$51:$Y$56,L$51,$C$63:$D88)</f>
        <v>2.9264922213658804</v>
      </c>
      <c r="M88" s="264">
        <f>DSUM($B$51:$Y$56,M$51,$C$63:$D88)</f>
        <v>3.4375136030394251</v>
      </c>
      <c r="N88" s="264">
        <f>DSUM($B$51:$Y$56,N$51,$C$63:$D88)</f>
        <v>3.8877447472690903</v>
      </c>
      <c r="O88" s="264">
        <f>DSUM($B$51:$Y$56,O$51,$C$63:$D88)</f>
        <v>4.248718036443516</v>
      </c>
      <c r="P88" s="264">
        <f>DSUM($B$51:$Y$56,P$51,$C$63:$D88)</f>
        <v>4.5109403894251701</v>
      </c>
      <c r="Q88" s="264">
        <f>DSUM($B$51:$Y$56,Q$51,$C$63:$D88)</f>
        <v>4.6845734609286707</v>
      </c>
      <c r="R88" s="264">
        <f>DSUM($B$51:$Y$56,R$51,$C$63:$D88)</f>
        <v>4.7926584601264048</v>
      </c>
      <c r="S88" s="264">
        <f>DSUM($B$51:$Y$56,S$51,$C$63:$D88)</f>
        <v>4.8608299942785624</v>
      </c>
      <c r="T88" s="264">
        <f>DSUM($B$51:$Y$56,T$51,$C$63:$D88)</f>
        <v>4.9091820458942177</v>
      </c>
      <c r="U88" s="264">
        <f>DSUM($B$51:$Y$56,U$51,$C$63:$D88)</f>
        <v>4.9495771729650846</v>
      </c>
      <c r="V88" s="264">
        <f>DSUM($B$51:$Y$56,V$51,$C$63:$D88)</f>
        <v>4.9873599801761399</v>
      </c>
      <c r="W88" s="264">
        <f>DSUM($B$51:$Y$56,W$51,$C$63:$D88)</f>
        <v>5.0243636116878214</v>
      </c>
      <c r="X88" s="264">
        <f>DSUM($B$51:$Y$56,X$51,$C$63:$D88)</f>
        <v>5.061114869752152</v>
      </c>
      <c r="Y88" s="264">
        <f>DSUM($B$51:$Y$56,Y$51,$C$63:$D88)</f>
        <v>62.597373753658673</v>
      </c>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row>
    <row r="89" spans="2:78">
      <c r="B89" s="25" t="s">
        <v>920</v>
      </c>
      <c r="C89" s="340" t="s">
        <v>921</v>
      </c>
      <c r="D89" s="340" t="s">
        <v>922</v>
      </c>
      <c r="E89" s="264">
        <f>DSUM($B$51:$Y$56,E$51,$C$63:$D89)</f>
        <v>0.18277537125547275</v>
      </c>
      <c r="F89" s="264">
        <f>DSUM($B$51:$Y$56,F$51,$C$63:$D89)</f>
        <v>0.41144558586445695</v>
      </c>
      <c r="G89" s="264">
        <f>DSUM($B$51:$Y$56,G$51,$C$63:$D89)</f>
        <v>0.69608914230895791</v>
      </c>
      <c r="H89" s="264">
        <f>DSUM($B$51:$Y$56,H$51,$C$63:$D89)</f>
        <v>1.0319604268831468</v>
      </c>
      <c r="I89" s="264">
        <f>DSUM($B$51:$Y$56,I$51,$C$63:$D89)</f>
        <v>1.4209549780520827</v>
      </c>
      <c r="J89" s="264">
        <f>DSUM($B$51:$Y$56,J$51,$C$63:$D89)</f>
        <v>1.8817381371291915</v>
      </c>
      <c r="K89" s="264">
        <f>DSUM($B$51:$Y$56,K$51,$C$63:$D89)</f>
        <v>2.3944032090628156</v>
      </c>
      <c r="L89" s="264">
        <f>DSUM($B$51:$Y$56,L$51,$C$63:$D89)</f>
        <v>2.9264922213658804</v>
      </c>
      <c r="M89" s="264">
        <f>DSUM($B$51:$Y$56,M$51,$C$63:$D89)</f>
        <v>3.4375136030394251</v>
      </c>
      <c r="N89" s="264">
        <f>DSUM($B$51:$Y$56,N$51,$C$63:$D89)</f>
        <v>3.8877447472690903</v>
      </c>
      <c r="O89" s="264">
        <f>DSUM($B$51:$Y$56,O$51,$C$63:$D89)</f>
        <v>4.248718036443516</v>
      </c>
      <c r="P89" s="264">
        <f>DSUM($B$51:$Y$56,P$51,$C$63:$D89)</f>
        <v>4.5109403894251701</v>
      </c>
      <c r="Q89" s="264">
        <f>DSUM($B$51:$Y$56,Q$51,$C$63:$D89)</f>
        <v>4.6845734609286707</v>
      </c>
      <c r="R89" s="264">
        <f>DSUM($B$51:$Y$56,R$51,$C$63:$D89)</f>
        <v>4.7926584601264048</v>
      </c>
      <c r="S89" s="264">
        <f>DSUM($B$51:$Y$56,S$51,$C$63:$D89)</f>
        <v>4.8608299942785624</v>
      </c>
      <c r="T89" s="264">
        <f>DSUM($B$51:$Y$56,T$51,$C$63:$D89)</f>
        <v>4.9091820458942177</v>
      </c>
      <c r="U89" s="264">
        <f>DSUM($B$51:$Y$56,U$51,$C$63:$D89)</f>
        <v>4.9495771729650846</v>
      </c>
      <c r="V89" s="264">
        <f>DSUM($B$51:$Y$56,V$51,$C$63:$D89)</f>
        <v>4.9873599801761399</v>
      </c>
      <c r="W89" s="264">
        <f>DSUM($B$51:$Y$56,W$51,$C$63:$D89)</f>
        <v>5.0243636116878214</v>
      </c>
      <c r="X89" s="264">
        <f>DSUM($B$51:$Y$56,X$51,$C$63:$D89)</f>
        <v>5.061114869752152</v>
      </c>
      <c r="Y89" s="264">
        <f>DSUM($B$51:$Y$56,Y$51,$C$63:$D89)</f>
        <v>62.597373753658673</v>
      </c>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row>
    <row r="90" spans="2:78">
      <c r="B90" s="25" t="s">
        <v>923</v>
      </c>
      <c r="C90" s="340" t="s">
        <v>924</v>
      </c>
      <c r="D90" s="340" t="s">
        <v>925</v>
      </c>
      <c r="E90" s="264">
        <f>DSUM($B$51:$Y$56,E$51,$C$63:$D90)</f>
        <v>0.18277537125547275</v>
      </c>
      <c r="F90" s="264">
        <f>DSUM($B$51:$Y$56,F$51,$C$63:$D90)</f>
        <v>0.41144558586445695</v>
      </c>
      <c r="G90" s="264">
        <f>DSUM($B$51:$Y$56,G$51,$C$63:$D90)</f>
        <v>0.69608914230895791</v>
      </c>
      <c r="H90" s="264">
        <f>DSUM($B$51:$Y$56,H$51,$C$63:$D90)</f>
        <v>1.0319604268831468</v>
      </c>
      <c r="I90" s="264">
        <f>DSUM($B$51:$Y$56,I$51,$C$63:$D90)</f>
        <v>1.4209549780520827</v>
      </c>
      <c r="J90" s="264">
        <f>DSUM($B$51:$Y$56,J$51,$C$63:$D90)</f>
        <v>1.8817381371291915</v>
      </c>
      <c r="K90" s="264">
        <f>DSUM($B$51:$Y$56,K$51,$C$63:$D90)</f>
        <v>2.3944032090628156</v>
      </c>
      <c r="L90" s="264">
        <f>DSUM($B$51:$Y$56,L$51,$C$63:$D90)</f>
        <v>2.9264922213658804</v>
      </c>
      <c r="M90" s="264">
        <f>DSUM($B$51:$Y$56,M$51,$C$63:$D90)</f>
        <v>3.4375136030394251</v>
      </c>
      <c r="N90" s="264">
        <f>DSUM($B$51:$Y$56,N$51,$C$63:$D90)</f>
        <v>3.8877447472690903</v>
      </c>
      <c r="O90" s="264">
        <f>DSUM($B$51:$Y$56,O$51,$C$63:$D90)</f>
        <v>4.248718036443516</v>
      </c>
      <c r="P90" s="264">
        <f>DSUM($B$51:$Y$56,P$51,$C$63:$D90)</f>
        <v>4.5109403894251701</v>
      </c>
      <c r="Q90" s="264">
        <f>DSUM($B$51:$Y$56,Q$51,$C$63:$D90)</f>
        <v>4.6845734609286707</v>
      </c>
      <c r="R90" s="264">
        <f>DSUM($B$51:$Y$56,R$51,$C$63:$D90)</f>
        <v>4.7926584601264048</v>
      </c>
      <c r="S90" s="264">
        <f>DSUM($B$51:$Y$56,S$51,$C$63:$D90)</f>
        <v>4.8608299942785624</v>
      </c>
      <c r="T90" s="264">
        <f>DSUM($B$51:$Y$56,T$51,$C$63:$D90)</f>
        <v>4.9091820458942177</v>
      </c>
      <c r="U90" s="264">
        <f>DSUM($B$51:$Y$56,U$51,$C$63:$D90)</f>
        <v>4.9495771729650846</v>
      </c>
      <c r="V90" s="264">
        <f>DSUM($B$51:$Y$56,V$51,$C$63:$D90)</f>
        <v>4.9873599801761399</v>
      </c>
      <c r="W90" s="264">
        <f>DSUM($B$51:$Y$56,W$51,$C$63:$D90)</f>
        <v>5.0243636116878214</v>
      </c>
      <c r="X90" s="264">
        <f>DSUM($B$51:$Y$56,X$51,$C$63:$D90)</f>
        <v>5.061114869752152</v>
      </c>
      <c r="Y90" s="264">
        <f>DSUM($B$51:$Y$56,Y$51,$C$63:$D90)</f>
        <v>62.597373753658673</v>
      </c>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row>
    <row r="91" spans="2:78">
      <c r="B91" s="25" t="s">
        <v>926</v>
      </c>
      <c r="C91" s="340" t="s">
        <v>927</v>
      </c>
      <c r="D91" s="340" t="s">
        <v>928</v>
      </c>
      <c r="E91" s="264">
        <f>DSUM($B$51:$Y$56,E$51,$C$63:$D91)</f>
        <v>0.18277537125547275</v>
      </c>
      <c r="F91" s="264">
        <f>DSUM($B$51:$Y$56,F$51,$C$63:$D91)</f>
        <v>0.41144558586445695</v>
      </c>
      <c r="G91" s="264">
        <f>DSUM($B$51:$Y$56,G$51,$C$63:$D91)</f>
        <v>0.69608914230895791</v>
      </c>
      <c r="H91" s="264">
        <f>DSUM($B$51:$Y$56,H$51,$C$63:$D91)</f>
        <v>1.0319604268831468</v>
      </c>
      <c r="I91" s="264">
        <f>DSUM($B$51:$Y$56,I$51,$C$63:$D91)</f>
        <v>1.4209549780520827</v>
      </c>
      <c r="J91" s="264">
        <f>DSUM($B$51:$Y$56,J$51,$C$63:$D91)</f>
        <v>1.8817381371291915</v>
      </c>
      <c r="K91" s="264">
        <f>DSUM($B$51:$Y$56,K$51,$C$63:$D91)</f>
        <v>2.3944032090628156</v>
      </c>
      <c r="L91" s="264">
        <f>DSUM($B$51:$Y$56,L$51,$C$63:$D91)</f>
        <v>2.9264922213658804</v>
      </c>
      <c r="M91" s="264">
        <f>DSUM($B$51:$Y$56,M$51,$C$63:$D91)</f>
        <v>3.4375136030394251</v>
      </c>
      <c r="N91" s="264">
        <f>DSUM($B$51:$Y$56,N$51,$C$63:$D91)</f>
        <v>3.8877447472690903</v>
      </c>
      <c r="O91" s="264">
        <f>DSUM($B$51:$Y$56,O$51,$C$63:$D91)</f>
        <v>4.248718036443516</v>
      </c>
      <c r="P91" s="264">
        <f>DSUM($B$51:$Y$56,P$51,$C$63:$D91)</f>
        <v>4.5109403894251701</v>
      </c>
      <c r="Q91" s="264">
        <f>DSUM($B$51:$Y$56,Q$51,$C$63:$D91)</f>
        <v>4.6845734609286707</v>
      </c>
      <c r="R91" s="264">
        <f>DSUM($B$51:$Y$56,R$51,$C$63:$D91)</f>
        <v>4.7926584601264048</v>
      </c>
      <c r="S91" s="264">
        <f>DSUM($B$51:$Y$56,S$51,$C$63:$D91)</f>
        <v>4.8608299942785624</v>
      </c>
      <c r="T91" s="264">
        <f>DSUM($B$51:$Y$56,T$51,$C$63:$D91)</f>
        <v>4.9091820458942177</v>
      </c>
      <c r="U91" s="264">
        <f>DSUM($B$51:$Y$56,U$51,$C$63:$D91)</f>
        <v>4.9495771729650846</v>
      </c>
      <c r="V91" s="264">
        <f>DSUM($B$51:$Y$56,V$51,$C$63:$D91)</f>
        <v>4.9873599801761399</v>
      </c>
      <c r="W91" s="264">
        <f>DSUM($B$51:$Y$56,W$51,$C$63:$D91)</f>
        <v>5.0243636116878214</v>
      </c>
      <c r="X91" s="264">
        <f>DSUM($B$51:$Y$56,X$51,$C$63:$D91)</f>
        <v>5.061114869752152</v>
      </c>
      <c r="Y91" s="264">
        <f>DSUM($B$51:$Y$56,Y$51,$C$63:$D91)</f>
        <v>62.597373753658673</v>
      </c>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row>
    <row r="92" spans="2:78">
      <c r="B92" s="25" t="s">
        <v>929</v>
      </c>
      <c r="C92" s="340" t="s">
        <v>930</v>
      </c>
      <c r="D92" s="340" t="s">
        <v>931</v>
      </c>
      <c r="E92" s="264">
        <f>DSUM($B$51:$Y$56,E$51,$C$63:$D92)</f>
        <v>0.18277537125547275</v>
      </c>
      <c r="F92" s="264">
        <f>DSUM($B$51:$Y$56,F$51,$C$63:$D92)</f>
        <v>0.41144558586445695</v>
      </c>
      <c r="G92" s="264">
        <f>DSUM($B$51:$Y$56,G$51,$C$63:$D92)</f>
        <v>0.69608914230895791</v>
      </c>
      <c r="H92" s="264">
        <f>DSUM($B$51:$Y$56,H$51,$C$63:$D92)</f>
        <v>1.0319604268831468</v>
      </c>
      <c r="I92" s="264">
        <f>DSUM($B$51:$Y$56,I$51,$C$63:$D92)</f>
        <v>1.4209549780520827</v>
      </c>
      <c r="J92" s="264">
        <f>DSUM($B$51:$Y$56,J$51,$C$63:$D92)</f>
        <v>1.8817381371291915</v>
      </c>
      <c r="K92" s="264">
        <f>DSUM($B$51:$Y$56,K$51,$C$63:$D92)</f>
        <v>2.3944032090628156</v>
      </c>
      <c r="L92" s="264">
        <f>DSUM($B$51:$Y$56,L$51,$C$63:$D92)</f>
        <v>2.9264922213658804</v>
      </c>
      <c r="M92" s="264">
        <f>DSUM($B$51:$Y$56,M$51,$C$63:$D92)</f>
        <v>3.4375136030394251</v>
      </c>
      <c r="N92" s="264">
        <f>DSUM($B$51:$Y$56,N$51,$C$63:$D92)</f>
        <v>3.8877447472690903</v>
      </c>
      <c r="O92" s="264">
        <f>DSUM($B$51:$Y$56,O$51,$C$63:$D92)</f>
        <v>4.248718036443516</v>
      </c>
      <c r="P92" s="264">
        <f>DSUM($B$51:$Y$56,P$51,$C$63:$D92)</f>
        <v>4.5109403894251701</v>
      </c>
      <c r="Q92" s="264">
        <f>DSUM($B$51:$Y$56,Q$51,$C$63:$D92)</f>
        <v>4.6845734609286707</v>
      </c>
      <c r="R92" s="264">
        <f>DSUM($B$51:$Y$56,R$51,$C$63:$D92)</f>
        <v>4.7926584601264048</v>
      </c>
      <c r="S92" s="264">
        <f>DSUM($B$51:$Y$56,S$51,$C$63:$D92)</f>
        <v>4.8608299942785624</v>
      </c>
      <c r="T92" s="264">
        <f>DSUM($B$51:$Y$56,T$51,$C$63:$D92)</f>
        <v>4.9091820458942177</v>
      </c>
      <c r="U92" s="264">
        <f>DSUM($B$51:$Y$56,U$51,$C$63:$D92)</f>
        <v>4.9495771729650846</v>
      </c>
      <c r="V92" s="264">
        <f>DSUM($B$51:$Y$56,V$51,$C$63:$D92)</f>
        <v>4.9873599801761399</v>
      </c>
      <c r="W92" s="264">
        <f>DSUM($B$51:$Y$56,W$51,$C$63:$D92)</f>
        <v>5.0243636116878214</v>
      </c>
      <c r="X92" s="264">
        <f>DSUM($B$51:$Y$56,X$51,$C$63:$D92)</f>
        <v>5.061114869752152</v>
      </c>
      <c r="Y92" s="264">
        <f>DSUM($B$51:$Y$56,Y$51,$C$63:$D92)</f>
        <v>62.597373753658673</v>
      </c>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row>
    <row r="93" spans="2:78">
      <c r="B93" s="25" t="s">
        <v>932</v>
      </c>
      <c r="C93" s="340" t="s">
        <v>933</v>
      </c>
      <c r="D93" s="340" t="s">
        <v>934</v>
      </c>
      <c r="E93" s="264">
        <f>DSUM($B$51:$Y$56,E$51,$C$63:$D93)</f>
        <v>0.18277537125547275</v>
      </c>
      <c r="F93" s="264">
        <f>DSUM($B$51:$Y$56,F$51,$C$63:$D93)</f>
        <v>0.41144558586445695</v>
      </c>
      <c r="G93" s="264">
        <f>DSUM($B$51:$Y$56,G$51,$C$63:$D93)</f>
        <v>0.69608914230895791</v>
      </c>
      <c r="H93" s="264">
        <f>DSUM($B$51:$Y$56,H$51,$C$63:$D93)</f>
        <v>1.0319604268831468</v>
      </c>
      <c r="I93" s="264">
        <f>DSUM($B$51:$Y$56,I$51,$C$63:$D93)</f>
        <v>1.4209549780520827</v>
      </c>
      <c r="J93" s="264">
        <f>DSUM($B$51:$Y$56,J$51,$C$63:$D93)</f>
        <v>1.8817381371291915</v>
      </c>
      <c r="K93" s="264">
        <f>DSUM($B$51:$Y$56,K$51,$C$63:$D93)</f>
        <v>2.3944032090628156</v>
      </c>
      <c r="L93" s="264">
        <f>DSUM($B$51:$Y$56,L$51,$C$63:$D93)</f>
        <v>2.9264922213658804</v>
      </c>
      <c r="M93" s="264">
        <f>DSUM($B$51:$Y$56,M$51,$C$63:$D93)</f>
        <v>3.4375136030394251</v>
      </c>
      <c r="N93" s="264">
        <f>DSUM($B$51:$Y$56,N$51,$C$63:$D93)</f>
        <v>3.8877447472690903</v>
      </c>
      <c r="O93" s="264">
        <f>DSUM($B$51:$Y$56,O$51,$C$63:$D93)</f>
        <v>4.248718036443516</v>
      </c>
      <c r="P93" s="264">
        <f>DSUM($B$51:$Y$56,P$51,$C$63:$D93)</f>
        <v>4.5109403894251701</v>
      </c>
      <c r="Q93" s="264">
        <f>DSUM($B$51:$Y$56,Q$51,$C$63:$D93)</f>
        <v>4.6845734609286707</v>
      </c>
      <c r="R93" s="264">
        <f>DSUM($B$51:$Y$56,R$51,$C$63:$D93)</f>
        <v>4.7926584601264048</v>
      </c>
      <c r="S93" s="264">
        <f>DSUM($B$51:$Y$56,S$51,$C$63:$D93)</f>
        <v>4.8608299942785624</v>
      </c>
      <c r="T93" s="264">
        <f>DSUM($B$51:$Y$56,T$51,$C$63:$D93)</f>
        <v>4.9091820458942177</v>
      </c>
      <c r="U93" s="264">
        <f>DSUM($B$51:$Y$56,U$51,$C$63:$D93)</f>
        <v>4.9495771729650846</v>
      </c>
      <c r="V93" s="264">
        <f>DSUM($B$51:$Y$56,V$51,$C$63:$D93)</f>
        <v>4.9873599801761399</v>
      </c>
      <c r="W93" s="264">
        <f>DSUM($B$51:$Y$56,W$51,$C$63:$D93)</f>
        <v>5.0243636116878214</v>
      </c>
      <c r="X93" s="264">
        <f>DSUM($B$51:$Y$56,X$51,$C$63:$D93)</f>
        <v>5.061114869752152</v>
      </c>
      <c r="Y93" s="264">
        <f>DSUM($B$51:$Y$56,Y$51,$C$63:$D93)</f>
        <v>62.597373753658673</v>
      </c>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row>
    <row r="94" spans="2:78">
      <c r="B94" s="25" t="s">
        <v>935</v>
      </c>
      <c r="C94" s="340" t="s">
        <v>936</v>
      </c>
      <c r="D94" s="340" t="s">
        <v>937</v>
      </c>
      <c r="E94" s="264">
        <f>DSUM($B$51:$Y$56,E$51,$C$63:$D94)</f>
        <v>0.18277537125547275</v>
      </c>
      <c r="F94" s="264">
        <f>DSUM($B$51:$Y$56,F$51,$C$63:$D94)</f>
        <v>0.41144558586445695</v>
      </c>
      <c r="G94" s="264">
        <f>DSUM($B$51:$Y$56,G$51,$C$63:$D94)</f>
        <v>0.69608914230895791</v>
      </c>
      <c r="H94" s="264">
        <f>DSUM($B$51:$Y$56,H$51,$C$63:$D94)</f>
        <v>1.0319604268831468</v>
      </c>
      <c r="I94" s="264">
        <f>DSUM($B$51:$Y$56,I$51,$C$63:$D94)</f>
        <v>1.4209549780520827</v>
      </c>
      <c r="J94" s="264">
        <f>DSUM($B$51:$Y$56,J$51,$C$63:$D94)</f>
        <v>1.8817381371291915</v>
      </c>
      <c r="K94" s="264">
        <f>DSUM($B$51:$Y$56,K$51,$C$63:$D94)</f>
        <v>2.3944032090628156</v>
      </c>
      <c r="L94" s="264">
        <f>DSUM($B$51:$Y$56,L$51,$C$63:$D94)</f>
        <v>2.9264922213658804</v>
      </c>
      <c r="M94" s="264">
        <f>DSUM($B$51:$Y$56,M$51,$C$63:$D94)</f>
        <v>3.4375136030394251</v>
      </c>
      <c r="N94" s="264">
        <f>DSUM($B$51:$Y$56,N$51,$C$63:$D94)</f>
        <v>3.8877447472690903</v>
      </c>
      <c r="O94" s="264">
        <f>DSUM($B$51:$Y$56,O$51,$C$63:$D94)</f>
        <v>4.248718036443516</v>
      </c>
      <c r="P94" s="264">
        <f>DSUM($B$51:$Y$56,P$51,$C$63:$D94)</f>
        <v>4.5109403894251701</v>
      </c>
      <c r="Q94" s="264">
        <f>DSUM($B$51:$Y$56,Q$51,$C$63:$D94)</f>
        <v>4.6845734609286707</v>
      </c>
      <c r="R94" s="264">
        <f>DSUM($B$51:$Y$56,R$51,$C$63:$D94)</f>
        <v>4.7926584601264048</v>
      </c>
      <c r="S94" s="264">
        <f>DSUM($B$51:$Y$56,S$51,$C$63:$D94)</f>
        <v>4.8608299942785624</v>
      </c>
      <c r="T94" s="264">
        <f>DSUM($B$51:$Y$56,T$51,$C$63:$D94)</f>
        <v>4.9091820458942177</v>
      </c>
      <c r="U94" s="264">
        <f>DSUM($B$51:$Y$56,U$51,$C$63:$D94)</f>
        <v>4.9495771729650846</v>
      </c>
      <c r="V94" s="264">
        <f>DSUM($B$51:$Y$56,V$51,$C$63:$D94)</f>
        <v>4.9873599801761399</v>
      </c>
      <c r="W94" s="264">
        <f>DSUM($B$51:$Y$56,W$51,$C$63:$D94)</f>
        <v>5.0243636116878214</v>
      </c>
      <c r="X94" s="264">
        <f>DSUM($B$51:$Y$56,X$51,$C$63:$D94)</f>
        <v>5.061114869752152</v>
      </c>
      <c r="Y94" s="264">
        <f>DSUM($B$51:$Y$56,Y$51,$C$63:$D94)</f>
        <v>62.597373753658673</v>
      </c>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row>
    <row r="95" spans="2:78">
      <c r="B95" s="25" t="s">
        <v>938</v>
      </c>
      <c r="C95" s="340" t="s">
        <v>939</v>
      </c>
      <c r="D95" s="340" t="s">
        <v>940</v>
      </c>
      <c r="E95" s="264">
        <f>DSUM($B$51:$Y$56,E$51,$C$63:$D95)</f>
        <v>0.18277537125547275</v>
      </c>
      <c r="F95" s="264">
        <f>DSUM($B$51:$Y$56,F$51,$C$63:$D95)</f>
        <v>0.41144558586445695</v>
      </c>
      <c r="G95" s="264">
        <f>DSUM($B$51:$Y$56,G$51,$C$63:$D95)</f>
        <v>0.69608914230895791</v>
      </c>
      <c r="H95" s="264">
        <f>DSUM($B$51:$Y$56,H$51,$C$63:$D95)</f>
        <v>1.0319604268831468</v>
      </c>
      <c r="I95" s="264">
        <f>DSUM($B$51:$Y$56,I$51,$C$63:$D95)</f>
        <v>1.4209549780520827</v>
      </c>
      <c r="J95" s="264">
        <f>DSUM($B$51:$Y$56,J$51,$C$63:$D95)</f>
        <v>1.8817381371291915</v>
      </c>
      <c r="K95" s="264">
        <f>DSUM($B$51:$Y$56,K$51,$C$63:$D95)</f>
        <v>2.3944032090628156</v>
      </c>
      <c r="L95" s="264">
        <f>DSUM($B$51:$Y$56,L$51,$C$63:$D95)</f>
        <v>2.9264922213658804</v>
      </c>
      <c r="M95" s="264">
        <f>DSUM($B$51:$Y$56,M$51,$C$63:$D95)</f>
        <v>3.4375136030394251</v>
      </c>
      <c r="N95" s="264">
        <f>DSUM($B$51:$Y$56,N$51,$C$63:$D95)</f>
        <v>3.8877447472690903</v>
      </c>
      <c r="O95" s="264">
        <f>DSUM($B$51:$Y$56,O$51,$C$63:$D95)</f>
        <v>4.248718036443516</v>
      </c>
      <c r="P95" s="264">
        <f>DSUM($B$51:$Y$56,P$51,$C$63:$D95)</f>
        <v>4.5109403894251701</v>
      </c>
      <c r="Q95" s="264">
        <f>DSUM($B$51:$Y$56,Q$51,$C$63:$D95)</f>
        <v>4.6845734609286707</v>
      </c>
      <c r="R95" s="264">
        <f>DSUM($B$51:$Y$56,R$51,$C$63:$D95)</f>
        <v>4.7926584601264048</v>
      </c>
      <c r="S95" s="264">
        <f>DSUM($B$51:$Y$56,S$51,$C$63:$D95)</f>
        <v>4.8608299942785624</v>
      </c>
      <c r="T95" s="264">
        <f>DSUM($B$51:$Y$56,T$51,$C$63:$D95)</f>
        <v>4.9091820458942177</v>
      </c>
      <c r="U95" s="264">
        <f>DSUM($B$51:$Y$56,U$51,$C$63:$D95)</f>
        <v>4.9495771729650846</v>
      </c>
      <c r="V95" s="264">
        <f>DSUM($B$51:$Y$56,V$51,$C$63:$D95)</f>
        <v>4.9873599801761399</v>
      </c>
      <c r="W95" s="264">
        <f>DSUM($B$51:$Y$56,W$51,$C$63:$D95)</f>
        <v>5.0243636116878214</v>
      </c>
      <c r="X95" s="264">
        <f>DSUM($B$51:$Y$56,X$51,$C$63:$D95)</f>
        <v>5.061114869752152</v>
      </c>
      <c r="Y95" s="264">
        <f>DSUM($B$51:$Y$56,Y$51,$C$63:$D95)</f>
        <v>62.597373753658673</v>
      </c>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row>
    <row r="96" spans="2:78">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row>
    <row r="97" spans="1:78">
      <c r="E97" s="45">
        <f>E95</f>
        <v>0.18277537125547275</v>
      </c>
      <c r="F97" s="45">
        <f>F95+E97</f>
        <v>0.59422095711992973</v>
      </c>
      <c r="G97" s="45">
        <f t="shared" ref="G97:X97" si="34">G95+F97</f>
        <v>1.2903100994288876</v>
      </c>
      <c r="H97" s="45">
        <f t="shared" si="34"/>
        <v>2.3222705263120345</v>
      </c>
      <c r="I97" s="45">
        <f t="shared" si="34"/>
        <v>3.7432255043641174</v>
      </c>
      <c r="J97" s="45">
        <f t="shared" si="34"/>
        <v>5.6249636414933093</v>
      </c>
      <c r="K97" s="45">
        <f t="shared" si="34"/>
        <v>8.0193668505561249</v>
      </c>
      <c r="L97" s="45">
        <f t="shared" si="34"/>
        <v>10.945859071922005</v>
      </c>
      <c r="M97" s="45">
        <f t="shared" si="34"/>
        <v>14.38337267496143</v>
      </c>
      <c r="N97" s="45">
        <f t="shared" si="34"/>
        <v>18.271117422230521</v>
      </c>
      <c r="O97" s="45">
        <f t="shared" si="34"/>
        <v>22.519835458674038</v>
      </c>
      <c r="P97" s="45">
        <f t="shared" si="34"/>
        <v>27.030775848099207</v>
      </c>
      <c r="Q97" s="45">
        <f t="shared" si="34"/>
        <v>31.715349309027879</v>
      </c>
      <c r="R97" s="45">
        <f t="shared" si="34"/>
        <v>36.508007769154283</v>
      </c>
      <c r="S97" s="45">
        <f t="shared" si="34"/>
        <v>41.368837763432843</v>
      </c>
      <c r="T97" s="45">
        <f t="shared" si="34"/>
        <v>46.278019809327063</v>
      </c>
      <c r="U97" s="45">
        <f t="shared" si="34"/>
        <v>51.227596982292148</v>
      </c>
      <c r="V97" s="45">
        <f t="shared" si="34"/>
        <v>56.214956962468285</v>
      </c>
      <c r="W97" s="45">
        <f t="shared" si="34"/>
        <v>61.23932057415611</v>
      </c>
      <c r="X97" s="45">
        <f t="shared" si="34"/>
        <v>66.300435443908256</v>
      </c>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row>
    <row r="98" spans="1:78" ht="15">
      <c r="A98" s="118" t="s">
        <v>338</v>
      </c>
      <c r="B98" s="12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row>
    <row r="99" spans="1:78" ht="15">
      <c r="D99" s="119" t="str">
        <f>C8</f>
        <v>Cooking Equipment-NR</v>
      </c>
      <c r="E99" s="120">
        <f>E62</f>
        <v>2016</v>
      </c>
      <c r="F99" s="120">
        <f t="shared" ref="F99:X99" si="35">F62</f>
        <v>2017</v>
      </c>
      <c r="G99" s="120">
        <f t="shared" si="35"/>
        <v>2018</v>
      </c>
      <c r="H99" s="120">
        <f t="shared" si="35"/>
        <v>2019</v>
      </c>
      <c r="I99" s="120">
        <f t="shared" si="35"/>
        <v>2020</v>
      </c>
      <c r="J99" s="120">
        <f t="shared" si="35"/>
        <v>2021</v>
      </c>
      <c r="K99" s="120">
        <f t="shared" si="35"/>
        <v>2022</v>
      </c>
      <c r="L99" s="120">
        <f t="shared" si="35"/>
        <v>2023</v>
      </c>
      <c r="M99" s="120">
        <f t="shared" si="35"/>
        <v>2024</v>
      </c>
      <c r="N99" s="120">
        <f t="shared" si="35"/>
        <v>2025</v>
      </c>
      <c r="O99" s="120">
        <f t="shared" si="35"/>
        <v>2026</v>
      </c>
      <c r="P99" s="120">
        <f t="shared" si="35"/>
        <v>2027</v>
      </c>
      <c r="Q99" s="120">
        <f t="shared" si="35"/>
        <v>2028</v>
      </c>
      <c r="R99" s="120">
        <f t="shared" si="35"/>
        <v>2029</v>
      </c>
      <c r="S99" s="120">
        <f t="shared" si="35"/>
        <v>2030</v>
      </c>
      <c r="T99" s="120">
        <f t="shared" si="35"/>
        <v>2031</v>
      </c>
      <c r="U99" s="120">
        <f t="shared" si="35"/>
        <v>2032</v>
      </c>
      <c r="V99" s="120">
        <f t="shared" si="35"/>
        <v>2033</v>
      </c>
      <c r="W99" s="120">
        <f t="shared" si="35"/>
        <v>2034</v>
      </c>
      <c r="X99" s="120">
        <f t="shared" si="35"/>
        <v>2035</v>
      </c>
      <c r="Y99" s="448" t="s">
        <v>1114</v>
      </c>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row>
    <row r="100" spans="1:78" ht="15">
      <c r="E100" s="121" t="str">
        <f>E63</f>
        <v>aMW_2016</v>
      </c>
      <c r="F100" s="121" t="str">
        <f t="shared" ref="F100:X100" si="36">F63</f>
        <v>aMW_2017</v>
      </c>
      <c r="G100" s="121" t="str">
        <f t="shared" si="36"/>
        <v>aMW_2018</v>
      </c>
      <c r="H100" s="121" t="str">
        <f t="shared" si="36"/>
        <v>aMW_2019</v>
      </c>
      <c r="I100" s="121" t="str">
        <f t="shared" si="36"/>
        <v>aMW_2020</v>
      </c>
      <c r="J100" s="121" t="str">
        <f t="shared" si="36"/>
        <v>aMW_2021</v>
      </c>
      <c r="K100" s="121" t="str">
        <f t="shared" si="36"/>
        <v>aMW_2022</v>
      </c>
      <c r="L100" s="121" t="str">
        <f t="shared" si="36"/>
        <v>aMW_2023</v>
      </c>
      <c r="M100" s="121" t="str">
        <f t="shared" si="36"/>
        <v>aMW_2024</v>
      </c>
      <c r="N100" s="121" t="str">
        <f t="shared" si="36"/>
        <v>aMW_2025</v>
      </c>
      <c r="O100" s="121" t="str">
        <f t="shared" si="36"/>
        <v>aMW_2026</v>
      </c>
      <c r="P100" s="121" t="str">
        <f t="shared" si="36"/>
        <v>aMW_2027</v>
      </c>
      <c r="Q100" s="121" t="str">
        <f t="shared" si="36"/>
        <v>aMW_2028</v>
      </c>
      <c r="R100" s="121" t="str">
        <f t="shared" si="36"/>
        <v>aMW_2029</v>
      </c>
      <c r="S100" s="121" t="str">
        <f t="shared" si="36"/>
        <v>aMW_2030</v>
      </c>
      <c r="T100" s="121" t="str">
        <f t="shared" si="36"/>
        <v>aMW_2031</v>
      </c>
      <c r="U100" s="121" t="str">
        <f t="shared" si="36"/>
        <v>aMW_2032</v>
      </c>
      <c r="V100" s="121" t="str">
        <f t="shared" si="36"/>
        <v>aMW_2033</v>
      </c>
      <c r="W100" s="121" t="str">
        <f t="shared" si="36"/>
        <v>aMW_2034</v>
      </c>
      <c r="X100" s="121" t="str">
        <f t="shared" si="36"/>
        <v>aMW_2035</v>
      </c>
      <c r="Y100" s="449" t="s">
        <v>1114</v>
      </c>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row>
    <row r="101" spans="1:78">
      <c r="C101" s="25" t="s">
        <v>84</v>
      </c>
      <c r="E101" s="452">
        <f t="shared" ref="E101:Y101" si="37">E64</f>
        <v>0.15674122124244816</v>
      </c>
      <c r="F101" s="452">
        <f t="shared" si="37"/>
        <v>0.35284011822943312</v>
      </c>
      <c r="G101" s="452">
        <f t="shared" si="37"/>
        <v>0.59693962873483941</v>
      </c>
      <c r="H101" s="452">
        <f t="shared" si="37"/>
        <v>0.88497009456190234</v>
      </c>
      <c r="I101" s="452">
        <f t="shared" si="37"/>
        <v>1.2185570575540587</v>
      </c>
      <c r="J101" s="452">
        <f t="shared" si="37"/>
        <v>1.6137072059881667</v>
      </c>
      <c r="K101" s="452">
        <f t="shared" si="37"/>
        <v>2.0533493137364101</v>
      </c>
      <c r="L101" s="452">
        <f t="shared" si="37"/>
        <v>2.5096486555197099</v>
      </c>
      <c r="M101" s="452">
        <f t="shared" si="37"/>
        <v>2.9478811968863368</v>
      </c>
      <c r="N101" s="452">
        <f t="shared" si="37"/>
        <v>3.3339823378836333</v>
      </c>
      <c r="O101" s="452">
        <f t="shared" si="37"/>
        <v>3.6435393301220431</v>
      </c>
      <c r="P101" s="452">
        <f t="shared" si="37"/>
        <v>3.8684112675230842</v>
      </c>
      <c r="Q101" s="452">
        <f t="shared" si="37"/>
        <v>4.0173123994895787</v>
      </c>
      <c r="R101" s="452">
        <f t="shared" si="37"/>
        <v>4.110001992490389</v>
      </c>
      <c r="S101" s="452">
        <f t="shared" si="37"/>
        <v>4.168463312763377</v>
      </c>
      <c r="T101" s="452">
        <f t="shared" si="37"/>
        <v>4.2099281970514388</v>
      </c>
      <c r="U101" s="452">
        <f t="shared" si="37"/>
        <v>4.2445695248509141</v>
      </c>
      <c r="V101" s="452">
        <f t="shared" si="37"/>
        <v>4.276970626287885</v>
      </c>
      <c r="W101" s="452">
        <f t="shared" si="37"/>
        <v>4.3087035362182924</v>
      </c>
      <c r="X101" s="452">
        <f t="shared" si="37"/>
        <v>4.3402200202589558</v>
      </c>
      <c r="Y101" s="452">
        <f t="shared" si="37"/>
        <v>53.681131879657698</v>
      </c>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row>
    <row r="102" spans="1:78">
      <c r="C102" s="25" t="s">
        <v>85</v>
      </c>
      <c r="E102" s="452">
        <f t="shared" ref="E102:Y114" si="38">E65-E64</f>
        <v>0</v>
      </c>
      <c r="F102" s="452">
        <f t="shared" si="38"/>
        <v>0</v>
      </c>
      <c r="G102" s="452">
        <f t="shared" si="38"/>
        <v>0</v>
      </c>
      <c r="H102" s="452">
        <f t="shared" si="38"/>
        <v>0</v>
      </c>
      <c r="I102" s="452">
        <f t="shared" si="38"/>
        <v>0</v>
      </c>
      <c r="J102" s="452">
        <f t="shared" si="38"/>
        <v>0</v>
      </c>
      <c r="K102" s="452">
        <f t="shared" si="38"/>
        <v>0</v>
      </c>
      <c r="L102" s="452">
        <f t="shared" si="38"/>
        <v>0</v>
      </c>
      <c r="M102" s="452">
        <f t="shared" si="38"/>
        <v>0</v>
      </c>
      <c r="N102" s="452">
        <f t="shared" si="38"/>
        <v>0</v>
      </c>
      <c r="O102" s="452">
        <f t="shared" si="38"/>
        <v>0</v>
      </c>
      <c r="P102" s="452">
        <f t="shared" si="38"/>
        <v>0</v>
      </c>
      <c r="Q102" s="452">
        <f t="shared" si="38"/>
        <v>0</v>
      </c>
      <c r="R102" s="452">
        <f t="shared" si="38"/>
        <v>0</v>
      </c>
      <c r="S102" s="452">
        <f t="shared" si="38"/>
        <v>0</v>
      </c>
      <c r="T102" s="452">
        <f t="shared" si="38"/>
        <v>0</v>
      </c>
      <c r="U102" s="452">
        <f t="shared" si="38"/>
        <v>0</v>
      </c>
      <c r="V102" s="452">
        <f t="shared" si="38"/>
        <v>0</v>
      </c>
      <c r="W102" s="452">
        <f t="shared" si="38"/>
        <v>0</v>
      </c>
      <c r="X102" s="452">
        <f t="shared" si="38"/>
        <v>0</v>
      </c>
      <c r="Y102" s="452">
        <f t="shared" si="38"/>
        <v>0</v>
      </c>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row>
    <row r="103" spans="1:78">
      <c r="C103" s="25" t="s">
        <v>86</v>
      </c>
      <c r="E103" s="452">
        <f t="shared" si="38"/>
        <v>0</v>
      </c>
      <c r="F103" s="452">
        <f t="shared" si="38"/>
        <v>0</v>
      </c>
      <c r="G103" s="452">
        <f t="shared" si="38"/>
        <v>0</v>
      </c>
      <c r="H103" s="452">
        <f t="shared" si="38"/>
        <v>0</v>
      </c>
      <c r="I103" s="452">
        <f t="shared" si="38"/>
        <v>0</v>
      </c>
      <c r="J103" s="452">
        <f t="shared" si="38"/>
        <v>0</v>
      </c>
      <c r="K103" s="452">
        <f t="shared" si="38"/>
        <v>0</v>
      </c>
      <c r="L103" s="452">
        <f t="shared" si="38"/>
        <v>0</v>
      </c>
      <c r="M103" s="452">
        <f t="shared" si="38"/>
        <v>0</v>
      </c>
      <c r="N103" s="452">
        <f t="shared" si="38"/>
        <v>0</v>
      </c>
      <c r="O103" s="452">
        <f t="shared" si="38"/>
        <v>0</v>
      </c>
      <c r="P103" s="452">
        <f t="shared" si="38"/>
        <v>0</v>
      </c>
      <c r="Q103" s="452">
        <f t="shared" si="38"/>
        <v>0</v>
      </c>
      <c r="R103" s="452">
        <f t="shared" si="38"/>
        <v>0</v>
      </c>
      <c r="S103" s="452">
        <f t="shared" si="38"/>
        <v>0</v>
      </c>
      <c r="T103" s="452">
        <f t="shared" si="38"/>
        <v>0</v>
      </c>
      <c r="U103" s="452">
        <f t="shared" si="38"/>
        <v>0</v>
      </c>
      <c r="V103" s="452">
        <f t="shared" si="38"/>
        <v>0</v>
      </c>
      <c r="W103" s="452">
        <f t="shared" si="38"/>
        <v>0</v>
      </c>
      <c r="X103" s="452">
        <f t="shared" si="38"/>
        <v>0</v>
      </c>
      <c r="Y103" s="452">
        <f t="shared" si="38"/>
        <v>0</v>
      </c>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row>
    <row r="104" spans="1:78">
      <c r="C104" s="25" t="s">
        <v>87</v>
      </c>
      <c r="E104" s="452">
        <f t="shared" si="38"/>
        <v>0</v>
      </c>
      <c r="F104" s="452">
        <f t="shared" si="38"/>
        <v>0</v>
      </c>
      <c r="G104" s="452">
        <f t="shared" si="38"/>
        <v>0</v>
      </c>
      <c r="H104" s="452">
        <f t="shared" si="38"/>
        <v>0</v>
      </c>
      <c r="I104" s="452">
        <f t="shared" si="38"/>
        <v>0</v>
      </c>
      <c r="J104" s="452">
        <f t="shared" si="38"/>
        <v>0</v>
      </c>
      <c r="K104" s="452">
        <f t="shared" si="38"/>
        <v>0</v>
      </c>
      <c r="L104" s="452">
        <f t="shared" si="38"/>
        <v>0</v>
      </c>
      <c r="M104" s="452">
        <f t="shared" si="38"/>
        <v>0</v>
      </c>
      <c r="N104" s="452">
        <f t="shared" si="38"/>
        <v>0</v>
      </c>
      <c r="O104" s="452">
        <f t="shared" si="38"/>
        <v>0</v>
      </c>
      <c r="P104" s="452">
        <f t="shared" si="38"/>
        <v>0</v>
      </c>
      <c r="Q104" s="452">
        <f t="shared" si="38"/>
        <v>0</v>
      </c>
      <c r="R104" s="452">
        <f t="shared" si="38"/>
        <v>0</v>
      </c>
      <c r="S104" s="452">
        <f t="shared" si="38"/>
        <v>0</v>
      </c>
      <c r="T104" s="452">
        <f t="shared" si="38"/>
        <v>0</v>
      </c>
      <c r="U104" s="452">
        <f t="shared" si="38"/>
        <v>0</v>
      </c>
      <c r="V104" s="452">
        <f t="shared" si="38"/>
        <v>0</v>
      </c>
      <c r="W104" s="452">
        <f t="shared" si="38"/>
        <v>0</v>
      </c>
      <c r="X104" s="452">
        <f t="shared" si="38"/>
        <v>0</v>
      </c>
      <c r="Y104" s="452">
        <f t="shared" si="38"/>
        <v>0</v>
      </c>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row>
    <row r="105" spans="1:78">
      <c r="C105" s="25" t="s">
        <v>88</v>
      </c>
      <c r="E105" s="452">
        <f t="shared" si="38"/>
        <v>0</v>
      </c>
      <c r="F105" s="452">
        <f t="shared" si="38"/>
        <v>0</v>
      </c>
      <c r="G105" s="452">
        <f t="shared" si="38"/>
        <v>0</v>
      </c>
      <c r="H105" s="452">
        <f t="shared" si="38"/>
        <v>0</v>
      </c>
      <c r="I105" s="452">
        <f t="shared" si="38"/>
        <v>0</v>
      </c>
      <c r="J105" s="452">
        <f t="shared" si="38"/>
        <v>0</v>
      </c>
      <c r="K105" s="452">
        <f t="shared" si="38"/>
        <v>0</v>
      </c>
      <c r="L105" s="452">
        <f t="shared" si="38"/>
        <v>0</v>
      </c>
      <c r="M105" s="452">
        <f t="shared" si="38"/>
        <v>0</v>
      </c>
      <c r="N105" s="452">
        <f t="shared" si="38"/>
        <v>0</v>
      </c>
      <c r="O105" s="452">
        <f t="shared" si="38"/>
        <v>0</v>
      </c>
      <c r="P105" s="452">
        <f t="shared" si="38"/>
        <v>0</v>
      </c>
      <c r="Q105" s="452">
        <f t="shared" si="38"/>
        <v>0</v>
      </c>
      <c r="R105" s="452">
        <f t="shared" si="38"/>
        <v>0</v>
      </c>
      <c r="S105" s="452">
        <f t="shared" si="38"/>
        <v>0</v>
      </c>
      <c r="T105" s="452">
        <f t="shared" si="38"/>
        <v>0</v>
      </c>
      <c r="U105" s="452">
        <f t="shared" si="38"/>
        <v>0</v>
      </c>
      <c r="V105" s="452">
        <f t="shared" si="38"/>
        <v>0</v>
      </c>
      <c r="W105" s="452">
        <f t="shared" si="38"/>
        <v>0</v>
      </c>
      <c r="X105" s="452">
        <f t="shared" si="38"/>
        <v>0</v>
      </c>
      <c r="Y105" s="452">
        <f t="shared" si="38"/>
        <v>0</v>
      </c>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row>
    <row r="106" spans="1:78">
      <c r="C106" s="25" t="s">
        <v>89</v>
      </c>
      <c r="E106" s="452">
        <f t="shared" si="38"/>
        <v>7.354107865630094E-3</v>
      </c>
      <c r="F106" s="452">
        <f t="shared" si="38"/>
        <v>1.6554830109223428E-2</v>
      </c>
      <c r="G106" s="452">
        <f t="shared" si="38"/>
        <v>2.8007682881293849E-2</v>
      </c>
      <c r="H106" s="452">
        <f t="shared" si="38"/>
        <v>4.1521722758547597E-2</v>
      </c>
      <c r="I106" s="452">
        <f t="shared" si="38"/>
        <v>5.7173218191376884E-2</v>
      </c>
      <c r="J106" s="452">
        <f t="shared" si="38"/>
        <v>7.5713183566593845E-2</v>
      </c>
      <c r="K106" s="452">
        <f t="shared" si="38"/>
        <v>9.6340657673436692E-2</v>
      </c>
      <c r="L106" s="452">
        <f t="shared" si="38"/>
        <v>0.1177496689845059</v>
      </c>
      <c r="M106" s="452">
        <f t="shared" si="38"/>
        <v>0.13831100794749851</v>
      </c>
      <c r="N106" s="452">
        <f t="shared" si="38"/>
        <v>0.1564264048764592</v>
      </c>
      <c r="O106" s="452">
        <f t="shared" si="38"/>
        <v>0.17095044324642927</v>
      </c>
      <c r="P106" s="452">
        <f t="shared" si="38"/>
        <v>0.18150116162473262</v>
      </c>
      <c r="Q106" s="452">
        <f t="shared" si="38"/>
        <v>0.18848742201696478</v>
      </c>
      <c r="R106" s="452">
        <f t="shared" si="38"/>
        <v>0.19283630522424122</v>
      </c>
      <c r="S106" s="452">
        <f t="shared" si="38"/>
        <v>0.19557923941759991</v>
      </c>
      <c r="T106" s="452">
        <f t="shared" si="38"/>
        <v>0.19752472146292899</v>
      </c>
      <c r="U106" s="452">
        <f t="shared" si="38"/>
        <v>0.19915005051948853</v>
      </c>
      <c r="V106" s="452">
        <f t="shared" si="38"/>
        <v>0.20067027087405709</v>
      </c>
      <c r="W106" s="452">
        <f t="shared" si="38"/>
        <v>0.2021591404941141</v>
      </c>
      <c r="X106" s="452">
        <f t="shared" si="38"/>
        <v>0.2036378556740992</v>
      </c>
      <c r="Y106" s="452">
        <f t="shared" si="38"/>
        <v>2.5186535556047147</v>
      </c>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row>
    <row r="107" spans="1:78">
      <c r="C107" s="25" t="s">
        <v>90</v>
      </c>
      <c r="E107" s="452">
        <f t="shared" si="38"/>
        <v>0</v>
      </c>
      <c r="F107" s="452">
        <f t="shared" si="38"/>
        <v>0</v>
      </c>
      <c r="G107" s="452">
        <f t="shared" si="38"/>
        <v>0</v>
      </c>
      <c r="H107" s="452">
        <f t="shared" si="38"/>
        <v>0</v>
      </c>
      <c r="I107" s="452">
        <f t="shared" si="38"/>
        <v>0</v>
      </c>
      <c r="J107" s="452">
        <f t="shared" si="38"/>
        <v>0</v>
      </c>
      <c r="K107" s="452">
        <f t="shared" si="38"/>
        <v>0</v>
      </c>
      <c r="L107" s="452">
        <f t="shared" si="38"/>
        <v>0</v>
      </c>
      <c r="M107" s="452">
        <f t="shared" si="38"/>
        <v>0</v>
      </c>
      <c r="N107" s="452">
        <f t="shared" si="38"/>
        <v>0</v>
      </c>
      <c r="O107" s="452">
        <f t="shared" si="38"/>
        <v>0</v>
      </c>
      <c r="P107" s="452">
        <f t="shared" si="38"/>
        <v>0</v>
      </c>
      <c r="Q107" s="452">
        <f t="shared" si="38"/>
        <v>0</v>
      </c>
      <c r="R107" s="452">
        <f t="shared" si="38"/>
        <v>0</v>
      </c>
      <c r="S107" s="452">
        <f t="shared" si="38"/>
        <v>0</v>
      </c>
      <c r="T107" s="452">
        <f t="shared" si="38"/>
        <v>0</v>
      </c>
      <c r="U107" s="452">
        <f t="shared" si="38"/>
        <v>0</v>
      </c>
      <c r="V107" s="452">
        <f t="shared" si="38"/>
        <v>0</v>
      </c>
      <c r="W107" s="452">
        <f t="shared" si="38"/>
        <v>0</v>
      </c>
      <c r="X107" s="452">
        <f t="shared" si="38"/>
        <v>0</v>
      </c>
      <c r="Y107" s="452">
        <f t="shared" si="38"/>
        <v>0</v>
      </c>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row>
    <row r="108" spans="1:78">
      <c r="C108" s="25" t="s">
        <v>91</v>
      </c>
      <c r="E108" s="452">
        <f t="shared" si="38"/>
        <v>1.1834613787767928E-2</v>
      </c>
      <c r="F108" s="452">
        <f t="shared" si="38"/>
        <v>2.6640895706794843E-2</v>
      </c>
      <c r="G108" s="452">
        <f t="shared" si="38"/>
        <v>4.5071423488291629E-2</v>
      </c>
      <c r="H108" s="452">
        <f t="shared" si="38"/>
        <v>6.6818921020555644E-2</v>
      </c>
      <c r="I108" s="452">
        <f t="shared" si="38"/>
        <v>9.2006123470254497E-2</v>
      </c>
      <c r="J108" s="452">
        <f t="shared" si="38"/>
        <v>0.12184160234318786</v>
      </c>
      <c r="K108" s="452">
        <f t="shared" si="38"/>
        <v>0.15503640910045258</v>
      </c>
      <c r="L108" s="452">
        <f t="shared" si="38"/>
        <v>0.18948890627262349</v>
      </c>
      <c r="M108" s="452">
        <f t="shared" si="38"/>
        <v>0.22257728490841222</v>
      </c>
      <c r="N108" s="452">
        <f t="shared" si="38"/>
        <v>0.2517295261025243</v>
      </c>
      <c r="O108" s="452">
        <f t="shared" si="38"/>
        <v>0.27510236586608539</v>
      </c>
      <c r="P108" s="452">
        <f t="shared" si="38"/>
        <v>0.29208113194786822</v>
      </c>
      <c r="Q108" s="452">
        <f t="shared" si="38"/>
        <v>0.30332378640351454</v>
      </c>
      <c r="R108" s="452">
        <f t="shared" si="38"/>
        <v>0.31032223599204567</v>
      </c>
      <c r="S108" s="452">
        <f t="shared" si="38"/>
        <v>0.31473630870035763</v>
      </c>
      <c r="T108" s="452">
        <f t="shared" si="38"/>
        <v>0.31786707983646245</v>
      </c>
      <c r="U108" s="452">
        <f t="shared" si="38"/>
        <v>0.32048264409168858</v>
      </c>
      <c r="V108" s="452">
        <f t="shared" si="38"/>
        <v>0.32292906194377213</v>
      </c>
      <c r="W108" s="452">
        <f t="shared" si="38"/>
        <v>0.3253250285593916</v>
      </c>
      <c r="X108" s="452">
        <f t="shared" si="38"/>
        <v>0.3277046541206392</v>
      </c>
      <c r="Y108" s="452">
        <f t="shared" si="38"/>
        <v>4.0531486130461332</v>
      </c>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row>
    <row r="109" spans="1:78">
      <c r="C109" s="25" t="s">
        <v>92</v>
      </c>
      <c r="E109" s="452">
        <f t="shared" si="38"/>
        <v>0</v>
      </c>
      <c r="F109" s="452">
        <f t="shared" si="38"/>
        <v>0</v>
      </c>
      <c r="G109" s="452">
        <f t="shared" si="38"/>
        <v>0</v>
      </c>
      <c r="H109" s="452">
        <f t="shared" si="38"/>
        <v>0</v>
      </c>
      <c r="I109" s="452">
        <f t="shared" si="38"/>
        <v>0</v>
      </c>
      <c r="J109" s="452">
        <f t="shared" si="38"/>
        <v>0</v>
      </c>
      <c r="K109" s="452">
        <f t="shared" si="38"/>
        <v>0</v>
      </c>
      <c r="L109" s="452">
        <f t="shared" si="38"/>
        <v>0</v>
      </c>
      <c r="M109" s="452">
        <f t="shared" si="38"/>
        <v>0</v>
      </c>
      <c r="N109" s="452">
        <f t="shared" si="38"/>
        <v>0</v>
      </c>
      <c r="O109" s="452">
        <f t="shared" si="38"/>
        <v>0</v>
      </c>
      <c r="P109" s="452">
        <f t="shared" si="38"/>
        <v>0</v>
      </c>
      <c r="Q109" s="452">
        <f t="shared" si="38"/>
        <v>0</v>
      </c>
      <c r="R109" s="452">
        <f t="shared" si="38"/>
        <v>0</v>
      </c>
      <c r="S109" s="452">
        <f t="shared" si="38"/>
        <v>0</v>
      </c>
      <c r="T109" s="452">
        <f t="shared" si="38"/>
        <v>0</v>
      </c>
      <c r="U109" s="452">
        <f t="shared" si="38"/>
        <v>0</v>
      </c>
      <c r="V109" s="452">
        <f t="shared" si="38"/>
        <v>0</v>
      </c>
      <c r="W109" s="452">
        <f t="shared" si="38"/>
        <v>0</v>
      </c>
      <c r="X109" s="452">
        <f t="shared" si="38"/>
        <v>0</v>
      </c>
      <c r="Y109" s="452">
        <f t="shared" si="38"/>
        <v>0</v>
      </c>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row>
    <row r="110" spans="1:78">
      <c r="C110" s="25" t="s">
        <v>93</v>
      </c>
      <c r="E110" s="452">
        <f t="shared" si="38"/>
        <v>6.8454283596265653E-3</v>
      </c>
      <c r="F110" s="452">
        <f t="shared" si="38"/>
        <v>1.5409741819005562E-2</v>
      </c>
      <c r="G110" s="452">
        <f t="shared" si="38"/>
        <v>2.6070407204533019E-2</v>
      </c>
      <c r="H110" s="452">
        <f t="shared" si="38"/>
        <v>3.8649688542141236E-2</v>
      </c>
      <c r="I110" s="452">
        <f t="shared" si="38"/>
        <v>5.3218578836392583E-2</v>
      </c>
      <c r="J110" s="452">
        <f t="shared" si="38"/>
        <v>7.0476145231243015E-2</v>
      </c>
      <c r="K110" s="452">
        <f t="shared" si="38"/>
        <v>8.9676828552516241E-2</v>
      </c>
      <c r="L110" s="452">
        <f t="shared" si="38"/>
        <v>0.10960499058904105</v>
      </c>
      <c r="M110" s="452">
        <f t="shared" si="38"/>
        <v>0.12874411329717761</v>
      </c>
      <c r="N110" s="452">
        <f t="shared" si="38"/>
        <v>0.14560647840647345</v>
      </c>
      <c r="O110" s="452">
        <f t="shared" si="38"/>
        <v>0.1591258972089582</v>
      </c>
      <c r="P110" s="452">
        <f t="shared" si="38"/>
        <v>0.16894682832948504</v>
      </c>
      <c r="Q110" s="452">
        <f t="shared" si="38"/>
        <v>0.1754498530186126</v>
      </c>
      <c r="R110" s="452">
        <f t="shared" si="38"/>
        <v>0.17949792641972895</v>
      </c>
      <c r="S110" s="452">
        <f t="shared" si="38"/>
        <v>0.18205113339722789</v>
      </c>
      <c r="T110" s="452">
        <f t="shared" si="38"/>
        <v>0.18386204754338742</v>
      </c>
      <c r="U110" s="452">
        <f t="shared" si="38"/>
        <v>0.18537495350299338</v>
      </c>
      <c r="V110" s="452">
        <f t="shared" si="38"/>
        <v>0.18679002107042564</v>
      </c>
      <c r="W110" s="452">
        <f t="shared" si="38"/>
        <v>0.18817590641602333</v>
      </c>
      <c r="X110" s="452">
        <f t="shared" si="38"/>
        <v>0.18955233969845775</v>
      </c>
      <c r="Y110" s="452">
        <f t="shared" si="38"/>
        <v>2.3444397053501262</v>
      </c>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row>
    <row r="111" spans="1:78">
      <c r="C111" s="25" t="s">
        <v>94</v>
      </c>
      <c r="E111" s="452">
        <f t="shared" si="38"/>
        <v>0</v>
      </c>
      <c r="F111" s="452">
        <f t="shared" si="38"/>
        <v>0</v>
      </c>
      <c r="G111" s="452">
        <f t="shared" si="38"/>
        <v>0</v>
      </c>
      <c r="H111" s="452">
        <f t="shared" si="38"/>
        <v>0</v>
      </c>
      <c r="I111" s="452">
        <f t="shared" si="38"/>
        <v>0</v>
      </c>
      <c r="J111" s="452">
        <f t="shared" si="38"/>
        <v>0</v>
      </c>
      <c r="K111" s="452">
        <f t="shared" si="38"/>
        <v>0</v>
      </c>
      <c r="L111" s="452">
        <f t="shared" si="38"/>
        <v>0</v>
      </c>
      <c r="M111" s="452">
        <f t="shared" si="38"/>
        <v>0</v>
      </c>
      <c r="N111" s="452">
        <f t="shared" si="38"/>
        <v>0</v>
      </c>
      <c r="O111" s="452">
        <f t="shared" si="38"/>
        <v>0</v>
      </c>
      <c r="P111" s="452">
        <f t="shared" si="38"/>
        <v>0</v>
      </c>
      <c r="Q111" s="452">
        <f t="shared" si="38"/>
        <v>0</v>
      </c>
      <c r="R111" s="452">
        <f t="shared" si="38"/>
        <v>0</v>
      </c>
      <c r="S111" s="452">
        <f t="shared" si="38"/>
        <v>0</v>
      </c>
      <c r="T111" s="452">
        <f t="shared" si="38"/>
        <v>0</v>
      </c>
      <c r="U111" s="452">
        <f t="shared" si="38"/>
        <v>0</v>
      </c>
      <c r="V111" s="452">
        <f t="shared" si="38"/>
        <v>0</v>
      </c>
      <c r="W111" s="452">
        <f t="shared" si="38"/>
        <v>0</v>
      </c>
      <c r="X111" s="452">
        <f t="shared" si="38"/>
        <v>0</v>
      </c>
      <c r="Y111" s="452">
        <f t="shared" si="38"/>
        <v>0</v>
      </c>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row>
    <row r="112" spans="1:78">
      <c r="C112" s="25" t="s">
        <v>95</v>
      </c>
      <c r="E112" s="452">
        <f t="shared" si="38"/>
        <v>0</v>
      </c>
      <c r="F112" s="452">
        <f t="shared" si="38"/>
        <v>0</v>
      </c>
      <c r="G112" s="452">
        <f t="shared" si="38"/>
        <v>0</v>
      </c>
      <c r="H112" s="452">
        <f t="shared" si="38"/>
        <v>0</v>
      </c>
      <c r="I112" s="452">
        <f t="shared" si="38"/>
        <v>0</v>
      </c>
      <c r="J112" s="452">
        <f t="shared" si="38"/>
        <v>0</v>
      </c>
      <c r="K112" s="452">
        <f t="shared" si="38"/>
        <v>0</v>
      </c>
      <c r="L112" s="452">
        <f t="shared" si="38"/>
        <v>0</v>
      </c>
      <c r="M112" s="452">
        <f t="shared" si="38"/>
        <v>0</v>
      </c>
      <c r="N112" s="452">
        <f t="shared" si="38"/>
        <v>0</v>
      </c>
      <c r="O112" s="452">
        <f t="shared" si="38"/>
        <v>0</v>
      </c>
      <c r="P112" s="452">
        <f t="shared" si="38"/>
        <v>0</v>
      </c>
      <c r="Q112" s="452">
        <f t="shared" si="38"/>
        <v>0</v>
      </c>
      <c r="R112" s="452">
        <f t="shared" si="38"/>
        <v>0</v>
      </c>
      <c r="S112" s="452">
        <f t="shared" si="38"/>
        <v>0</v>
      </c>
      <c r="T112" s="452">
        <f t="shared" si="38"/>
        <v>0</v>
      </c>
      <c r="U112" s="452">
        <f t="shared" si="38"/>
        <v>0</v>
      </c>
      <c r="V112" s="452">
        <f t="shared" si="38"/>
        <v>0</v>
      </c>
      <c r="W112" s="452">
        <f t="shared" si="38"/>
        <v>0</v>
      </c>
      <c r="X112" s="452">
        <f t="shared" si="38"/>
        <v>0</v>
      </c>
      <c r="Y112" s="452">
        <f t="shared" si="38"/>
        <v>0</v>
      </c>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row>
    <row r="113" spans="3:78">
      <c r="C113" s="25" t="s">
        <v>96</v>
      </c>
      <c r="E113" s="452">
        <f t="shared" si="38"/>
        <v>0</v>
      </c>
      <c r="F113" s="452">
        <f t="shared" si="38"/>
        <v>0</v>
      </c>
      <c r="G113" s="452">
        <f t="shared" si="38"/>
        <v>0</v>
      </c>
      <c r="H113" s="452">
        <f t="shared" si="38"/>
        <v>0</v>
      </c>
      <c r="I113" s="452">
        <f t="shared" si="38"/>
        <v>0</v>
      </c>
      <c r="J113" s="452">
        <f t="shared" si="38"/>
        <v>0</v>
      </c>
      <c r="K113" s="452">
        <f t="shared" si="38"/>
        <v>0</v>
      </c>
      <c r="L113" s="452">
        <f t="shared" si="38"/>
        <v>0</v>
      </c>
      <c r="M113" s="452">
        <f t="shared" si="38"/>
        <v>0</v>
      </c>
      <c r="N113" s="452">
        <f t="shared" si="38"/>
        <v>0</v>
      </c>
      <c r="O113" s="452">
        <f t="shared" si="38"/>
        <v>0</v>
      </c>
      <c r="P113" s="452">
        <f t="shared" si="38"/>
        <v>0</v>
      </c>
      <c r="Q113" s="452">
        <f t="shared" si="38"/>
        <v>0</v>
      </c>
      <c r="R113" s="452">
        <f t="shared" si="38"/>
        <v>0</v>
      </c>
      <c r="S113" s="452">
        <f t="shared" si="38"/>
        <v>0</v>
      </c>
      <c r="T113" s="452">
        <f t="shared" si="38"/>
        <v>0</v>
      </c>
      <c r="U113" s="452">
        <f t="shared" si="38"/>
        <v>0</v>
      </c>
      <c r="V113" s="452">
        <f t="shared" si="38"/>
        <v>0</v>
      </c>
      <c r="W113" s="452">
        <f t="shared" si="38"/>
        <v>0</v>
      </c>
      <c r="X113" s="452">
        <f t="shared" si="38"/>
        <v>0</v>
      </c>
      <c r="Y113" s="452">
        <f t="shared" si="38"/>
        <v>0</v>
      </c>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row>
    <row r="114" spans="3:78">
      <c r="C114" s="25" t="s">
        <v>97</v>
      </c>
      <c r="E114" s="452">
        <f t="shared" si="38"/>
        <v>0</v>
      </c>
      <c r="F114" s="452">
        <f t="shared" si="38"/>
        <v>0</v>
      </c>
      <c r="G114" s="452">
        <f t="shared" si="38"/>
        <v>0</v>
      </c>
      <c r="H114" s="452">
        <f t="shared" ref="H114:Y114" si="39">H77-H76</f>
        <v>0</v>
      </c>
      <c r="I114" s="452">
        <f t="shared" si="39"/>
        <v>0</v>
      </c>
      <c r="J114" s="452">
        <f t="shared" si="39"/>
        <v>0</v>
      </c>
      <c r="K114" s="452">
        <f t="shared" si="39"/>
        <v>0</v>
      </c>
      <c r="L114" s="452">
        <f t="shared" si="39"/>
        <v>0</v>
      </c>
      <c r="M114" s="452">
        <f t="shared" si="39"/>
        <v>0</v>
      </c>
      <c r="N114" s="452">
        <f t="shared" si="39"/>
        <v>0</v>
      </c>
      <c r="O114" s="452">
        <f t="shared" si="39"/>
        <v>0</v>
      </c>
      <c r="P114" s="452">
        <f t="shared" si="39"/>
        <v>0</v>
      </c>
      <c r="Q114" s="452">
        <f t="shared" si="39"/>
        <v>0</v>
      </c>
      <c r="R114" s="452">
        <f t="shared" si="39"/>
        <v>0</v>
      </c>
      <c r="S114" s="452">
        <f t="shared" si="39"/>
        <v>0</v>
      </c>
      <c r="T114" s="452">
        <f t="shared" si="39"/>
        <v>0</v>
      </c>
      <c r="U114" s="452">
        <f t="shared" si="39"/>
        <v>0</v>
      </c>
      <c r="V114" s="452">
        <f t="shared" si="39"/>
        <v>0</v>
      </c>
      <c r="W114" s="452">
        <f t="shared" si="39"/>
        <v>0</v>
      </c>
      <c r="X114" s="452">
        <f t="shared" si="39"/>
        <v>0</v>
      </c>
      <c r="Y114" s="452">
        <f t="shared" si="39"/>
        <v>0</v>
      </c>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row>
    <row r="115" spans="3:78">
      <c r="C115" s="25" t="s">
        <v>98</v>
      </c>
      <c r="E115" s="452">
        <f t="shared" ref="E115:Y127" si="40">E78-E77</f>
        <v>0</v>
      </c>
      <c r="F115" s="452">
        <f t="shared" si="40"/>
        <v>0</v>
      </c>
      <c r="G115" s="452">
        <f t="shared" si="40"/>
        <v>0</v>
      </c>
      <c r="H115" s="452">
        <f t="shared" si="40"/>
        <v>0</v>
      </c>
      <c r="I115" s="452">
        <f t="shared" si="40"/>
        <v>0</v>
      </c>
      <c r="J115" s="452">
        <f t="shared" si="40"/>
        <v>0</v>
      </c>
      <c r="K115" s="452">
        <f t="shared" si="40"/>
        <v>0</v>
      </c>
      <c r="L115" s="452">
        <f t="shared" si="40"/>
        <v>0</v>
      </c>
      <c r="M115" s="452">
        <f t="shared" si="40"/>
        <v>0</v>
      </c>
      <c r="N115" s="452">
        <f t="shared" si="40"/>
        <v>0</v>
      </c>
      <c r="O115" s="452">
        <f t="shared" si="40"/>
        <v>0</v>
      </c>
      <c r="P115" s="452">
        <f t="shared" si="40"/>
        <v>0</v>
      </c>
      <c r="Q115" s="452">
        <f t="shared" si="40"/>
        <v>0</v>
      </c>
      <c r="R115" s="452">
        <f t="shared" si="40"/>
        <v>0</v>
      </c>
      <c r="S115" s="452">
        <f t="shared" si="40"/>
        <v>0</v>
      </c>
      <c r="T115" s="452">
        <f t="shared" si="40"/>
        <v>0</v>
      </c>
      <c r="U115" s="452">
        <f t="shared" si="40"/>
        <v>0</v>
      </c>
      <c r="V115" s="452">
        <f t="shared" si="40"/>
        <v>0</v>
      </c>
      <c r="W115" s="452">
        <f t="shared" si="40"/>
        <v>0</v>
      </c>
      <c r="X115" s="452">
        <f t="shared" si="40"/>
        <v>0</v>
      </c>
      <c r="Y115" s="452">
        <f t="shared" si="40"/>
        <v>0</v>
      </c>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row>
    <row r="116" spans="3:78">
      <c r="C116" s="25" t="s">
        <v>99</v>
      </c>
      <c r="E116" s="452">
        <f t="shared" si="40"/>
        <v>0</v>
      </c>
      <c r="F116" s="452">
        <f t="shared" si="40"/>
        <v>0</v>
      </c>
      <c r="G116" s="452">
        <f t="shared" si="40"/>
        <v>0</v>
      </c>
      <c r="H116" s="452">
        <f t="shared" si="40"/>
        <v>0</v>
      </c>
      <c r="I116" s="452">
        <f t="shared" si="40"/>
        <v>0</v>
      </c>
      <c r="J116" s="452">
        <f t="shared" si="40"/>
        <v>0</v>
      </c>
      <c r="K116" s="452">
        <f t="shared" si="40"/>
        <v>0</v>
      </c>
      <c r="L116" s="452">
        <f t="shared" si="40"/>
        <v>0</v>
      </c>
      <c r="M116" s="452">
        <f t="shared" si="40"/>
        <v>0</v>
      </c>
      <c r="N116" s="452">
        <f t="shared" si="40"/>
        <v>0</v>
      </c>
      <c r="O116" s="452">
        <f t="shared" si="40"/>
        <v>0</v>
      </c>
      <c r="P116" s="452">
        <f t="shared" si="40"/>
        <v>0</v>
      </c>
      <c r="Q116" s="452">
        <f t="shared" si="40"/>
        <v>0</v>
      </c>
      <c r="R116" s="452">
        <f t="shared" si="40"/>
        <v>0</v>
      </c>
      <c r="S116" s="452">
        <f t="shared" si="40"/>
        <v>0</v>
      </c>
      <c r="T116" s="452">
        <f t="shared" si="40"/>
        <v>0</v>
      </c>
      <c r="U116" s="452">
        <f t="shared" si="40"/>
        <v>0</v>
      </c>
      <c r="V116" s="452">
        <f t="shared" si="40"/>
        <v>0</v>
      </c>
      <c r="W116" s="452">
        <f t="shared" si="40"/>
        <v>0</v>
      </c>
      <c r="X116" s="452">
        <f t="shared" si="40"/>
        <v>0</v>
      </c>
      <c r="Y116" s="452">
        <f t="shared" si="40"/>
        <v>0</v>
      </c>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row>
    <row r="117" spans="3:78">
      <c r="C117" s="25" t="s">
        <v>100</v>
      </c>
      <c r="E117" s="452">
        <f t="shared" si="40"/>
        <v>0</v>
      </c>
      <c r="F117" s="452">
        <f t="shared" si="40"/>
        <v>0</v>
      </c>
      <c r="G117" s="452">
        <f t="shared" si="40"/>
        <v>0</v>
      </c>
      <c r="H117" s="452">
        <f t="shared" si="40"/>
        <v>0</v>
      </c>
      <c r="I117" s="452">
        <f t="shared" si="40"/>
        <v>0</v>
      </c>
      <c r="J117" s="452">
        <f t="shared" si="40"/>
        <v>0</v>
      </c>
      <c r="K117" s="452">
        <f t="shared" si="40"/>
        <v>0</v>
      </c>
      <c r="L117" s="452">
        <f t="shared" si="40"/>
        <v>0</v>
      </c>
      <c r="M117" s="452">
        <f t="shared" si="40"/>
        <v>0</v>
      </c>
      <c r="N117" s="452">
        <f t="shared" si="40"/>
        <v>0</v>
      </c>
      <c r="O117" s="452">
        <f t="shared" si="40"/>
        <v>0</v>
      </c>
      <c r="P117" s="452">
        <f t="shared" si="40"/>
        <v>0</v>
      </c>
      <c r="Q117" s="452">
        <f t="shared" si="40"/>
        <v>0</v>
      </c>
      <c r="R117" s="452">
        <f t="shared" si="40"/>
        <v>0</v>
      </c>
      <c r="S117" s="452">
        <f t="shared" si="40"/>
        <v>0</v>
      </c>
      <c r="T117" s="452">
        <f t="shared" si="40"/>
        <v>0</v>
      </c>
      <c r="U117" s="452">
        <f t="shared" si="40"/>
        <v>0</v>
      </c>
      <c r="V117" s="452">
        <f t="shared" si="40"/>
        <v>0</v>
      </c>
      <c r="W117" s="452">
        <f t="shared" si="40"/>
        <v>0</v>
      </c>
      <c r="X117" s="452">
        <f t="shared" si="40"/>
        <v>0</v>
      </c>
      <c r="Y117" s="452">
        <f t="shared" si="40"/>
        <v>0</v>
      </c>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row>
    <row r="118" spans="3:78">
      <c r="C118" s="25" t="s">
        <v>101</v>
      </c>
      <c r="E118" s="452">
        <f t="shared" si="40"/>
        <v>0</v>
      </c>
      <c r="F118" s="452">
        <f t="shared" si="40"/>
        <v>0</v>
      </c>
      <c r="G118" s="452">
        <f t="shared" si="40"/>
        <v>0</v>
      </c>
      <c r="H118" s="452">
        <f t="shared" si="40"/>
        <v>0</v>
      </c>
      <c r="I118" s="452">
        <f t="shared" si="40"/>
        <v>0</v>
      </c>
      <c r="J118" s="452">
        <f t="shared" si="40"/>
        <v>0</v>
      </c>
      <c r="K118" s="452">
        <f t="shared" si="40"/>
        <v>0</v>
      </c>
      <c r="L118" s="452">
        <f t="shared" si="40"/>
        <v>0</v>
      </c>
      <c r="M118" s="452">
        <f t="shared" si="40"/>
        <v>0</v>
      </c>
      <c r="N118" s="452">
        <f t="shared" si="40"/>
        <v>0</v>
      </c>
      <c r="O118" s="452">
        <f t="shared" si="40"/>
        <v>0</v>
      </c>
      <c r="P118" s="452">
        <f t="shared" si="40"/>
        <v>0</v>
      </c>
      <c r="Q118" s="452">
        <f t="shared" si="40"/>
        <v>0</v>
      </c>
      <c r="R118" s="452">
        <f t="shared" si="40"/>
        <v>0</v>
      </c>
      <c r="S118" s="452">
        <f t="shared" si="40"/>
        <v>0</v>
      </c>
      <c r="T118" s="452">
        <f t="shared" si="40"/>
        <v>0</v>
      </c>
      <c r="U118" s="452">
        <f t="shared" si="40"/>
        <v>0</v>
      </c>
      <c r="V118" s="452">
        <f t="shared" si="40"/>
        <v>0</v>
      </c>
      <c r="W118" s="452">
        <f t="shared" si="40"/>
        <v>0</v>
      </c>
      <c r="X118" s="452">
        <f t="shared" si="40"/>
        <v>0</v>
      </c>
      <c r="Y118" s="452">
        <f t="shared" si="40"/>
        <v>0</v>
      </c>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row>
    <row r="119" spans="3:78">
      <c r="C119" s="25" t="s">
        <v>102</v>
      </c>
      <c r="E119" s="452">
        <f t="shared" si="40"/>
        <v>0</v>
      </c>
      <c r="F119" s="452">
        <f t="shared" si="40"/>
        <v>0</v>
      </c>
      <c r="G119" s="452">
        <f t="shared" si="40"/>
        <v>0</v>
      </c>
      <c r="H119" s="452">
        <f t="shared" si="40"/>
        <v>0</v>
      </c>
      <c r="I119" s="452">
        <f t="shared" si="40"/>
        <v>0</v>
      </c>
      <c r="J119" s="452">
        <f t="shared" si="40"/>
        <v>0</v>
      </c>
      <c r="K119" s="452">
        <f t="shared" si="40"/>
        <v>0</v>
      </c>
      <c r="L119" s="452">
        <f t="shared" si="40"/>
        <v>0</v>
      </c>
      <c r="M119" s="452">
        <f t="shared" si="40"/>
        <v>0</v>
      </c>
      <c r="N119" s="452">
        <f t="shared" si="40"/>
        <v>0</v>
      </c>
      <c r="O119" s="452">
        <f t="shared" si="40"/>
        <v>0</v>
      </c>
      <c r="P119" s="452">
        <f t="shared" si="40"/>
        <v>0</v>
      </c>
      <c r="Q119" s="452">
        <f t="shared" si="40"/>
        <v>0</v>
      </c>
      <c r="R119" s="452">
        <f t="shared" si="40"/>
        <v>0</v>
      </c>
      <c r="S119" s="452">
        <f t="shared" si="40"/>
        <v>0</v>
      </c>
      <c r="T119" s="452">
        <f t="shared" si="40"/>
        <v>0</v>
      </c>
      <c r="U119" s="452">
        <f t="shared" si="40"/>
        <v>0</v>
      </c>
      <c r="V119" s="452">
        <f t="shared" si="40"/>
        <v>0</v>
      </c>
      <c r="W119" s="452">
        <f t="shared" si="40"/>
        <v>0</v>
      </c>
      <c r="X119" s="452">
        <f t="shared" si="40"/>
        <v>0</v>
      </c>
      <c r="Y119" s="452">
        <f t="shared" si="40"/>
        <v>0</v>
      </c>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row>
    <row r="120" spans="3:78">
      <c r="C120" s="25" t="s">
        <v>103</v>
      </c>
      <c r="E120" s="452">
        <f t="shared" si="40"/>
        <v>0</v>
      </c>
      <c r="F120" s="452">
        <f t="shared" si="40"/>
        <v>0</v>
      </c>
      <c r="G120" s="452">
        <f t="shared" si="40"/>
        <v>0</v>
      </c>
      <c r="H120" s="452">
        <f t="shared" si="40"/>
        <v>0</v>
      </c>
      <c r="I120" s="452">
        <f t="shared" si="40"/>
        <v>0</v>
      </c>
      <c r="J120" s="452">
        <f t="shared" si="40"/>
        <v>0</v>
      </c>
      <c r="K120" s="452">
        <f t="shared" si="40"/>
        <v>0</v>
      </c>
      <c r="L120" s="452">
        <f t="shared" si="40"/>
        <v>0</v>
      </c>
      <c r="M120" s="452">
        <f t="shared" si="40"/>
        <v>0</v>
      </c>
      <c r="N120" s="452">
        <f t="shared" si="40"/>
        <v>0</v>
      </c>
      <c r="O120" s="452">
        <f t="shared" si="40"/>
        <v>0</v>
      </c>
      <c r="P120" s="452">
        <f t="shared" si="40"/>
        <v>0</v>
      </c>
      <c r="Q120" s="452">
        <f t="shared" si="40"/>
        <v>0</v>
      </c>
      <c r="R120" s="452">
        <f t="shared" si="40"/>
        <v>0</v>
      </c>
      <c r="S120" s="452">
        <f t="shared" si="40"/>
        <v>0</v>
      </c>
      <c r="T120" s="452">
        <f t="shared" si="40"/>
        <v>0</v>
      </c>
      <c r="U120" s="452">
        <f t="shared" si="40"/>
        <v>0</v>
      </c>
      <c r="V120" s="452">
        <f t="shared" si="40"/>
        <v>0</v>
      </c>
      <c r="W120" s="452">
        <f t="shared" si="40"/>
        <v>0</v>
      </c>
      <c r="X120" s="452">
        <f t="shared" si="40"/>
        <v>0</v>
      </c>
      <c r="Y120" s="452">
        <f t="shared" si="40"/>
        <v>0</v>
      </c>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row>
    <row r="121" spans="3:78">
      <c r="C121" s="25" t="s">
        <v>104</v>
      </c>
      <c r="E121" s="452">
        <f t="shared" si="40"/>
        <v>0</v>
      </c>
      <c r="F121" s="452">
        <f t="shared" si="40"/>
        <v>0</v>
      </c>
      <c r="G121" s="452">
        <f t="shared" si="40"/>
        <v>0</v>
      </c>
      <c r="H121" s="452">
        <f t="shared" si="40"/>
        <v>0</v>
      </c>
      <c r="I121" s="452">
        <f t="shared" si="40"/>
        <v>0</v>
      </c>
      <c r="J121" s="452">
        <f t="shared" si="40"/>
        <v>0</v>
      </c>
      <c r="K121" s="452">
        <f t="shared" si="40"/>
        <v>0</v>
      </c>
      <c r="L121" s="452">
        <f t="shared" si="40"/>
        <v>0</v>
      </c>
      <c r="M121" s="452">
        <f t="shared" si="40"/>
        <v>0</v>
      </c>
      <c r="N121" s="452">
        <f t="shared" si="40"/>
        <v>0</v>
      </c>
      <c r="O121" s="452">
        <f t="shared" si="40"/>
        <v>0</v>
      </c>
      <c r="P121" s="452">
        <f t="shared" si="40"/>
        <v>0</v>
      </c>
      <c r="Q121" s="452">
        <f t="shared" si="40"/>
        <v>0</v>
      </c>
      <c r="R121" s="452">
        <f t="shared" si="40"/>
        <v>0</v>
      </c>
      <c r="S121" s="452">
        <f t="shared" si="40"/>
        <v>0</v>
      </c>
      <c r="T121" s="452">
        <f t="shared" si="40"/>
        <v>0</v>
      </c>
      <c r="U121" s="452">
        <f t="shared" si="40"/>
        <v>0</v>
      </c>
      <c r="V121" s="452">
        <f t="shared" si="40"/>
        <v>0</v>
      </c>
      <c r="W121" s="452">
        <f t="shared" si="40"/>
        <v>0</v>
      </c>
      <c r="X121" s="452">
        <f t="shared" si="40"/>
        <v>0</v>
      </c>
      <c r="Y121" s="452">
        <f t="shared" si="40"/>
        <v>0</v>
      </c>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row>
    <row r="122" spans="3:78">
      <c r="C122" s="25" t="s">
        <v>909</v>
      </c>
      <c r="E122" s="452">
        <f t="shared" si="40"/>
        <v>0</v>
      </c>
      <c r="F122" s="452">
        <f t="shared" si="40"/>
        <v>0</v>
      </c>
      <c r="G122" s="452">
        <f t="shared" si="40"/>
        <v>0</v>
      </c>
      <c r="H122" s="452">
        <f t="shared" si="40"/>
        <v>0</v>
      </c>
      <c r="I122" s="452">
        <f t="shared" si="40"/>
        <v>0</v>
      </c>
      <c r="J122" s="452">
        <f t="shared" si="40"/>
        <v>0</v>
      </c>
      <c r="K122" s="452">
        <f t="shared" si="40"/>
        <v>0</v>
      </c>
      <c r="L122" s="452">
        <f t="shared" si="40"/>
        <v>0</v>
      </c>
      <c r="M122" s="452">
        <f t="shared" si="40"/>
        <v>0</v>
      </c>
      <c r="N122" s="452">
        <f t="shared" si="40"/>
        <v>0</v>
      </c>
      <c r="O122" s="452">
        <f t="shared" si="40"/>
        <v>0</v>
      </c>
      <c r="P122" s="452">
        <f t="shared" si="40"/>
        <v>0</v>
      </c>
      <c r="Q122" s="452">
        <f t="shared" si="40"/>
        <v>0</v>
      </c>
      <c r="R122" s="452">
        <f t="shared" si="40"/>
        <v>0</v>
      </c>
      <c r="S122" s="452">
        <f t="shared" si="40"/>
        <v>0</v>
      </c>
      <c r="T122" s="452">
        <f t="shared" si="40"/>
        <v>0</v>
      </c>
      <c r="U122" s="452">
        <f t="shared" si="40"/>
        <v>0</v>
      </c>
      <c r="V122" s="452">
        <f t="shared" si="40"/>
        <v>0</v>
      </c>
      <c r="W122" s="452">
        <f t="shared" si="40"/>
        <v>0</v>
      </c>
      <c r="X122" s="452">
        <f t="shared" si="40"/>
        <v>0</v>
      </c>
      <c r="Y122" s="452">
        <f t="shared" si="40"/>
        <v>0</v>
      </c>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row>
    <row r="123" spans="3:78">
      <c r="C123" s="25" t="s">
        <v>911</v>
      </c>
      <c r="E123" s="452">
        <f t="shared" si="40"/>
        <v>0</v>
      </c>
      <c r="F123" s="452">
        <f t="shared" si="40"/>
        <v>0</v>
      </c>
      <c r="G123" s="452">
        <f t="shared" si="40"/>
        <v>0</v>
      </c>
      <c r="H123" s="452">
        <f t="shared" si="40"/>
        <v>0</v>
      </c>
      <c r="I123" s="452">
        <f t="shared" si="40"/>
        <v>0</v>
      </c>
      <c r="J123" s="452">
        <f t="shared" si="40"/>
        <v>0</v>
      </c>
      <c r="K123" s="452">
        <f t="shared" si="40"/>
        <v>0</v>
      </c>
      <c r="L123" s="452">
        <f t="shared" si="40"/>
        <v>0</v>
      </c>
      <c r="M123" s="452">
        <f t="shared" si="40"/>
        <v>0</v>
      </c>
      <c r="N123" s="452">
        <f t="shared" si="40"/>
        <v>0</v>
      </c>
      <c r="O123" s="452">
        <f t="shared" si="40"/>
        <v>0</v>
      </c>
      <c r="P123" s="452">
        <f t="shared" si="40"/>
        <v>0</v>
      </c>
      <c r="Q123" s="452">
        <f t="shared" si="40"/>
        <v>0</v>
      </c>
      <c r="R123" s="452">
        <f t="shared" si="40"/>
        <v>0</v>
      </c>
      <c r="S123" s="452">
        <f t="shared" si="40"/>
        <v>0</v>
      </c>
      <c r="T123" s="452">
        <f t="shared" si="40"/>
        <v>0</v>
      </c>
      <c r="U123" s="452">
        <f t="shared" si="40"/>
        <v>0</v>
      </c>
      <c r="V123" s="452">
        <f t="shared" si="40"/>
        <v>0</v>
      </c>
      <c r="W123" s="452">
        <f t="shared" si="40"/>
        <v>0</v>
      </c>
      <c r="X123" s="452">
        <f t="shared" si="40"/>
        <v>0</v>
      </c>
      <c r="Y123" s="452">
        <f t="shared" si="40"/>
        <v>0</v>
      </c>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row>
    <row r="124" spans="3:78">
      <c r="C124" s="25" t="s">
        <v>914</v>
      </c>
      <c r="E124" s="452">
        <f t="shared" si="40"/>
        <v>0</v>
      </c>
      <c r="F124" s="452">
        <f t="shared" si="40"/>
        <v>0</v>
      </c>
      <c r="G124" s="452">
        <f t="shared" si="40"/>
        <v>0</v>
      </c>
      <c r="H124" s="452">
        <f t="shared" si="40"/>
        <v>0</v>
      </c>
      <c r="I124" s="452">
        <f t="shared" si="40"/>
        <v>0</v>
      </c>
      <c r="J124" s="452">
        <f t="shared" si="40"/>
        <v>0</v>
      </c>
      <c r="K124" s="452">
        <f t="shared" si="40"/>
        <v>0</v>
      </c>
      <c r="L124" s="452">
        <f t="shared" si="40"/>
        <v>0</v>
      </c>
      <c r="M124" s="452">
        <f t="shared" si="40"/>
        <v>0</v>
      </c>
      <c r="N124" s="452">
        <f t="shared" si="40"/>
        <v>0</v>
      </c>
      <c r="O124" s="452">
        <f t="shared" si="40"/>
        <v>0</v>
      </c>
      <c r="P124" s="452">
        <f t="shared" si="40"/>
        <v>0</v>
      </c>
      <c r="Q124" s="452">
        <f t="shared" si="40"/>
        <v>0</v>
      </c>
      <c r="R124" s="452">
        <f t="shared" si="40"/>
        <v>0</v>
      </c>
      <c r="S124" s="452">
        <f t="shared" si="40"/>
        <v>0</v>
      </c>
      <c r="T124" s="452">
        <f t="shared" si="40"/>
        <v>0</v>
      </c>
      <c r="U124" s="452">
        <f t="shared" si="40"/>
        <v>0</v>
      </c>
      <c r="V124" s="452">
        <f t="shared" si="40"/>
        <v>0</v>
      </c>
      <c r="W124" s="452">
        <f t="shared" si="40"/>
        <v>0</v>
      </c>
      <c r="X124" s="452">
        <f t="shared" si="40"/>
        <v>0</v>
      </c>
      <c r="Y124" s="452">
        <f t="shared" si="40"/>
        <v>0</v>
      </c>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row>
    <row r="125" spans="3:78">
      <c r="C125" s="25" t="s">
        <v>917</v>
      </c>
      <c r="E125" s="452">
        <f t="shared" si="40"/>
        <v>0</v>
      </c>
      <c r="F125" s="452">
        <f t="shared" si="40"/>
        <v>0</v>
      </c>
      <c r="G125" s="452">
        <f t="shared" si="40"/>
        <v>0</v>
      </c>
      <c r="H125" s="452">
        <f t="shared" si="40"/>
        <v>0</v>
      </c>
      <c r="I125" s="452">
        <f t="shared" si="40"/>
        <v>0</v>
      </c>
      <c r="J125" s="452">
        <f t="shared" si="40"/>
        <v>0</v>
      </c>
      <c r="K125" s="452">
        <f t="shared" si="40"/>
        <v>0</v>
      </c>
      <c r="L125" s="452">
        <f t="shared" si="40"/>
        <v>0</v>
      </c>
      <c r="M125" s="452">
        <f t="shared" si="40"/>
        <v>0</v>
      </c>
      <c r="N125" s="452">
        <f t="shared" si="40"/>
        <v>0</v>
      </c>
      <c r="O125" s="452">
        <f t="shared" si="40"/>
        <v>0</v>
      </c>
      <c r="P125" s="452">
        <f t="shared" si="40"/>
        <v>0</v>
      </c>
      <c r="Q125" s="452">
        <f t="shared" si="40"/>
        <v>0</v>
      </c>
      <c r="R125" s="452">
        <f t="shared" si="40"/>
        <v>0</v>
      </c>
      <c r="S125" s="452">
        <f t="shared" si="40"/>
        <v>0</v>
      </c>
      <c r="T125" s="452">
        <f t="shared" si="40"/>
        <v>0</v>
      </c>
      <c r="U125" s="452">
        <f t="shared" si="40"/>
        <v>0</v>
      </c>
      <c r="V125" s="452">
        <f t="shared" si="40"/>
        <v>0</v>
      </c>
      <c r="W125" s="452">
        <f t="shared" si="40"/>
        <v>0</v>
      </c>
      <c r="X125" s="452">
        <f t="shared" si="40"/>
        <v>0</v>
      </c>
      <c r="Y125" s="452">
        <f t="shared" si="40"/>
        <v>0</v>
      </c>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row>
    <row r="126" spans="3:78">
      <c r="C126" s="25" t="s">
        <v>920</v>
      </c>
      <c r="E126" s="452">
        <f t="shared" si="40"/>
        <v>0</v>
      </c>
      <c r="F126" s="452">
        <f t="shared" si="40"/>
        <v>0</v>
      </c>
      <c r="G126" s="452">
        <f t="shared" si="40"/>
        <v>0</v>
      </c>
      <c r="H126" s="452">
        <f t="shared" si="40"/>
        <v>0</v>
      </c>
      <c r="I126" s="452">
        <f t="shared" si="40"/>
        <v>0</v>
      </c>
      <c r="J126" s="452">
        <f t="shared" si="40"/>
        <v>0</v>
      </c>
      <c r="K126" s="452">
        <f t="shared" si="40"/>
        <v>0</v>
      </c>
      <c r="L126" s="452">
        <f t="shared" si="40"/>
        <v>0</v>
      </c>
      <c r="M126" s="452">
        <f t="shared" si="40"/>
        <v>0</v>
      </c>
      <c r="N126" s="452">
        <f t="shared" si="40"/>
        <v>0</v>
      </c>
      <c r="O126" s="452">
        <f t="shared" si="40"/>
        <v>0</v>
      </c>
      <c r="P126" s="452">
        <f t="shared" si="40"/>
        <v>0</v>
      </c>
      <c r="Q126" s="452">
        <f t="shared" si="40"/>
        <v>0</v>
      </c>
      <c r="R126" s="452">
        <f t="shared" si="40"/>
        <v>0</v>
      </c>
      <c r="S126" s="452">
        <f t="shared" si="40"/>
        <v>0</v>
      </c>
      <c r="T126" s="452">
        <f t="shared" si="40"/>
        <v>0</v>
      </c>
      <c r="U126" s="452">
        <f t="shared" si="40"/>
        <v>0</v>
      </c>
      <c r="V126" s="452">
        <f t="shared" si="40"/>
        <v>0</v>
      </c>
      <c r="W126" s="452">
        <f t="shared" si="40"/>
        <v>0</v>
      </c>
      <c r="X126" s="452">
        <f t="shared" si="40"/>
        <v>0</v>
      </c>
      <c r="Y126" s="452">
        <f t="shared" si="40"/>
        <v>0</v>
      </c>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row>
    <row r="127" spans="3:78">
      <c r="C127" s="25" t="s">
        <v>923</v>
      </c>
      <c r="E127" s="452">
        <f t="shared" si="40"/>
        <v>0</v>
      </c>
      <c r="F127" s="452">
        <f t="shared" si="40"/>
        <v>0</v>
      </c>
      <c r="G127" s="452">
        <f t="shared" si="40"/>
        <v>0</v>
      </c>
      <c r="H127" s="452">
        <f t="shared" ref="H127:Y127" si="41">H90-H89</f>
        <v>0</v>
      </c>
      <c r="I127" s="452">
        <f t="shared" si="41"/>
        <v>0</v>
      </c>
      <c r="J127" s="452">
        <f t="shared" si="41"/>
        <v>0</v>
      </c>
      <c r="K127" s="452">
        <f t="shared" si="41"/>
        <v>0</v>
      </c>
      <c r="L127" s="452">
        <f t="shared" si="41"/>
        <v>0</v>
      </c>
      <c r="M127" s="452">
        <f t="shared" si="41"/>
        <v>0</v>
      </c>
      <c r="N127" s="452">
        <f t="shared" si="41"/>
        <v>0</v>
      </c>
      <c r="O127" s="452">
        <f t="shared" si="41"/>
        <v>0</v>
      </c>
      <c r="P127" s="452">
        <f t="shared" si="41"/>
        <v>0</v>
      </c>
      <c r="Q127" s="452">
        <f t="shared" si="41"/>
        <v>0</v>
      </c>
      <c r="R127" s="452">
        <f t="shared" si="41"/>
        <v>0</v>
      </c>
      <c r="S127" s="452">
        <f t="shared" si="41"/>
        <v>0</v>
      </c>
      <c r="T127" s="452">
        <f t="shared" si="41"/>
        <v>0</v>
      </c>
      <c r="U127" s="452">
        <f t="shared" si="41"/>
        <v>0</v>
      </c>
      <c r="V127" s="452">
        <f t="shared" si="41"/>
        <v>0</v>
      </c>
      <c r="W127" s="452">
        <f t="shared" si="41"/>
        <v>0</v>
      </c>
      <c r="X127" s="452">
        <f t="shared" si="41"/>
        <v>0</v>
      </c>
      <c r="Y127" s="452">
        <f t="shared" si="41"/>
        <v>0</v>
      </c>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row>
    <row r="128" spans="3:78">
      <c r="C128" s="25" t="s">
        <v>926</v>
      </c>
      <c r="E128" s="452">
        <f t="shared" ref="E128:Y132" si="42">E91-E90</f>
        <v>0</v>
      </c>
      <c r="F128" s="452">
        <f t="shared" si="42"/>
        <v>0</v>
      </c>
      <c r="G128" s="452">
        <f t="shared" si="42"/>
        <v>0</v>
      </c>
      <c r="H128" s="452">
        <f t="shared" si="42"/>
        <v>0</v>
      </c>
      <c r="I128" s="452">
        <f t="shared" si="42"/>
        <v>0</v>
      </c>
      <c r="J128" s="452">
        <f t="shared" si="42"/>
        <v>0</v>
      </c>
      <c r="K128" s="452">
        <f t="shared" si="42"/>
        <v>0</v>
      </c>
      <c r="L128" s="452">
        <f t="shared" si="42"/>
        <v>0</v>
      </c>
      <c r="M128" s="452">
        <f t="shared" si="42"/>
        <v>0</v>
      </c>
      <c r="N128" s="452">
        <f t="shared" si="42"/>
        <v>0</v>
      </c>
      <c r="O128" s="452">
        <f t="shared" si="42"/>
        <v>0</v>
      </c>
      <c r="P128" s="452">
        <f t="shared" si="42"/>
        <v>0</v>
      </c>
      <c r="Q128" s="452">
        <f t="shared" si="42"/>
        <v>0</v>
      </c>
      <c r="R128" s="452">
        <f t="shared" si="42"/>
        <v>0</v>
      </c>
      <c r="S128" s="452">
        <f t="shared" si="42"/>
        <v>0</v>
      </c>
      <c r="T128" s="452">
        <f t="shared" si="42"/>
        <v>0</v>
      </c>
      <c r="U128" s="452">
        <f t="shared" si="42"/>
        <v>0</v>
      </c>
      <c r="V128" s="452">
        <f t="shared" si="42"/>
        <v>0</v>
      </c>
      <c r="W128" s="452">
        <f t="shared" si="42"/>
        <v>0</v>
      </c>
      <c r="X128" s="452">
        <f t="shared" si="42"/>
        <v>0</v>
      </c>
      <c r="Y128" s="452">
        <f t="shared" si="42"/>
        <v>0</v>
      </c>
    </row>
    <row r="129" spans="3:25">
      <c r="C129" s="25" t="s">
        <v>929</v>
      </c>
      <c r="E129" s="452">
        <f t="shared" si="42"/>
        <v>0</v>
      </c>
      <c r="F129" s="452">
        <f t="shared" si="42"/>
        <v>0</v>
      </c>
      <c r="G129" s="452">
        <f t="shared" si="42"/>
        <v>0</v>
      </c>
      <c r="H129" s="452">
        <f t="shared" si="42"/>
        <v>0</v>
      </c>
      <c r="I129" s="452">
        <f t="shared" si="42"/>
        <v>0</v>
      </c>
      <c r="J129" s="452">
        <f t="shared" si="42"/>
        <v>0</v>
      </c>
      <c r="K129" s="452">
        <f t="shared" si="42"/>
        <v>0</v>
      </c>
      <c r="L129" s="452">
        <f t="shared" si="42"/>
        <v>0</v>
      </c>
      <c r="M129" s="452">
        <f t="shared" si="42"/>
        <v>0</v>
      </c>
      <c r="N129" s="452">
        <f t="shared" si="42"/>
        <v>0</v>
      </c>
      <c r="O129" s="452">
        <f t="shared" si="42"/>
        <v>0</v>
      </c>
      <c r="P129" s="452">
        <f t="shared" si="42"/>
        <v>0</v>
      </c>
      <c r="Q129" s="452">
        <f t="shared" si="42"/>
        <v>0</v>
      </c>
      <c r="R129" s="452">
        <f t="shared" si="42"/>
        <v>0</v>
      </c>
      <c r="S129" s="452">
        <f t="shared" si="42"/>
        <v>0</v>
      </c>
      <c r="T129" s="452">
        <f t="shared" si="42"/>
        <v>0</v>
      </c>
      <c r="U129" s="452">
        <f t="shared" si="42"/>
        <v>0</v>
      </c>
      <c r="V129" s="452">
        <f t="shared" si="42"/>
        <v>0</v>
      </c>
      <c r="W129" s="452">
        <f t="shared" si="42"/>
        <v>0</v>
      </c>
      <c r="X129" s="452">
        <f t="shared" si="42"/>
        <v>0</v>
      </c>
      <c r="Y129" s="452">
        <f t="shared" si="42"/>
        <v>0</v>
      </c>
    </row>
    <row r="130" spans="3:25">
      <c r="C130" s="25" t="s">
        <v>932</v>
      </c>
      <c r="E130" s="452">
        <f t="shared" si="42"/>
        <v>0</v>
      </c>
      <c r="F130" s="452">
        <f t="shared" si="42"/>
        <v>0</v>
      </c>
      <c r="G130" s="452">
        <f t="shared" si="42"/>
        <v>0</v>
      </c>
      <c r="H130" s="452">
        <f t="shared" si="42"/>
        <v>0</v>
      </c>
      <c r="I130" s="452">
        <f t="shared" si="42"/>
        <v>0</v>
      </c>
      <c r="J130" s="452">
        <f t="shared" si="42"/>
        <v>0</v>
      </c>
      <c r="K130" s="452">
        <f t="shared" si="42"/>
        <v>0</v>
      </c>
      <c r="L130" s="452">
        <f t="shared" si="42"/>
        <v>0</v>
      </c>
      <c r="M130" s="452">
        <f t="shared" si="42"/>
        <v>0</v>
      </c>
      <c r="N130" s="452">
        <f t="shared" si="42"/>
        <v>0</v>
      </c>
      <c r="O130" s="452">
        <f t="shared" si="42"/>
        <v>0</v>
      </c>
      <c r="P130" s="452">
        <f t="shared" si="42"/>
        <v>0</v>
      </c>
      <c r="Q130" s="452">
        <f t="shared" si="42"/>
        <v>0</v>
      </c>
      <c r="R130" s="452">
        <f t="shared" si="42"/>
        <v>0</v>
      </c>
      <c r="S130" s="452">
        <f t="shared" si="42"/>
        <v>0</v>
      </c>
      <c r="T130" s="452">
        <f t="shared" si="42"/>
        <v>0</v>
      </c>
      <c r="U130" s="452">
        <f t="shared" si="42"/>
        <v>0</v>
      </c>
      <c r="V130" s="452">
        <f t="shared" si="42"/>
        <v>0</v>
      </c>
      <c r="W130" s="452">
        <f t="shared" si="42"/>
        <v>0</v>
      </c>
      <c r="X130" s="452">
        <f t="shared" si="42"/>
        <v>0</v>
      </c>
      <c r="Y130" s="452">
        <f t="shared" si="42"/>
        <v>0</v>
      </c>
    </row>
    <row r="131" spans="3:25">
      <c r="C131" s="25" t="s">
        <v>935</v>
      </c>
      <c r="E131" s="452">
        <f t="shared" si="42"/>
        <v>0</v>
      </c>
      <c r="F131" s="452">
        <f t="shared" si="42"/>
        <v>0</v>
      </c>
      <c r="G131" s="452">
        <f t="shared" si="42"/>
        <v>0</v>
      </c>
      <c r="H131" s="452">
        <f t="shared" si="42"/>
        <v>0</v>
      </c>
      <c r="I131" s="452">
        <f t="shared" si="42"/>
        <v>0</v>
      </c>
      <c r="J131" s="452">
        <f t="shared" si="42"/>
        <v>0</v>
      </c>
      <c r="K131" s="452">
        <f t="shared" si="42"/>
        <v>0</v>
      </c>
      <c r="L131" s="452">
        <f t="shared" si="42"/>
        <v>0</v>
      </c>
      <c r="M131" s="452">
        <f t="shared" si="42"/>
        <v>0</v>
      </c>
      <c r="N131" s="452">
        <f t="shared" si="42"/>
        <v>0</v>
      </c>
      <c r="O131" s="452">
        <f t="shared" si="42"/>
        <v>0</v>
      </c>
      <c r="P131" s="452">
        <f t="shared" si="42"/>
        <v>0</v>
      </c>
      <c r="Q131" s="452">
        <f t="shared" si="42"/>
        <v>0</v>
      </c>
      <c r="R131" s="452">
        <f t="shared" si="42"/>
        <v>0</v>
      </c>
      <c r="S131" s="452">
        <f t="shared" si="42"/>
        <v>0</v>
      </c>
      <c r="T131" s="452">
        <f t="shared" si="42"/>
        <v>0</v>
      </c>
      <c r="U131" s="452">
        <f t="shared" si="42"/>
        <v>0</v>
      </c>
      <c r="V131" s="452">
        <f t="shared" si="42"/>
        <v>0</v>
      </c>
      <c r="W131" s="452">
        <f t="shared" si="42"/>
        <v>0</v>
      </c>
      <c r="X131" s="452">
        <f t="shared" si="42"/>
        <v>0</v>
      </c>
      <c r="Y131" s="452">
        <f t="shared" si="42"/>
        <v>0</v>
      </c>
    </row>
    <row r="132" spans="3:25">
      <c r="C132" s="25" t="s">
        <v>938</v>
      </c>
      <c r="E132" s="452">
        <f t="shared" si="42"/>
        <v>0</v>
      </c>
      <c r="F132" s="452">
        <f t="shared" si="42"/>
        <v>0</v>
      </c>
      <c r="G132" s="452">
        <f t="shared" si="42"/>
        <v>0</v>
      </c>
      <c r="H132" s="452">
        <f t="shared" si="42"/>
        <v>0</v>
      </c>
      <c r="I132" s="452">
        <f t="shared" si="42"/>
        <v>0</v>
      </c>
      <c r="J132" s="452">
        <f t="shared" si="42"/>
        <v>0</v>
      </c>
      <c r="K132" s="452">
        <f t="shared" si="42"/>
        <v>0</v>
      </c>
      <c r="L132" s="452">
        <f t="shared" si="42"/>
        <v>0</v>
      </c>
      <c r="M132" s="452">
        <f t="shared" si="42"/>
        <v>0</v>
      </c>
      <c r="N132" s="452">
        <f t="shared" si="42"/>
        <v>0</v>
      </c>
      <c r="O132" s="452">
        <f t="shared" si="42"/>
        <v>0</v>
      </c>
      <c r="P132" s="452">
        <f t="shared" si="42"/>
        <v>0</v>
      </c>
      <c r="Q132" s="452">
        <f t="shared" si="42"/>
        <v>0</v>
      </c>
      <c r="R132" s="452">
        <f t="shared" si="42"/>
        <v>0</v>
      </c>
      <c r="S132" s="452">
        <f t="shared" si="42"/>
        <v>0</v>
      </c>
      <c r="T132" s="452">
        <f t="shared" si="42"/>
        <v>0</v>
      </c>
      <c r="U132" s="452">
        <f t="shared" si="42"/>
        <v>0</v>
      </c>
      <c r="V132" s="452">
        <f t="shared" si="42"/>
        <v>0</v>
      </c>
      <c r="W132" s="452">
        <f t="shared" si="42"/>
        <v>0</v>
      </c>
      <c r="X132" s="452">
        <f t="shared" si="42"/>
        <v>0</v>
      </c>
      <c r="Y132" s="452">
        <f t="shared" si="42"/>
        <v>0</v>
      </c>
    </row>
    <row r="133" spans="3:25">
      <c r="E133" s="68"/>
    </row>
    <row r="134" spans="3:25" ht="15">
      <c r="C134" s="124" t="s">
        <v>106</v>
      </c>
      <c r="D134" s="453">
        <f t="shared" ref="D134:X134" si="43">SUM(D101:D132)</f>
        <v>0</v>
      </c>
      <c r="E134" s="453">
        <f t="shared" si="43"/>
        <v>0.18277537125547275</v>
      </c>
      <c r="F134" s="453">
        <f t="shared" si="43"/>
        <v>0.41144558586445695</v>
      </c>
      <c r="G134" s="453">
        <f t="shared" si="43"/>
        <v>0.69608914230895791</v>
      </c>
      <c r="H134" s="453">
        <f t="shared" si="43"/>
        <v>1.0319604268831468</v>
      </c>
      <c r="I134" s="453">
        <f t="shared" si="43"/>
        <v>1.4209549780520827</v>
      </c>
      <c r="J134" s="453">
        <f t="shared" si="43"/>
        <v>1.8817381371291915</v>
      </c>
      <c r="K134" s="453">
        <f t="shared" si="43"/>
        <v>2.3944032090628156</v>
      </c>
      <c r="L134" s="453">
        <f t="shared" si="43"/>
        <v>2.9264922213658804</v>
      </c>
      <c r="M134" s="453">
        <f t="shared" si="43"/>
        <v>3.4375136030394251</v>
      </c>
      <c r="N134" s="453">
        <f t="shared" si="43"/>
        <v>3.8877447472690903</v>
      </c>
      <c r="O134" s="453">
        <f t="shared" si="43"/>
        <v>4.248718036443516</v>
      </c>
      <c r="P134" s="453">
        <f t="shared" si="43"/>
        <v>4.5109403894251701</v>
      </c>
      <c r="Q134" s="453">
        <f t="shared" si="43"/>
        <v>4.6845734609286707</v>
      </c>
      <c r="R134" s="453">
        <f t="shared" si="43"/>
        <v>4.7926584601264048</v>
      </c>
      <c r="S134" s="453">
        <f t="shared" si="43"/>
        <v>4.8608299942785624</v>
      </c>
      <c r="T134" s="453">
        <f t="shared" si="43"/>
        <v>4.9091820458942177</v>
      </c>
      <c r="U134" s="453">
        <f t="shared" si="43"/>
        <v>4.9495771729650846</v>
      </c>
      <c r="V134" s="453">
        <f t="shared" si="43"/>
        <v>4.9873599801761399</v>
      </c>
      <c r="W134" s="453">
        <f t="shared" si="43"/>
        <v>5.0243636116878214</v>
      </c>
      <c r="X134" s="453">
        <f t="shared" si="43"/>
        <v>5.061114869752152</v>
      </c>
      <c r="Y134" s="453"/>
    </row>
    <row r="135" spans="3:25" ht="15">
      <c r="C135" s="124" t="s">
        <v>107</v>
      </c>
      <c r="D135" s="453">
        <f>D134</f>
        <v>0</v>
      </c>
      <c r="E135" s="453">
        <f t="shared" ref="E135:X135" si="44">D135+E134</f>
        <v>0.18277537125547275</v>
      </c>
      <c r="F135" s="453">
        <f t="shared" si="44"/>
        <v>0.59422095711992973</v>
      </c>
      <c r="G135" s="453">
        <f t="shared" si="44"/>
        <v>1.2903100994288876</v>
      </c>
      <c r="H135" s="453">
        <f t="shared" si="44"/>
        <v>2.3222705263120345</v>
      </c>
      <c r="I135" s="453">
        <f t="shared" si="44"/>
        <v>3.7432255043641174</v>
      </c>
      <c r="J135" s="453">
        <f t="shared" si="44"/>
        <v>5.6249636414933093</v>
      </c>
      <c r="K135" s="453">
        <f t="shared" si="44"/>
        <v>8.0193668505561249</v>
      </c>
      <c r="L135" s="453">
        <f t="shared" si="44"/>
        <v>10.945859071922005</v>
      </c>
      <c r="M135" s="453">
        <f t="shared" si="44"/>
        <v>14.38337267496143</v>
      </c>
      <c r="N135" s="453">
        <f t="shared" si="44"/>
        <v>18.271117422230521</v>
      </c>
      <c r="O135" s="453">
        <f t="shared" si="44"/>
        <v>22.519835458674038</v>
      </c>
      <c r="P135" s="453">
        <f t="shared" si="44"/>
        <v>27.030775848099207</v>
      </c>
      <c r="Q135" s="453">
        <f t="shared" si="44"/>
        <v>31.715349309027879</v>
      </c>
      <c r="R135" s="453">
        <f t="shared" si="44"/>
        <v>36.508007769154283</v>
      </c>
      <c r="S135" s="453">
        <f t="shared" si="44"/>
        <v>41.368837763432843</v>
      </c>
      <c r="T135" s="453">
        <f t="shared" si="44"/>
        <v>46.278019809327063</v>
      </c>
      <c r="U135" s="453">
        <f t="shared" si="44"/>
        <v>51.227596982292148</v>
      </c>
      <c r="V135" s="453">
        <f t="shared" si="44"/>
        <v>56.214956962468285</v>
      </c>
      <c r="W135" s="453">
        <f t="shared" si="44"/>
        <v>61.23932057415611</v>
      </c>
      <c r="X135" s="453">
        <f t="shared" si="44"/>
        <v>66.300435443908256</v>
      </c>
      <c r="Y135" s="453">
        <f>SUM(Y101:Y132)</f>
        <v>62.597373753658673</v>
      </c>
    </row>
  </sheetData>
  <mergeCells count="1">
    <mergeCell ref="B1:S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sheetPr codeName="Sheet21"/>
  <dimension ref="A1:EA9"/>
  <sheetViews>
    <sheetView workbookViewId="0">
      <selection sqref="A1:EA9"/>
    </sheetView>
  </sheetViews>
  <sheetFormatPr defaultRowHeight="12.75"/>
  <sheetData>
    <row r="1" spans="1:131" ht="13.5" thickBot="1">
      <c r="A1" s="76" t="s">
        <v>288</v>
      </c>
      <c r="B1" s="78"/>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c r="AV1" s="45"/>
      <c r="AW1" s="45"/>
      <c r="AX1" s="45"/>
      <c r="AY1" s="45"/>
      <c r="AZ1" s="45"/>
      <c r="BA1" s="45"/>
      <c r="BB1" s="45"/>
      <c r="BC1" s="45"/>
      <c r="BD1" s="45"/>
      <c r="BE1" s="45"/>
      <c r="BF1" s="45"/>
      <c r="BG1" s="45"/>
      <c r="BH1" s="45"/>
      <c r="BI1" s="45"/>
      <c r="BJ1" s="45"/>
      <c r="BK1" s="45"/>
      <c r="BL1" s="45"/>
      <c r="BM1" s="45"/>
      <c r="BN1" s="45"/>
      <c r="BO1" s="45"/>
      <c r="BP1" s="45"/>
      <c r="BQ1" s="45"/>
      <c r="BR1" s="45"/>
      <c r="BS1" s="45"/>
      <c r="BT1" s="45"/>
      <c r="BU1" s="45"/>
      <c r="BV1" s="45"/>
      <c r="BW1" s="45"/>
      <c r="BX1" s="45"/>
      <c r="BY1" s="45"/>
      <c r="BZ1" s="45"/>
      <c r="CA1" s="45"/>
      <c r="CB1" s="45"/>
      <c r="CC1" s="45"/>
      <c r="CD1" s="45"/>
      <c r="CE1" s="45"/>
      <c r="CF1" s="45"/>
      <c r="CG1" s="45"/>
      <c r="CH1" s="45"/>
      <c r="CI1" s="45"/>
      <c r="CJ1" s="45"/>
      <c r="CK1" s="45"/>
      <c r="CL1" s="45"/>
      <c r="CM1" s="45"/>
      <c r="CN1" s="45"/>
      <c r="CO1" s="45"/>
      <c r="CP1" s="45"/>
      <c r="CQ1" s="45"/>
      <c r="CR1" s="45"/>
      <c r="CS1" s="45"/>
      <c r="CT1" s="45"/>
      <c r="CU1" s="45"/>
      <c r="CV1" s="45"/>
      <c r="CW1" s="45"/>
      <c r="CX1" s="25"/>
      <c r="CY1" s="25"/>
      <c r="CZ1" s="25"/>
      <c r="DA1" s="25"/>
      <c r="DB1" s="25"/>
      <c r="DC1" s="25"/>
      <c r="DD1" s="25"/>
      <c r="DE1" s="25"/>
      <c r="DF1" s="25"/>
      <c r="DG1" s="25"/>
      <c r="DH1" s="25"/>
      <c r="DI1" s="25"/>
      <c r="DJ1" s="25"/>
      <c r="DK1" s="25"/>
      <c r="DL1" s="25"/>
      <c r="DM1" s="25"/>
      <c r="DN1" s="25"/>
      <c r="DO1" s="25"/>
      <c r="DP1" s="25"/>
      <c r="DQ1" s="25"/>
      <c r="DR1" s="25"/>
      <c r="DS1" s="25"/>
      <c r="DT1" s="25"/>
      <c r="DU1" s="25"/>
      <c r="DV1" s="25"/>
      <c r="DW1" s="25"/>
      <c r="DX1" s="25"/>
      <c r="DY1" s="25"/>
      <c r="DZ1" s="25"/>
      <c r="EA1" s="25"/>
    </row>
    <row r="2" spans="1:131" ht="13.5" thickBot="1">
      <c r="A2" s="110"/>
      <c r="B2" s="111"/>
      <c r="C2" s="112"/>
      <c r="D2" s="112"/>
      <c r="E2" s="112"/>
      <c r="F2" s="112"/>
      <c r="G2" s="112"/>
      <c r="H2" s="112"/>
      <c r="I2" s="112"/>
      <c r="J2" s="112"/>
      <c r="K2" s="112"/>
      <c r="L2" s="112"/>
      <c r="M2" s="112"/>
      <c r="N2" s="112"/>
      <c r="O2" s="113" t="s">
        <v>1117</v>
      </c>
      <c r="P2" s="114"/>
      <c r="Q2" s="114"/>
      <c r="R2" s="114"/>
      <c r="S2" s="114"/>
      <c r="T2" s="114"/>
      <c r="U2" s="114"/>
      <c r="V2" s="114"/>
      <c r="W2" s="114"/>
      <c r="X2" s="114"/>
      <c r="Y2" s="114"/>
      <c r="Z2" s="102"/>
      <c r="AA2" s="112"/>
      <c r="AB2" s="113" t="s">
        <v>1118</v>
      </c>
      <c r="AC2" s="114"/>
      <c r="AD2" s="114"/>
      <c r="AE2" s="114"/>
      <c r="AF2" s="114"/>
      <c r="AG2" s="114"/>
      <c r="AH2" s="114"/>
      <c r="AI2" s="114"/>
      <c r="AJ2" s="114"/>
      <c r="AK2" s="114"/>
      <c r="AL2" s="114"/>
      <c r="AM2" s="102"/>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c r="BR2" s="45"/>
      <c r="BS2" s="45"/>
      <c r="BT2" s="45"/>
      <c r="BU2" s="45"/>
      <c r="BV2" s="45"/>
      <c r="BW2" s="45"/>
      <c r="BX2" s="45"/>
      <c r="BY2" s="45"/>
      <c r="BZ2" s="45"/>
      <c r="CA2" s="45"/>
      <c r="CB2" s="45"/>
      <c r="CC2" s="45"/>
      <c r="CD2" s="45"/>
      <c r="CE2" s="45"/>
      <c r="CF2" s="45"/>
      <c r="CG2" s="45"/>
      <c r="CH2" s="45"/>
      <c r="CI2" s="45"/>
      <c r="CJ2" s="45"/>
      <c r="CK2" s="45"/>
      <c r="CL2" s="45"/>
      <c r="CM2" s="45"/>
      <c r="CN2" s="45"/>
      <c r="CO2" s="45"/>
      <c r="CP2" s="45"/>
      <c r="CQ2" s="45"/>
      <c r="CR2" s="45"/>
      <c r="CS2" s="45"/>
      <c r="CT2" s="45"/>
      <c r="CU2" s="45"/>
      <c r="CV2" s="45"/>
      <c r="CW2" s="45"/>
      <c r="CX2" s="25"/>
      <c r="CY2" s="25"/>
      <c r="CZ2" s="25"/>
      <c r="DA2" s="25"/>
      <c r="DB2" s="25"/>
      <c r="DC2" s="25"/>
      <c r="DD2" s="25"/>
      <c r="DE2" s="25"/>
      <c r="DF2" s="25"/>
      <c r="DG2" s="25"/>
      <c r="DH2" s="25"/>
      <c r="DI2" s="25"/>
      <c r="DJ2" s="25"/>
      <c r="DK2" s="25"/>
      <c r="DL2" s="25"/>
      <c r="DM2" s="25"/>
      <c r="DN2" s="25"/>
      <c r="DO2" s="25"/>
      <c r="DP2" s="25"/>
      <c r="DQ2" s="25"/>
      <c r="DR2" s="25"/>
      <c r="DS2" s="25"/>
      <c r="DT2" s="25"/>
      <c r="DU2" s="25"/>
      <c r="DV2" s="25"/>
      <c r="DW2" s="25"/>
      <c r="DX2" s="25"/>
      <c r="DY2" s="25"/>
      <c r="DZ2" s="25"/>
      <c r="EA2" s="25"/>
    </row>
    <row r="3" spans="1:131" ht="204">
      <c r="A3" s="94" t="s">
        <v>181</v>
      </c>
      <c r="B3" s="95" t="s">
        <v>182</v>
      </c>
      <c r="C3" s="96" t="s">
        <v>83</v>
      </c>
      <c r="D3" s="96" t="s">
        <v>265</v>
      </c>
      <c r="E3" s="96" t="s">
        <v>266</v>
      </c>
      <c r="F3" s="96" t="s">
        <v>267</v>
      </c>
      <c r="G3" s="96" t="s">
        <v>268</v>
      </c>
      <c r="H3" s="96" t="s">
        <v>269</v>
      </c>
      <c r="I3" s="96" t="s">
        <v>270</v>
      </c>
      <c r="J3" s="96" t="s">
        <v>271</v>
      </c>
      <c r="K3" s="96" t="s">
        <v>82</v>
      </c>
      <c r="L3" s="96" t="s">
        <v>244</v>
      </c>
      <c r="M3" s="96" t="s">
        <v>272</v>
      </c>
      <c r="N3" s="96" t="s">
        <v>1119</v>
      </c>
      <c r="O3" s="96" t="s">
        <v>273</v>
      </c>
      <c r="P3" s="96" t="s">
        <v>274</v>
      </c>
      <c r="Q3" s="96" t="s">
        <v>275</v>
      </c>
      <c r="R3" s="96" t="s">
        <v>276</v>
      </c>
      <c r="S3" s="96" t="s">
        <v>277</v>
      </c>
      <c r="T3" s="96" t="s">
        <v>278</v>
      </c>
      <c r="U3" s="96" t="s">
        <v>279</v>
      </c>
      <c r="V3" s="96" t="s">
        <v>280</v>
      </c>
      <c r="W3" s="96" t="s">
        <v>281</v>
      </c>
      <c r="X3" s="96" t="s">
        <v>282</v>
      </c>
      <c r="Y3" s="96" t="s">
        <v>283</v>
      </c>
      <c r="Z3" s="96" t="s">
        <v>284</v>
      </c>
      <c r="AA3" s="96"/>
      <c r="AB3" s="96" t="s">
        <v>273</v>
      </c>
      <c r="AC3" s="96" t="s">
        <v>274</v>
      </c>
      <c r="AD3" s="96" t="s">
        <v>275</v>
      </c>
      <c r="AE3" s="96" t="s">
        <v>276</v>
      </c>
      <c r="AF3" s="96" t="s">
        <v>277</v>
      </c>
      <c r="AG3" s="96" t="s">
        <v>278</v>
      </c>
      <c r="AH3" s="96" t="s">
        <v>279</v>
      </c>
      <c r="AI3" s="96" t="s">
        <v>280</v>
      </c>
      <c r="AJ3" s="96" t="s">
        <v>281</v>
      </c>
      <c r="AK3" s="96" t="s">
        <v>282</v>
      </c>
      <c r="AL3" s="96" t="s">
        <v>283</v>
      </c>
      <c r="AM3" s="96" t="s">
        <v>284</v>
      </c>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5"/>
      <c r="CF3" s="45"/>
      <c r="CG3" s="45"/>
      <c r="CH3" s="45"/>
      <c r="CI3" s="45"/>
      <c r="CJ3" s="45"/>
      <c r="CK3" s="45"/>
      <c r="CL3" s="45"/>
      <c r="CM3" s="45"/>
      <c r="CN3" s="45"/>
      <c r="CO3" s="45"/>
      <c r="CP3" s="45"/>
      <c r="CQ3" s="45"/>
      <c r="CR3" s="45"/>
      <c r="CS3" s="45"/>
      <c r="CT3" s="45"/>
      <c r="CU3" s="45"/>
      <c r="CV3" s="45"/>
      <c r="CW3" s="45"/>
      <c r="CX3" s="25"/>
      <c r="CY3" s="25"/>
      <c r="CZ3" s="25"/>
      <c r="DA3" s="25"/>
      <c r="DB3" s="25"/>
      <c r="DC3" s="25"/>
      <c r="DD3" s="25"/>
      <c r="DE3" s="25"/>
      <c r="DF3" s="25"/>
      <c r="DG3" s="25"/>
      <c r="DH3" s="25"/>
      <c r="DI3" s="25"/>
      <c r="DJ3" s="25"/>
      <c r="DK3" s="25"/>
      <c r="DL3" s="25"/>
      <c r="DM3" s="25"/>
      <c r="DN3" s="25"/>
      <c r="DO3" s="25"/>
      <c r="DP3" s="25"/>
      <c r="DQ3" s="25"/>
      <c r="DR3" s="25"/>
      <c r="DS3" s="25"/>
      <c r="DT3" s="25"/>
      <c r="DU3" s="25"/>
      <c r="DV3" s="25"/>
      <c r="DW3" s="25"/>
      <c r="DX3" s="25"/>
      <c r="DY3" s="25"/>
      <c r="DZ3" s="25"/>
      <c r="EA3" s="25"/>
    </row>
    <row r="4" spans="1:131">
      <c r="A4" s="25" t="s">
        <v>398</v>
      </c>
      <c r="B4" s="25"/>
      <c r="C4" s="66">
        <v>44756.623064801512</v>
      </c>
      <c r="D4" s="66">
        <v>815.68908279261188</v>
      </c>
      <c r="E4" s="66">
        <v>163.13781655852239</v>
      </c>
      <c r="F4" s="66">
        <v>978.82689935113422</v>
      </c>
      <c r="G4" s="66">
        <v>1824.8742099210231</v>
      </c>
      <c r="H4" s="66">
        <v>51919.837664922146</v>
      </c>
      <c r="I4" s="66">
        <v>191.58111249593586</v>
      </c>
      <c r="J4" s="66">
        <v>-8.6187693965605323</v>
      </c>
      <c r="K4" s="66">
        <v>-43.951171695279832</v>
      </c>
      <c r="L4" s="98">
        <v>28.451187146301518</v>
      </c>
      <c r="M4" s="66">
        <v>425.19248975913337</v>
      </c>
      <c r="N4" s="66">
        <v>7.7035320991831515</v>
      </c>
      <c r="O4" s="66">
        <v>2819.3111224135159</v>
      </c>
      <c r="P4" s="66">
        <v>2598.6518625969516</v>
      </c>
      <c r="Q4" s="66">
        <v>2991.3209193328262</v>
      </c>
      <c r="R4" s="66">
        <v>2731.4195368155042</v>
      </c>
      <c r="S4" s="66">
        <v>2822.4403846146924</v>
      </c>
      <c r="T4" s="66">
        <v>2809.4163013007492</v>
      </c>
      <c r="U4" s="66">
        <v>2691.6559210021919</v>
      </c>
      <c r="V4" s="66">
        <v>2921.6455983288397</v>
      </c>
      <c r="W4" s="66">
        <v>2607.0079122259826</v>
      </c>
      <c r="X4" s="66">
        <v>2941.1931527258953</v>
      </c>
      <c r="Y4" s="66">
        <v>2647.0495313856172</v>
      </c>
      <c r="Z4" s="66">
        <v>2751.8216398232362</v>
      </c>
      <c r="AA4" s="66"/>
      <c r="AB4" s="66">
        <v>1030.5947934451351</v>
      </c>
      <c r="AC4" s="66">
        <v>895.62157948344895</v>
      </c>
      <c r="AD4" s="66">
        <v>832.97411095893801</v>
      </c>
      <c r="AE4" s="66">
        <v>949.12083958401456</v>
      </c>
      <c r="AF4" s="66">
        <v>970.7297101320612</v>
      </c>
      <c r="AG4" s="66">
        <v>863.93513432443751</v>
      </c>
      <c r="AH4" s="66">
        <v>1059.2032659492252</v>
      </c>
      <c r="AI4" s="66">
        <v>878.09947485555597</v>
      </c>
      <c r="AJ4" s="66">
        <v>1056.8804383335271</v>
      </c>
      <c r="AK4" s="66">
        <v>870.23153035725454</v>
      </c>
      <c r="AL4" s="66">
        <v>1002.4300899078844</v>
      </c>
      <c r="AM4" s="45">
        <v>1013.868214904015</v>
      </c>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5"/>
      <c r="CW4" s="45"/>
      <c r="CX4" s="25"/>
      <c r="CY4" s="25"/>
      <c r="CZ4" s="25"/>
      <c r="DA4" s="25"/>
      <c r="DB4" s="25"/>
      <c r="DC4" s="25"/>
      <c r="DD4" s="25"/>
      <c r="DE4" s="25"/>
      <c r="DF4" s="25"/>
      <c r="DG4" s="25"/>
      <c r="DH4" s="25"/>
      <c r="DI4" s="25"/>
      <c r="DJ4" s="25"/>
      <c r="DK4" s="25"/>
      <c r="DL4" s="25"/>
      <c r="DM4" s="25"/>
      <c r="DN4" s="25"/>
      <c r="DO4" s="25"/>
      <c r="DP4" s="25"/>
      <c r="DQ4" s="25"/>
      <c r="DR4" s="25"/>
      <c r="DS4" s="25"/>
      <c r="DT4" s="25"/>
      <c r="DU4" s="25"/>
      <c r="DV4" s="25"/>
      <c r="DW4" s="25"/>
      <c r="DX4" s="25"/>
      <c r="DY4" s="25"/>
      <c r="DZ4" s="25"/>
      <c r="EA4" s="25"/>
    </row>
    <row r="5" spans="1:131">
      <c r="A5" s="25" t="s">
        <v>399</v>
      </c>
      <c r="B5" s="25"/>
      <c r="C5" s="66">
        <v>16424.192594809676</v>
      </c>
      <c r="D5" s="66">
        <v>1040.2452032377576</v>
      </c>
      <c r="E5" s="66">
        <v>208.04904064755152</v>
      </c>
      <c r="F5" s="66">
        <v>1248.294243885309</v>
      </c>
      <c r="G5" s="66">
        <v>2142.1062855086452</v>
      </c>
      <c r="H5" s="66">
        <v>15379.428220790252</v>
      </c>
      <c r="I5" s="66">
        <v>665.78965835379768</v>
      </c>
      <c r="J5" s="66">
        <v>-5.7633667396889638</v>
      </c>
      <c r="K5" s="66">
        <v>-20.897272104274599</v>
      </c>
      <c r="L5" s="98">
        <v>7.1795822293376039</v>
      </c>
      <c r="M5" s="66">
        <v>156.03150692489848</v>
      </c>
      <c r="N5" s="66">
        <v>2.8269401530605327</v>
      </c>
      <c r="O5" s="66">
        <v>1034.593445358141</v>
      </c>
      <c r="P5" s="66">
        <v>953.61883349325274</v>
      </c>
      <c r="Q5" s="66">
        <v>1097.7153218390017</v>
      </c>
      <c r="R5" s="66">
        <v>1002.3401556665822</v>
      </c>
      <c r="S5" s="66">
        <v>1035.7417805441394</v>
      </c>
      <c r="T5" s="66">
        <v>1030.9623749931588</v>
      </c>
      <c r="U5" s="66">
        <v>987.7482307253664</v>
      </c>
      <c r="V5" s="66">
        <v>1072.1467955983651</v>
      </c>
      <c r="W5" s="66">
        <v>956.6852258848387</v>
      </c>
      <c r="X5" s="66">
        <v>1079.3200981442233</v>
      </c>
      <c r="Y5" s="66">
        <v>971.37916881108845</v>
      </c>
      <c r="Z5" s="66">
        <v>1009.8270491404925</v>
      </c>
      <c r="AA5" s="66"/>
      <c r="AB5" s="66">
        <v>378.19402393794218</v>
      </c>
      <c r="AC5" s="66">
        <v>328.66334200875542</v>
      </c>
      <c r="AD5" s="66">
        <v>305.67380396576925</v>
      </c>
      <c r="AE5" s="66">
        <v>348.29579172014877</v>
      </c>
      <c r="AF5" s="66">
        <v>356.22552875869997</v>
      </c>
      <c r="AG5" s="66">
        <v>317.03547014757913</v>
      </c>
      <c r="AH5" s="66">
        <v>388.69238217131874</v>
      </c>
      <c r="AI5" s="66">
        <v>322.23331218594581</v>
      </c>
      <c r="AJ5" s="66">
        <v>387.83998166582188</v>
      </c>
      <c r="AK5" s="66">
        <v>319.34603814879881</v>
      </c>
      <c r="AL5" s="66">
        <v>367.85851416094744</v>
      </c>
      <c r="AM5" s="45">
        <v>372.05592573929545</v>
      </c>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c r="BU5" s="45"/>
      <c r="BV5" s="45"/>
      <c r="BW5" s="45"/>
      <c r="BX5" s="45"/>
      <c r="BY5" s="45"/>
      <c r="BZ5" s="45"/>
      <c r="CA5" s="45"/>
      <c r="CB5" s="45"/>
      <c r="CC5" s="45"/>
      <c r="CD5" s="45"/>
      <c r="CE5" s="45"/>
      <c r="CF5" s="45"/>
      <c r="CG5" s="45"/>
      <c r="CH5" s="45"/>
      <c r="CI5" s="45"/>
      <c r="CJ5" s="45"/>
      <c r="CK5" s="45"/>
      <c r="CL5" s="45"/>
      <c r="CM5" s="45"/>
      <c r="CN5" s="45"/>
      <c r="CO5" s="45"/>
      <c r="CP5" s="45"/>
      <c r="CQ5" s="45"/>
      <c r="CR5" s="45"/>
      <c r="CS5" s="45"/>
      <c r="CT5" s="45"/>
      <c r="CU5" s="45"/>
      <c r="CV5" s="45"/>
      <c r="CW5" s="45"/>
      <c r="CX5" s="25"/>
      <c r="CY5" s="25"/>
      <c r="CZ5" s="25"/>
      <c r="DA5" s="25"/>
      <c r="DB5" s="25"/>
      <c r="DC5" s="25"/>
      <c r="DD5" s="25"/>
      <c r="DE5" s="25"/>
      <c r="DF5" s="25"/>
      <c r="DG5" s="25"/>
      <c r="DH5" s="25"/>
      <c r="DI5" s="25"/>
      <c r="DJ5" s="25"/>
      <c r="DK5" s="25"/>
      <c r="DL5" s="25"/>
      <c r="DM5" s="25"/>
      <c r="DN5" s="25"/>
      <c r="DO5" s="25"/>
      <c r="DP5" s="25"/>
      <c r="DQ5" s="25"/>
      <c r="DR5" s="25"/>
      <c r="DS5" s="25"/>
      <c r="DT5" s="25"/>
      <c r="DU5" s="25"/>
      <c r="DV5" s="25"/>
      <c r="DW5" s="25"/>
      <c r="DX5" s="25"/>
      <c r="DY5" s="25"/>
      <c r="DZ5" s="25"/>
      <c r="EA5" s="25"/>
    </row>
    <row r="6" spans="1:131">
      <c r="A6" s="25" t="s">
        <v>396</v>
      </c>
      <c r="B6" s="25"/>
      <c r="C6" s="66">
        <v>2632.1775809500482</v>
      </c>
      <c r="D6" s="66">
        <v>761.70168289454261</v>
      </c>
      <c r="E6" s="66">
        <v>152.34033657890853</v>
      </c>
      <c r="F6" s="66">
        <v>914.04201947345109</v>
      </c>
      <c r="G6" s="66">
        <v>1873.9484087849617</v>
      </c>
      <c r="H6" s="66">
        <v>1723.4804626715877</v>
      </c>
      <c r="I6" s="66">
        <v>3041.9710845259206</v>
      </c>
      <c r="J6" s="66">
        <v>8.5445887300432037</v>
      </c>
      <c r="K6" s="66">
        <v>42.613319516920477</v>
      </c>
      <c r="L6" s="107">
        <v>0.9197053956192236</v>
      </c>
      <c r="M6" s="66">
        <v>25.005955822714757</v>
      </c>
      <c r="N6" s="66">
        <v>0.45305170714601323</v>
      </c>
      <c r="O6" s="66">
        <v>165.80624323232519</v>
      </c>
      <c r="P6" s="66">
        <v>152.82907210220546</v>
      </c>
      <c r="Q6" s="66">
        <v>175.9222953415123</v>
      </c>
      <c r="R6" s="66">
        <v>160.63725939656348</v>
      </c>
      <c r="S6" s="66">
        <v>165.99027797951612</v>
      </c>
      <c r="T6" s="66">
        <v>165.22431983156218</v>
      </c>
      <c r="U6" s="66">
        <v>158.29872509897422</v>
      </c>
      <c r="V6" s="66">
        <v>171.82462654226765</v>
      </c>
      <c r="W6" s="66">
        <v>153.32049895688561</v>
      </c>
      <c r="X6" s="66">
        <v>172.97423593911233</v>
      </c>
      <c r="Y6" s="66">
        <v>155.67538288332329</v>
      </c>
      <c r="Z6" s="66">
        <v>161.83712557197694</v>
      </c>
      <c r="AA6" s="66"/>
      <c r="AB6" s="66">
        <v>60.610214189361365</v>
      </c>
      <c r="AC6" s="66">
        <v>52.672317103061161</v>
      </c>
      <c r="AD6" s="66">
        <v>48.987962679923839</v>
      </c>
      <c r="AE6" s="66">
        <v>55.818657094580104</v>
      </c>
      <c r="AF6" s="66">
        <v>57.08949436315303</v>
      </c>
      <c r="AG6" s="66">
        <v>50.80880853480312</v>
      </c>
      <c r="AH6" s="66">
        <v>62.292704395145293</v>
      </c>
      <c r="AI6" s="66">
        <v>51.641826243511197</v>
      </c>
      <c r="AJ6" s="66">
        <v>62.156096797078746</v>
      </c>
      <c r="AK6" s="66">
        <v>51.179105294108837</v>
      </c>
      <c r="AL6" s="66">
        <v>58.953822438859561</v>
      </c>
      <c r="AM6" s="45">
        <v>59.626508940236754</v>
      </c>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45"/>
      <c r="CE6" s="45"/>
      <c r="CF6" s="45"/>
      <c r="CG6" s="45"/>
      <c r="CH6" s="45"/>
      <c r="CI6" s="45"/>
      <c r="CJ6" s="45"/>
      <c r="CK6" s="45"/>
      <c r="CL6" s="45"/>
      <c r="CM6" s="45"/>
      <c r="CN6" s="45"/>
      <c r="CO6" s="45"/>
      <c r="CP6" s="45"/>
      <c r="CQ6" s="45"/>
      <c r="CR6" s="45"/>
      <c r="CS6" s="45"/>
      <c r="CT6" s="45"/>
      <c r="CU6" s="45"/>
      <c r="CV6" s="45"/>
      <c r="CW6" s="45"/>
      <c r="CX6" s="25"/>
      <c r="CY6" s="25"/>
      <c r="CZ6" s="25"/>
      <c r="DA6" s="25"/>
      <c r="DB6" s="25"/>
      <c r="DC6" s="25"/>
      <c r="DD6" s="25"/>
      <c r="DE6" s="25"/>
      <c r="DF6" s="25"/>
      <c r="DG6" s="25"/>
      <c r="DH6" s="25"/>
      <c r="DI6" s="25"/>
      <c r="DJ6" s="25"/>
      <c r="DK6" s="25"/>
      <c r="DL6" s="25"/>
      <c r="DM6" s="25"/>
      <c r="DN6" s="25"/>
      <c r="DO6" s="25"/>
      <c r="DP6" s="25"/>
      <c r="DQ6" s="25"/>
      <c r="DR6" s="25"/>
      <c r="DS6" s="25"/>
      <c r="DT6" s="25"/>
      <c r="DU6" s="25"/>
      <c r="DV6" s="25"/>
      <c r="DW6" s="25"/>
      <c r="DX6" s="25"/>
      <c r="DY6" s="25"/>
      <c r="DZ6" s="25"/>
      <c r="EA6" s="25"/>
    </row>
    <row r="7" spans="1:131">
      <c r="A7" s="25" t="s">
        <v>400</v>
      </c>
      <c r="B7" s="25"/>
      <c r="C7" s="66">
        <v>1793.3771286178865</v>
      </c>
      <c r="D7" s="66">
        <v>923.75718443129779</v>
      </c>
      <c r="E7" s="66">
        <v>184.75143688625957</v>
      </c>
      <c r="F7" s="66">
        <v>1108.5086213175573</v>
      </c>
      <c r="G7" s="66">
        <v>1902.2304211498317</v>
      </c>
      <c r="H7" s="66">
        <v>1174.2560478231101</v>
      </c>
      <c r="I7" s="66">
        <v>5414.6645274914836</v>
      </c>
      <c r="J7" s="66">
        <v>22.831541633284047</v>
      </c>
      <c r="K7" s="66">
        <v>68.275612519602518</v>
      </c>
      <c r="L7" s="107">
        <v>0.61730484107877603</v>
      </c>
      <c r="M7" s="66">
        <v>17.037265865435891</v>
      </c>
      <c r="N7" s="66">
        <v>0.3086769584078331</v>
      </c>
      <c r="O7" s="66">
        <v>112.96848911219003</v>
      </c>
      <c r="P7" s="66">
        <v>104.12677491047685</v>
      </c>
      <c r="Q7" s="66">
        <v>119.86084189865166</v>
      </c>
      <c r="R7" s="66">
        <v>109.44671404034827</v>
      </c>
      <c r="S7" s="66">
        <v>113.09387719727663</v>
      </c>
      <c r="T7" s="66">
        <v>112.57200821930162</v>
      </c>
      <c r="U7" s="66">
        <v>107.85340439660024</v>
      </c>
      <c r="V7" s="66">
        <v>117.06898410060595</v>
      </c>
      <c r="W7" s="66">
        <v>104.46159794367583</v>
      </c>
      <c r="X7" s="66">
        <v>117.85224553937304</v>
      </c>
      <c r="Y7" s="66">
        <v>106.06604705257634</v>
      </c>
      <c r="Z7" s="66">
        <v>110.26421684561571</v>
      </c>
      <c r="AA7" s="66"/>
      <c r="AB7" s="66">
        <v>41.295455395756115</v>
      </c>
      <c r="AC7" s="66">
        <v>35.887141311280409</v>
      </c>
      <c r="AD7" s="66">
        <v>33.376886302653006</v>
      </c>
      <c r="AE7" s="66">
        <v>38.030831851190435</v>
      </c>
      <c r="AF7" s="66">
        <v>38.896689272113875</v>
      </c>
      <c r="AG7" s="66">
        <v>34.617480149554687</v>
      </c>
      <c r="AH7" s="66">
        <v>42.441783620726198</v>
      </c>
      <c r="AI7" s="66">
        <v>35.185038705384173</v>
      </c>
      <c r="AJ7" s="66">
        <v>42.348708995464946</v>
      </c>
      <c r="AK7" s="66">
        <v>34.869773818396176</v>
      </c>
      <c r="AL7" s="66">
        <v>40.166908787472529</v>
      </c>
      <c r="AM7" s="45">
        <v>40.625229151201339</v>
      </c>
      <c r="AN7" s="45"/>
      <c r="AO7" s="45"/>
      <c r="AP7" s="45"/>
      <c r="AQ7" s="45"/>
      <c r="AR7" s="45"/>
      <c r="AS7" s="45"/>
      <c r="AT7" s="45"/>
      <c r="AU7" s="45"/>
      <c r="AV7" s="45"/>
      <c r="AW7" s="45"/>
      <c r="AX7" s="45"/>
      <c r="AY7" s="45"/>
      <c r="AZ7" s="45"/>
      <c r="BA7" s="45"/>
      <c r="BB7" s="45"/>
      <c r="BC7" s="45"/>
      <c r="BD7" s="45"/>
      <c r="BE7" s="45"/>
      <c r="BF7" s="45"/>
      <c r="BG7" s="45"/>
      <c r="BH7" s="45"/>
      <c r="BI7" s="45"/>
      <c r="BJ7" s="45"/>
      <c r="BK7" s="45"/>
      <c r="BL7" s="45"/>
      <c r="BM7" s="45"/>
      <c r="BN7" s="45"/>
      <c r="BO7" s="45"/>
      <c r="BP7" s="45"/>
      <c r="BQ7" s="45"/>
      <c r="BR7" s="45"/>
      <c r="BS7" s="45"/>
      <c r="BT7" s="45"/>
      <c r="BU7" s="45"/>
      <c r="BV7" s="45"/>
      <c r="BW7" s="45"/>
      <c r="BX7" s="45"/>
      <c r="BY7" s="45"/>
      <c r="BZ7" s="45"/>
      <c r="CA7" s="45"/>
      <c r="CB7" s="45"/>
      <c r="CC7" s="45"/>
      <c r="CD7" s="45"/>
      <c r="CE7" s="45"/>
      <c r="CF7" s="45"/>
      <c r="CG7" s="45"/>
      <c r="CH7" s="45"/>
      <c r="CI7" s="45"/>
      <c r="CJ7" s="45"/>
      <c r="CK7" s="45"/>
      <c r="CL7" s="45"/>
      <c r="CM7" s="45"/>
      <c r="CN7" s="45"/>
      <c r="CO7" s="45"/>
      <c r="CP7" s="45"/>
      <c r="CQ7" s="45"/>
      <c r="CR7" s="45"/>
      <c r="CS7" s="45"/>
      <c r="CT7" s="45"/>
      <c r="CU7" s="45"/>
      <c r="CV7" s="45"/>
      <c r="CW7" s="45"/>
      <c r="CX7" s="25"/>
      <c r="CY7" s="25"/>
      <c r="CZ7" s="25"/>
      <c r="DA7" s="25"/>
      <c r="DB7" s="25"/>
      <c r="DC7" s="25"/>
      <c r="DD7" s="25"/>
      <c r="DE7" s="25"/>
      <c r="DF7" s="25"/>
      <c r="DG7" s="25"/>
      <c r="DH7" s="25"/>
      <c r="DI7" s="25"/>
      <c r="DJ7" s="25"/>
      <c r="DK7" s="25"/>
      <c r="DL7" s="25"/>
      <c r="DM7" s="25"/>
      <c r="DN7" s="25"/>
      <c r="DO7" s="25"/>
      <c r="DP7" s="25"/>
      <c r="DQ7" s="25"/>
      <c r="DR7" s="25"/>
      <c r="DS7" s="25"/>
      <c r="DT7" s="25"/>
      <c r="DU7" s="25"/>
      <c r="DV7" s="25"/>
      <c r="DW7" s="25"/>
      <c r="DX7" s="25"/>
      <c r="DY7" s="25"/>
      <c r="DZ7" s="25"/>
      <c r="EA7" s="25"/>
    </row>
    <row r="8" spans="1:131">
      <c r="A8" s="25" t="s">
        <v>397</v>
      </c>
      <c r="B8" s="25"/>
      <c r="C8" s="66">
        <v>690.70949549977809</v>
      </c>
      <c r="D8" s="66">
        <v>667.18747511257516</v>
      </c>
      <c r="E8" s="66">
        <v>133.43749502251504</v>
      </c>
      <c r="F8" s="66">
        <v>800.62497013509017</v>
      </c>
      <c r="G8" s="66">
        <v>846.94001781105101</v>
      </c>
      <c r="H8" s="66">
        <v>452.25836185640208</v>
      </c>
      <c r="I8" s="66">
        <v>10154.015232277408</v>
      </c>
      <c r="J8" s="66">
        <v>51.369101136372585</v>
      </c>
      <c r="K8" s="66">
        <v>80.452736427153098</v>
      </c>
      <c r="L8" s="107">
        <v>0.53399101748112121</v>
      </c>
      <c r="M8" s="66">
        <v>6.5618107440011819</v>
      </c>
      <c r="N8" s="66">
        <v>0.11888526000027295</v>
      </c>
      <c r="O8" s="66">
        <v>43.509202206781573</v>
      </c>
      <c r="P8" s="66">
        <v>40.103863832512751</v>
      </c>
      <c r="Q8" s="66">
        <v>46.163754581725875</v>
      </c>
      <c r="R8" s="66">
        <v>42.152809597375324</v>
      </c>
      <c r="S8" s="66">
        <v>43.557494749164221</v>
      </c>
      <c r="T8" s="66">
        <v>43.3564997366027</v>
      </c>
      <c r="U8" s="66">
        <v>41.539155010926862</v>
      </c>
      <c r="V8" s="66">
        <v>45.088485660078916</v>
      </c>
      <c r="W8" s="66">
        <v>40.232819111718747</v>
      </c>
      <c r="X8" s="66">
        <v>45.390154564283243</v>
      </c>
      <c r="Y8" s="66">
        <v>40.850764002884951</v>
      </c>
      <c r="Z8" s="66">
        <v>42.467666378576212</v>
      </c>
      <c r="AA8" s="66"/>
      <c r="AB8" s="66">
        <v>15.904721158576628</v>
      </c>
      <c r="AC8" s="66">
        <v>13.821738258225112</v>
      </c>
      <c r="AD8" s="66">
        <v>12.854927126914951</v>
      </c>
      <c r="AE8" s="66">
        <v>14.647369068221007</v>
      </c>
      <c r="AF8" s="66">
        <v>14.980849367951201</v>
      </c>
      <c r="AG8" s="66">
        <v>13.332735133072573</v>
      </c>
      <c r="AH8" s="66">
        <v>16.346223270603922</v>
      </c>
      <c r="AI8" s="66">
        <v>13.551327239277073</v>
      </c>
      <c r="AJ8" s="66">
        <v>16.310376082395621</v>
      </c>
      <c r="AK8" s="66">
        <v>13.429904674237397</v>
      </c>
      <c r="AL8" s="66">
        <v>15.47006753998371</v>
      </c>
      <c r="AM8" s="45">
        <v>15.6465871476874</v>
      </c>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c r="BR8" s="45"/>
      <c r="BS8" s="45"/>
      <c r="BT8" s="45"/>
      <c r="BU8" s="45"/>
      <c r="BV8" s="45"/>
      <c r="BW8" s="45"/>
      <c r="BX8" s="45"/>
      <c r="BY8" s="45"/>
      <c r="BZ8" s="45"/>
      <c r="CA8" s="45"/>
      <c r="CB8" s="45"/>
      <c r="CC8" s="45"/>
      <c r="CD8" s="45"/>
      <c r="CE8" s="45"/>
      <c r="CF8" s="45"/>
      <c r="CG8" s="45"/>
      <c r="CH8" s="45"/>
      <c r="CI8" s="45"/>
      <c r="CJ8" s="45"/>
      <c r="CK8" s="45"/>
      <c r="CL8" s="45"/>
      <c r="CM8" s="45"/>
      <c r="CN8" s="45"/>
      <c r="CO8" s="45"/>
      <c r="CP8" s="45"/>
      <c r="CQ8" s="45"/>
      <c r="CR8" s="45"/>
      <c r="CS8" s="45"/>
      <c r="CT8" s="45"/>
      <c r="CU8" s="45"/>
      <c r="CV8" s="45"/>
      <c r="CW8" s="4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row>
    <row r="9" spans="1:131">
      <c r="A9" s="25"/>
      <c r="B9" s="25"/>
      <c r="C9" s="45"/>
      <c r="D9" s="45"/>
      <c r="E9" s="45"/>
      <c r="F9" s="45"/>
      <c r="G9" s="45"/>
      <c r="H9" s="45"/>
      <c r="I9" s="45"/>
      <c r="J9" s="45"/>
      <c r="K9" s="45"/>
      <c r="L9" s="45"/>
      <c r="M9" s="45"/>
      <c r="N9" s="45"/>
      <c r="O9" s="45"/>
      <c r="P9" s="45"/>
      <c r="Q9" s="45"/>
      <c r="R9" s="45"/>
      <c r="S9" s="45"/>
      <c r="T9" s="45"/>
      <c r="U9" s="45"/>
      <c r="V9" s="45"/>
      <c r="W9" s="45"/>
      <c r="X9" s="45"/>
      <c r="Y9" s="45"/>
      <c r="Z9" s="45"/>
      <c r="AA9" s="45"/>
      <c r="AB9" s="45"/>
      <c r="AC9" s="45"/>
      <c r="AD9" s="45"/>
      <c r="AE9" s="45"/>
      <c r="AF9" s="45"/>
      <c r="AG9" s="45"/>
      <c r="AH9" s="45"/>
      <c r="AI9" s="45"/>
      <c r="AJ9" s="45"/>
      <c r="AK9" s="45"/>
      <c r="AL9" s="45"/>
      <c r="AM9" s="45"/>
      <c r="AN9" s="45"/>
      <c r="AO9" s="45"/>
      <c r="AP9" s="45"/>
      <c r="AQ9" s="45"/>
      <c r="AR9" s="45"/>
      <c r="AS9" s="45"/>
      <c r="AT9" s="45"/>
      <c r="AU9" s="45"/>
      <c r="AV9" s="45"/>
      <c r="AW9" s="45"/>
      <c r="AX9" s="45"/>
      <c r="AY9" s="45"/>
      <c r="AZ9" s="45"/>
      <c r="BA9" s="45"/>
      <c r="BB9" s="45"/>
      <c r="BC9" s="45"/>
      <c r="BD9" s="45"/>
      <c r="BE9" s="45"/>
      <c r="BF9" s="45"/>
      <c r="BG9" s="45"/>
      <c r="BH9" s="45"/>
      <c r="BI9" s="45"/>
      <c r="BJ9" s="45"/>
      <c r="BK9" s="45"/>
      <c r="BL9" s="45"/>
      <c r="BM9" s="45"/>
      <c r="BN9" s="45"/>
      <c r="BO9" s="45"/>
      <c r="BP9" s="45"/>
      <c r="BQ9" s="45"/>
      <c r="BR9" s="45"/>
      <c r="BS9" s="45"/>
      <c r="BT9" s="45"/>
      <c r="BU9" s="45"/>
      <c r="BV9" s="45"/>
      <c r="BW9" s="45"/>
      <c r="BX9" s="45"/>
      <c r="BY9" s="45"/>
      <c r="BZ9" s="45"/>
      <c r="CA9" s="45"/>
      <c r="CB9" s="45"/>
      <c r="CC9" s="45"/>
      <c r="CD9" s="45"/>
      <c r="CE9" s="45"/>
      <c r="CF9" s="45"/>
      <c r="CG9" s="45"/>
      <c r="CH9" s="45"/>
      <c r="CI9" s="45"/>
      <c r="CJ9" s="45"/>
      <c r="CK9" s="45"/>
      <c r="CL9" s="45"/>
      <c r="CM9" s="45"/>
      <c r="CN9" s="45"/>
      <c r="CO9" s="45"/>
      <c r="CP9" s="45"/>
      <c r="CQ9" s="45"/>
      <c r="CR9" s="45"/>
      <c r="CS9" s="45"/>
      <c r="CT9" s="45"/>
      <c r="CU9" s="45"/>
      <c r="CV9" s="45"/>
      <c r="CW9" s="45"/>
      <c r="CX9" s="25"/>
      <c r="CY9" s="25"/>
      <c r="CZ9" s="25"/>
      <c r="DA9" s="25"/>
      <c r="DB9" s="25"/>
      <c r="DC9" s="25"/>
      <c r="DD9" s="25"/>
      <c r="DE9" s="25"/>
      <c r="DF9" s="25"/>
      <c r="DG9" s="25"/>
      <c r="DH9" s="25"/>
      <c r="DI9" s="25"/>
      <c r="DJ9" s="25"/>
      <c r="DK9" s="25"/>
      <c r="DL9" s="25"/>
      <c r="DM9" s="25"/>
      <c r="DN9" s="25"/>
      <c r="DO9" s="25"/>
      <c r="DP9" s="25"/>
      <c r="DQ9" s="25"/>
      <c r="DR9" s="25"/>
      <c r="DS9" s="25"/>
      <c r="DT9" s="25"/>
      <c r="DU9" s="25"/>
      <c r="DV9" s="25"/>
      <c r="DW9" s="25"/>
      <c r="DX9" s="25"/>
      <c r="DY9" s="25"/>
      <c r="DZ9" s="25"/>
      <c r="EA9" s="2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Sheet4"/>
  <dimension ref="A1:EA140"/>
  <sheetViews>
    <sheetView workbookViewId="0">
      <selection activeCell="A4" sqref="A4"/>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6" t="s">
        <v>14</v>
      </c>
      <c r="B1" s="17"/>
      <c r="C1" s="17"/>
      <c r="D1" s="17"/>
      <c r="E1" s="17"/>
      <c r="F1" s="17"/>
      <c r="G1" s="17"/>
      <c r="H1" s="18"/>
      <c r="I1" s="19"/>
      <c r="J1" s="19"/>
      <c r="K1" s="19"/>
      <c r="L1" s="19"/>
      <c r="M1" s="19"/>
      <c r="N1" s="20"/>
      <c r="O1" s="21"/>
      <c r="P1" s="20"/>
      <c r="Q1" s="20"/>
      <c r="R1" s="20"/>
      <c r="S1" s="18"/>
      <c r="T1" s="18"/>
      <c r="U1" s="18"/>
      <c r="V1" s="20"/>
      <c r="W1" s="18"/>
      <c r="X1" s="18"/>
      <c r="Y1" s="18"/>
      <c r="Z1" s="18"/>
      <c r="AA1" s="18"/>
      <c r="AB1" s="18"/>
      <c r="AC1" s="18"/>
      <c r="AD1" s="18"/>
      <c r="AE1" s="18"/>
      <c r="AF1" s="18"/>
      <c r="AG1" s="18"/>
      <c r="AH1" s="18"/>
      <c r="AI1" s="18"/>
      <c r="AJ1" s="18"/>
      <c r="AK1" s="18"/>
      <c r="AL1" s="18"/>
      <c r="AM1" s="18"/>
      <c r="AN1" s="18"/>
      <c r="AO1" s="18"/>
      <c r="AP1" s="22"/>
      <c r="AQ1" s="18"/>
      <c r="AR1" s="18"/>
      <c r="AS1" s="18"/>
      <c r="AT1" s="18"/>
      <c r="AU1" s="18"/>
      <c r="AV1" s="22"/>
      <c r="AW1" s="18"/>
      <c r="AX1" s="18"/>
      <c r="AY1" s="18"/>
      <c r="AZ1" s="18"/>
      <c r="BA1" s="18"/>
      <c r="BB1" s="18"/>
      <c r="BC1" s="18"/>
      <c r="BD1" s="18"/>
      <c r="BE1" s="18"/>
      <c r="BF1" s="18"/>
      <c r="BG1" s="18"/>
      <c r="BH1" s="18"/>
      <c r="BI1" s="18"/>
      <c r="BJ1" s="18"/>
      <c r="BK1" s="18"/>
      <c r="BL1" s="18"/>
      <c r="BM1" s="23"/>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22"/>
      <c r="CQ1" s="18"/>
      <c r="CR1" s="18"/>
      <c r="CS1" s="18"/>
      <c r="CT1" s="18"/>
      <c r="CU1" s="18"/>
      <c r="CV1" s="18"/>
      <c r="CW1" s="18"/>
      <c r="CX1" s="18"/>
      <c r="CY1" s="18"/>
      <c r="CZ1" s="18"/>
      <c r="DA1" s="18"/>
    </row>
    <row r="2" spans="1:105">
      <c r="A2" s="24" t="s">
        <v>15</v>
      </c>
      <c r="B2" s="18" t="str">
        <f>'7PSourceSummary'!D2</f>
        <v>Cooking Equipment</v>
      </c>
      <c r="C2" s="18"/>
      <c r="D2" s="18"/>
      <c r="E2" s="18"/>
      <c r="F2" s="18"/>
      <c r="G2" s="18"/>
      <c r="H2" s="18"/>
      <c r="I2" s="19"/>
      <c r="J2" s="19"/>
      <c r="K2" s="19"/>
      <c r="L2" s="19"/>
      <c r="M2" s="19"/>
      <c r="N2" s="20"/>
      <c r="O2" s="20"/>
      <c r="P2" s="20"/>
      <c r="Q2" s="20"/>
      <c r="R2" s="20"/>
      <c r="S2" s="18"/>
      <c r="T2" s="18"/>
      <c r="U2" s="18"/>
      <c r="V2" s="20"/>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22"/>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row>
    <row r="3" spans="1:105">
      <c r="A3" s="24" t="s">
        <v>16</v>
      </c>
      <c r="B3" s="25"/>
      <c r="C3" s="24">
        <v>2012</v>
      </c>
      <c r="D3" s="25"/>
      <c r="E3" s="25"/>
      <c r="F3" s="25"/>
      <c r="G3" s="25"/>
      <c r="H3" s="25"/>
      <c r="I3" s="25"/>
      <c r="J3" s="26"/>
      <c r="K3" s="27"/>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c r="BA3" s="25"/>
      <c r="BB3" s="25"/>
      <c r="BC3" s="25"/>
      <c r="BD3" s="25"/>
      <c r="BE3" s="25"/>
      <c r="BF3" s="25"/>
      <c r="BG3" s="25"/>
      <c r="BH3" s="25"/>
      <c r="BI3" s="25"/>
      <c r="BJ3" s="25"/>
      <c r="BK3" s="25"/>
      <c r="BL3" s="25"/>
      <c r="BM3" s="25"/>
      <c r="BN3" s="25"/>
      <c r="BO3" s="25"/>
      <c r="BP3" s="25"/>
      <c r="BQ3" s="25"/>
      <c r="BR3" s="25"/>
      <c r="BS3" s="25"/>
      <c r="BT3" s="25"/>
      <c r="BU3" s="25"/>
      <c r="BV3" s="25"/>
      <c r="BW3" s="25"/>
      <c r="BX3" s="25"/>
      <c r="BY3" s="25"/>
      <c r="BZ3" s="25"/>
      <c r="CA3" s="25"/>
      <c r="CB3" s="25"/>
      <c r="CC3" s="25"/>
      <c r="CD3" s="25"/>
      <c r="CE3" s="25"/>
      <c r="CF3" s="25"/>
      <c r="CG3" s="25"/>
      <c r="CH3" s="25"/>
      <c r="CI3" s="25"/>
      <c r="CJ3" s="25"/>
      <c r="CK3" s="25"/>
      <c r="CL3" s="25"/>
      <c r="CM3" s="25"/>
      <c r="CN3" s="25"/>
      <c r="CO3" s="27"/>
      <c r="CP3" s="27"/>
      <c r="CQ3" s="25"/>
      <c r="CR3" s="25"/>
      <c r="CS3" s="25"/>
      <c r="CT3" s="25"/>
      <c r="CU3" s="25"/>
      <c r="CV3" s="25"/>
      <c r="CW3" s="25"/>
      <c r="CX3" s="25"/>
      <c r="CY3" s="25"/>
      <c r="CZ3" s="25"/>
      <c r="DA3" s="25"/>
    </row>
    <row r="4" spans="1:105">
      <c r="A4" s="125"/>
      <c r="B4" s="129" t="s">
        <v>342</v>
      </c>
      <c r="C4" s="130">
        <v>1.107352410306802</v>
      </c>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5"/>
      <c r="BO4" s="25"/>
      <c r="BP4" s="25"/>
      <c r="BQ4" s="25"/>
      <c r="BR4" s="25"/>
      <c r="BS4" s="25"/>
      <c r="BT4" s="25"/>
      <c r="BU4" s="25"/>
      <c r="BV4" s="25"/>
      <c r="BW4" s="25"/>
      <c r="BX4" s="25"/>
      <c r="BY4" s="25"/>
      <c r="BZ4" s="25"/>
      <c r="CA4" s="25"/>
      <c r="CB4" s="25"/>
      <c r="CC4" s="25"/>
      <c r="CD4" s="25"/>
      <c r="CE4" s="25"/>
      <c r="CF4" s="25"/>
      <c r="CG4" s="25"/>
      <c r="CH4" s="25"/>
      <c r="CI4" s="25"/>
      <c r="CJ4" s="25"/>
      <c r="CK4" s="25"/>
      <c r="CL4" s="25"/>
      <c r="CM4" s="25"/>
      <c r="CN4" s="25"/>
      <c r="CO4" s="25"/>
      <c r="CP4" s="25"/>
      <c r="CQ4" s="25"/>
      <c r="CR4" s="25"/>
      <c r="CS4" s="25"/>
      <c r="CT4" s="25"/>
      <c r="CU4" s="25"/>
      <c r="CV4" s="25"/>
      <c r="CW4" s="25"/>
      <c r="CX4" s="25"/>
      <c r="CY4" s="25"/>
      <c r="CZ4" s="25"/>
      <c r="DA4" s="25"/>
    </row>
    <row r="5" spans="1:105">
      <c r="A5" s="28">
        <v>1</v>
      </c>
      <c r="B5" s="28">
        <v>2</v>
      </c>
      <c r="C5" s="28">
        <v>3</v>
      </c>
      <c r="D5" s="28">
        <v>4</v>
      </c>
      <c r="E5" s="28">
        <v>5</v>
      </c>
      <c r="F5" s="28">
        <v>6</v>
      </c>
      <c r="G5" s="28">
        <v>7</v>
      </c>
      <c r="H5" s="28">
        <v>8</v>
      </c>
      <c r="I5" s="28">
        <v>9</v>
      </c>
      <c r="J5" s="28">
        <v>10</v>
      </c>
      <c r="K5" s="28">
        <v>11</v>
      </c>
      <c r="L5" s="28">
        <v>12</v>
      </c>
      <c r="M5" s="28">
        <v>13</v>
      </c>
      <c r="N5" s="28">
        <v>14</v>
      </c>
      <c r="O5" s="28">
        <v>15</v>
      </c>
      <c r="P5" s="28">
        <v>16</v>
      </c>
      <c r="Q5" s="28">
        <v>17</v>
      </c>
      <c r="R5" s="28">
        <v>18</v>
      </c>
      <c r="S5" s="28">
        <v>19</v>
      </c>
      <c r="T5" s="28">
        <v>20</v>
      </c>
      <c r="U5" s="28">
        <v>21</v>
      </c>
      <c r="V5" s="28">
        <v>22</v>
      </c>
      <c r="W5" s="28">
        <v>23</v>
      </c>
      <c r="X5" s="28">
        <v>24</v>
      </c>
      <c r="Y5" s="28">
        <v>25</v>
      </c>
      <c r="Z5" s="28">
        <v>26</v>
      </c>
      <c r="AA5" s="28">
        <v>27</v>
      </c>
      <c r="AB5" s="28">
        <v>28</v>
      </c>
      <c r="AC5" s="28">
        <v>29</v>
      </c>
      <c r="AD5" s="28">
        <v>30</v>
      </c>
      <c r="AE5" s="28">
        <v>31</v>
      </c>
      <c r="AF5" s="28">
        <v>32</v>
      </c>
      <c r="AG5" s="28">
        <v>33</v>
      </c>
      <c r="AH5" s="28">
        <v>34</v>
      </c>
      <c r="AI5" s="28">
        <v>35</v>
      </c>
      <c r="AJ5" s="28">
        <v>36</v>
      </c>
      <c r="AK5" s="28">
        <v>37</v>
      </c>
      <c r="AL5" s="28">
        <v>38</v>
      </c>
      <c r="AM5" s="28">
        <v>39</v>
      </c>
      <c r="AN5" s="28">
        <v>40</v>
      </c>
      <c r="AO5" s="28">
        <v>41</v>
      </c>
      <c r="AP5" s="28">
        <v>42</v>
      </c>
      <c r="AQ5" s="28">
        <v>43</v>
      </c>
      <c r="AR5" s="28">
        <v>44</v>
      </c>
      <c r="AS5" s="28">
        <v>45</v>
      </c>
      <c r="AT5" s="28">
        <v>46</v>
      </c>
      <c r="AU5" s="28">
        <v>47</v>
      </c>
      <c r="AV5" s="28">
        <v>48</v>
      </c>
      <c r="AW5" s="28">
        <v>49</v>
      </c>
      <c r="AX5" s="28">
        <v>50</v>
      </c>
      <c r="AY5" s="28">
        <v>51</v>
      </c>
      <c r="AZ5" s="28">
        <v>52</v>
      </c>
      <c r="BA5" s="28">
        <v>53</v>
      </c>
      <c r="BB5" s="28">
        <v>54</v>
      </c>
      <c r="BC5" s="28">
        <v>55</v>
      </c>
      <c r="BD5" s="28">
        <v>56</v>
      </c>
      <c r="BE5" s="28">
        <v>57</v>
      </c>
      <c r="BF5" s="28">
        <v>58</v>
      </c>
      <c r="BG5" s="28">
        <v>59</v>
      </c>
      <c r="BH5" s="28">
        <v>60</v>
      </c>
      <c r="BI5" s="28">
        <v>61</v>
      </c>
      <c r="BJ5" s="28">
        <v>62</v>
      </c>
      <c r="BK5" s="28">
        <v>63</v>
      </c>
      <c r="BL5" s="28">
        <v>64</v>
      </c>
      <c r="BM5" s="28">
        <v>65</v>
      </c>
      <c r="BN5" s="28">
        <v>66</v>
      </c>
      <c r="BO5" s="28">
        <v>67</v>
      </c>
      <c r="BP5" s="28">
        <v>68</v>
      </c>
      <c r="BQ5" s="28">
        <v>69</v>
      </c>
      <c r="BR5" s="28">
        <v>70</v>
      </c>
      <c r="BS5" s="28">
        <v>71</v>
      </c>
      <c r="BT5" s="28">
        <v>72</v>
      </c>
      <c r="BU5" s="28">
        <v>73</v>
      </c>
      <c r="BV5" s="28">
        <v>74</v>
      </c>
      <c r="BW5" s="28">
        <v>75</v>
      </c>
      <c r="BX5" s="28">
        <v>76</v>
      </c>
      <c r="BY5" s="28">
        <v>77</v>
      </c>
      <c r="BZ5" s="28">
        <v>78</v>
      </c>
      <c r="CA5" s="28">
        <v>79</v>
      </c>
      <c r="CB5" s="28">
        <v>80</v>
      </c>
      <c r="CC5" s="28">
        <v>81</v>
      </c>
      <c r="CD5" s="28">
        <v>82</v>
      </c>
      <c r="CE5" s="28">
        <v>83</v>
      </c>
      <c r="CF5" s="28">
        <v>84</v>
      </c>
      <c r="CG5" s="28">
        <v>85</v>
      </c>
      <c r="CH5" s="28">
        <v>86</v>
      </c>
      <c r="CI5" s="28">
        <v>87</v>
      </c>
      <c r="CJ5" s="28">
        <v>88</v>
      </c>
      <c r="CK5" s="28">
        <v>89</v>
      </c>
      <c r="CL5" s="28">
        <v>90</v>
      </c>
      <c r="CM5" s="28">
        <v>91</v>
      </c>
      <c r="CN5" s="28">
        <v>92</v>
      </c>
      <c r="CO5" s="28">
        <v>93</v>
      </c>
      <c r="CP5" s="28">
        <v>94</v>
      </c>
      <c r="CQ5" s="28">
        <v>95</v>
      </c>
      <c r="CR5" s="28">
        <v>96</v>
      </c>
      <c r="CS5" s="28">
        <v>97</v>
      </c>
      <c r="CT5" s="28">
        <v>98</v>
      </c>
      <c r="CU5" s="28">
        <v>99</v>
      </c>
      <c r="CV5" s="28">
        <v>100</v>
      </c>
      <c r="CW5" s="28">
        <v>101</v>
      </c>
      <c r="CX5" s="28">
        <v>102</v>
      </c>
      <c r="CY5" s="28">
        <v>103</v>
      </c>
      <c r="CZ5" s="28">
        <v>104</v>
      </c>
      <c r="DA5" s="28">
        <v>105</v>
      </c>
    </row>
    <row r="6" spans="1:105">
      <c r="A6" s="29" t="s">
        <v>17</v>
      </c>
      <c r="B6" s="30"/>
      <c r="C6" s="30"/>
      <c r="D6" s="30"/>
      <c r="E6" s="30"/>
      <c r="F6" s="30"/>
      <c r="G6" s="31"/>
      <c r="H6" s="32"/>
      <c r="I6" s="508" t="s">
        <v>18</v>
      </c>
      <c r="J6" s="509"/>
      <c r="K6" s="509"/>
      <c r="L6" s="509"/>
      <c r="M6" s="509"/>
      <c r="N6" s="510"/>
      <c r="O6" s="511" t="s">
        <v>19</v>
      </c>
      <c r="P6" s="512"/>
      <c r="Q6" s="33" t="s">
        <v>20</v>
      </c>
      <c r="R6" s="513" t="s">
        <v>21</v>
      </c>
      <c r="S6" s="513"/>
      <c r="T6" s="513"/>
      <c r="U6" s="34"/>
      <c r="V6" s="34"/>
      <c r="W6" s="34"/>
      <c r="X6" s="35"/>
      <c r="Y6" s="36"/>
      <c r="Z6" s="34"/>
      <c r="AA6" s="34"/>
      <c r="AB6" s="34"/>
      <c r="AC6" s="34"/>
      <c r="AD6" s="34"/>
      <c r="AE6" s="37"/>
      <c r="AF6" s="37"/>
      <c r="AG6" s="37"/>
      <c r="AH6" s="37"/>
      <c r="AI6" s="37"/>
      <c r="AJ6" s="37"/>
      <c r="AK6" s="37"/>
      <c r="AL6" s="37"/>
      <c r="AM6" s="37"/>
      <c r="AN6" s="37"/>
      <c r="AO6" s="37"/>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row>
    <row r="7" spans="1:105" ht="25.5">
      <c r="A7" s="38" t="s">
        <v>22</v>
      </c>
      <c r="B7" s="38" t="s">
        <v>23</v>
      </c>
      <c r="C7" s="38" t="s">
        <v>24</v>
      </c>
      <c r="D7" s="38" t="s">
        <v>25</v>
      </c>
      <c r="E7" s="38" t="s">
        <v>26</v>
      </c>
      <c r="F7" s="39" t="s">
        <v>27</v>
      </c>
      <c r="G7" s="38" t="s">
        <v>28</v>
      </c>
      <c r="H7" s="40" t="s">
        <v>29</v>
      </c>
      <c r="I7" s="40" t="s">
        <v>30</v>
      </c>
      <c r="J7" s="40" t="s">
        <v>31</v>
      </c>
      <c r="K7" s="40" t="s">
        <v>32</v>
      </c>
      <c r="L7" s="40" t="s">
        <v>33</v>
      </c>
      <c r="M7" s="40" t="s">
        <v>34</v>
      </c>
      <c r="N7" s="40" t="s">
        <v>35</v>
      </c>
      <c r="O7" s="41" t="s">
        <v>36</v>
      </c>
      <c r="P7" s="40" t="s">
        <v>28</v>
      </c>
      <c r="Q7" s="42" t="s">
        <v>37</v>
      </c>
      <c r="R7" s="43" t="s">
        <v>38</v>
      </c>
      <c r="S7" s="43" t="s">
        <v>39</v>
      </c>
      <c r="T7" s="43" t="s">
        <v>40</v>
      </c>
      <c r="U7" s="44"/>
      <c r="V7" s="44"/>
      <c r="W7" s="44"/>
      <c r="X7" s="44"/>
      <c r="Y7" s="44"/>
      <c r="Z7" s="44"/>
      <c r="AA7" s="44"/>
      <c r="AB7" s="44"/>
      <c r="AC7" s="44"/>
      <c r="AD7" s="44"/>
      <c r="AE7" s="37"/>
      <c r="AF7" s="37"/>
      <c r="AG7" s="37"/>
      <c r="AH7" s="37"/>
      <c r="AI7" s="37"/>
      <c r="AJ7" s="37"/>
      <c r="AK7" s="37"/>
      <c r="AL7" s="37"/>
      <c r="AM7" s="37"/>
      <c r="AN7" s="37"/>
      <c r="AO7" s="37"/>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row>
    <row r="8" spans="1:105">
      <c r="A8" s="68" t="str">
        <f>'Savings and Cost'!A8</f>
        <v>Fryers</v>
      </c>
      <c r="B8" s="68" t="str">
        <f>'Savings and Cost'!B8</f>
        <v>Fryers</v>
      </c>
      <c r="C8" s="66">
        <f>'Savings and Cost'!C8</f>
        <v>2448.9442495802118</v>
      </c>
      <c r="D8" s="68">
        <f>'Savings and Cost'!D8</f>
        <v>8</v>
      </c>
      <c r="E8" s="68">
        <f>'Savings and Cost'!E8*$C$4</f>
        <v>761.70168289454261</v>
      </c>
      <c r="F8" s="68">
        <f>'Savings and Cost'!F8</f>
        <v>0</v>
      </c>
      <c r="G8" t="s">
        <v>941</v>
      </c>
      <c r="H8" s="68">
        <f>'Savings and Cost'!H8*$C$4</f>
        <v>0</v>
      </c>
      <c r="I8" s="68"/>
      <c r="J8" s="68"/>
      <c r="K8" s="68"/>
      <c r="L8" s="68"/>
      <c r="M8" s="68"/>
      <c r="N8" s="68"/>
      <c r="O8" s="68"/>
      <c r="P8" s="68"/>
      <c r="Q8" s="68" t="s">
        <v>290</v>
      </c>
      <c r="R8" s="68"/>
      <c r="S8" s="68"/>
      <c r="T8" s="68"/>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c r="BR8" s="45"/>
      <c r="BS8" s="45"/>
      <c r="BT8" s="45"/>
      <c r="BU8" s="45"/>
      <c r="BV8" s="45"/>
      <c r="BW8" s="45"/>
      <c r="BX8" s="45"/>
      <c r="BY8" s="45"/>
      <c r="BZ8" s="45"/>
      <c r="CA8" s="45"/>
      <c r="CB8" s="45"/>
      <c r="CC8" s="45"/>
      <c r="CD8" s="45"/>
      <c r="CE8" s="45"/>
      <c r="CF8" s="45"/>
      <c r="CG8" s="45"/>
      <c r="CH8" s="45"/>
      <c r="CI8" s="45"/>
      <c r="CJ8" s="45"/>
      <c r="CK8" s="45"/>
      <c r="CL8" s="45"/>
      <c r="CM8" s="45"/>
      <c r="CN8" s="45"/>
      <c r="CO8" s="45"/>
      <c r="CP8" s="45"/>
      <c r="CQ8" s="45"/>
      <c r="CR8" s="45"/>
      <c r="CS8" s="45"/>
      <c r="CT8" s="45"/>
      <c r="CU8" s="45"/>
      <c r="CV8" s="45"/>
      <c r="CW8" s="45"/>
      <c r="CX8" s="25"/>
      <c r="CY8" s="22"/>
      <c r="CZ8" s="22"/>
      <c r="DA8" s="22"/>
    </row>
    <row r="9" spans="1:105">
      <c r="A9" s="68" t="str">
        <f>'Savings and Cost'!A9</f>
        <v>HFHC (Wt Average Size)</v>
      </c>
      <c r="B9" s="68" t="str">
        <f>'Savings and Cost'!B9</f>
        <v>HFHC (Wt Average Size)</v>
      </c>
      <c r="C9" s="66">
        <f>'Savings and Cost'!C9</f>
        <v>642.62725257469287</v>
      </c>
      <c r="D9" s="68">
        <f>'Savings and Cost'!D9</f>
        <v>20</v>
      </c>
      <c r="E9" s="68">
        <f>'Savings and Cost'!E9*$C$4</f>
        <v>667.18747511257516</v>
      </c>
      <c r="F9" s="68">
        <f>'Savings and Cost'!F9</f>
        <v>0</v>
      </c>
      <c r="G9" t="s">
        <v>941</v>
      </c>
      <c r="H9" s="68">
        <f>'Savings and Cost'!H9*$C$4</f>
        <v>0</v>
      </c>
      <c r="I9" s="68"/>
      <c r="J9" s="68"/>
      <c r="K9" s="68"/>
      <c r="L9" s="68"/>
      <c r="M9" s="68"/>
      <c r="N9" s="68"/>
      <c r="O9" s="68"/>
      <c r="P9" s="68"/>
      <c r="Q9" s="68" t="s">
        <v>290</v>
      </c>
      <c r="R9" s="68"/>
      <c r="S9" s="68"/>
      <c r="T9" s="68"/>
      <c r="U9" s="45"/>
      <c r="V9" s="45"/>
      <c r="W9" s="45"/>
      <c r="X9" s="45"/>
      <c r="Y9" s="45"/>
      <c r="Z9" s="45"/>
      <c r="AA9" s="45"/>
      <c r="AB9" s="45"/>
      <c r="AC9" s="45"/>
      <c r="AD9" s="45"/>
      <c r="AE9" s="45"/>
      <c r="AF9" s="45"/>
      <c r="AG9" s="45"/>
      <c r="AH9" s="45"/>
      <c r="AI9" s="45"/>
      <c r="AJ9" s="45"/>
      <c r="AK9" s="45"/>
      <c r="AL9" s="45"/>
      <c r="AM9" s="45"/>
      <c r="AN9" s="45"/>
      <c r="AO9" s="45"/>
      <c r="AP9" s="45"/>
      <c r="AQ9" s="45"/>
      <c r="AR9" s="45"/>
      <c r="AS9" s="45"/>
      <c r="AT9" s="45"/>
      <c r="AU9" s="45"/>
      <c r="AV9" s="45"/>
      <c r="AW9" s="45"/>
      <c r="AX9" s="45"/>
      <c r="AY9" s="45"/>
      <c r="AZ9" s="45"/>
      <c r="BA9" s="45"/>
      <c r="BB9" s="45"/>
      <c r="BC9" s="45"/>
      <c r="BD9" s="45"/>
      <c r="BE9" s="45"/>
      <c r="BF9" s="45"/>
      <c r="BG9" s="45"/>
      <c r="BH9" s="45"/>
      <c r="BI9" s="45"/>
      <c r="BJ9" s="45"/>
      <c r="BK9" s="45"/>
      <c r="BL9" s="45"/>
      <c r="BM9" s="45"/>
      <c r="BN9" s="45"/>
      <c r="BO9" s="45"/>
      <c r="BP9" s="45"/>
      <c r="BQ9" s="45"/>
      <c r="BR9" s="45"/>
      <c r="BS9" s="45"/>
      <c r="BT9" s="45"/>
      <c r="BU9" s="45"/>
      <c r="BV9" s="45"/>
      <c r="BW9" s="45"/>
      <c r="BX9" s="45"/>
      <c r="BY9" s="45"/>
      <c r="BZ9" s="45"/>
      <c r="CA9" s="45"/>
      <c r="CB9" s="45"/>
      <c r="CC9" s="45"/>
      <c r="CD9" s="45"/>
      <c r="CE9" s="45"/>
      <c r="CF9" s="45"/>
      <c r="CG9" s="45"/>
      <c r="CH9" s="45"/>
      <c r="CI9" s="45"/>
      <c r="CJ9" s="45"/>
      <c r="CK9" s="45"/>
      <c r="CL9" s="45"/>
      <c r="CM9" s="45"/>
      <c r="CN9" s="45"/>
      <c r="CO9" s="45"/>
      <c r="CP9" s="45"/>
      <c r="CQ9" s="45"/>
      <c r="CR9" s="45"/>
      <c r="CS9" s="45"/>
      <c r="CT9" s="45"/>
      <c r="CU9" s="45"/>
      <c r="CV9" s="45"/>
      <c r="CW9" s="45"/>
      <c r="CX9" s="25"/>
      <c r="CY9" s="22"/>
      <c r="CZ9" s="22"/>
      <c r="DA9" s="22"/>
    </row>
    <row r="10" spans="1:105">
      <c r="A10" s="68" t="str">
        <f>'Savings and Cost'!A10</f>
        <v>Steamer (Wt Average Size)</v>
      </c>
      <c r="B10" s="68" t="str">
        <f>'Savings and Cost'!B10</f>
        <v>Steamer (Wt Average Size)</v>
      </c>
      <c r="C10" s="66">
        <f>'Savings and Cost'!C10</f>
        <v>41037.0667698299</v>
      </c>
      <c r="D10" s="68">
        <f>'Savings and Cost'!D10</f>
        <v>9</v>
      </c>
      <c r="E10" s="68">
        <f>'Savings and Cost'!E10*$C$4</f>
        <v>815.68908279261188</v>
      </c>
      <c r="F10" s="68">
        <f>'Savings and Cost'!F10</f>
        <v>0</v>
      </c>
      <c r="G10" t="s">
        <v>941</v>
      </c>
      <c r="H10" s="68">
        <f>'Savings and Cost'!H10*$C$4</f>
        <v>0</v>
      </c>
      <c r="I10" s="68"/>
      <c r="J10" s="68"/>
      <c r="K10" s="68"/>
      <c r="L10" s="68"/>
      <c r="M10" s="68"/>
      <c r="N10" s="68"/>
      <c r="O10" s="68"/>
      <c r="P10" s="68"/>
      <c r="Q10" s="68" t="s">
        <v>290</v>
      </c>
      <c r="R10" s="68"/>
      <c r="S10" s="68"/>
      <c r="T10" s="68"/>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row>
    <row r="11" spans="1:105">
      <c r="A11" s="68" t="str">
        <f>'Savings and Cost'!A10</f>
        <v>Steamer (Wt Average Size)</v>
      </c>
      <c r="B11" s="68" t="str">
        <f>'Savings and Cost'!B11</f>
        <v>Wastewater Savings</v>
      </c>
      <c r="C11" s="66">
        <f>'Savings and Cost'!C11</f>
        <v>603.92108692928571</v>
      </c>
      <c r="D11" s="68">
        <f>'Savings and Cost'!D11</f>
        <v>9</v>
      </c>
      <c r="E11" s="68">
        <f>'Savings and Cost'!E11*$C$4</f>
        <v>0</v>
      </c>
      <c r="F11" s="68">
        <f>'Savings and Cost'!F11</f>
        <v>0</v>
      </c>
      <c r="G11" t="s">
        <v>941</v>
      </c>
      <c r="H11" s="68">
        <f>'Savings and Cost'!H11*$C$4</f>
        <v>1664.0057535070016</v>
      </c>
      <c r="I11" s="68"/>
      <c r="J11" s="68"/>
      <c r="K11" s="68"/>
      <c r="L11" s="68"/>
      <c r="M11" s="68"/>
      <c r="N11" s="68"/>
      <c r="O11" s="68"/>
      <c r="P11" s="68"/>
      <c r="Q11" s="68" t="s">
        <v>290</v>
      </c>
      <c r="R11" s="68"/>
      <c r="S11" s="68"/>
      <c r="T11" s="68"/>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row>
    <row r="12" spans="1:105">
      <c r="A12" s="68" t="str">
        <f>'Savings and Cost'!A12</f>
        <v>Combi Oven (Wt Average)</v>
      </c>
      <c r="B12" s="68" t="str">
        <f>'Savings and Cost'!B12</f>
        <v>Combi Oven (Wt Average)</v>
      </c>
      <c r="C12" s="66">
        <f>'Savings and Cost'!C12</f>
        <v>15157.338598650684</v>
      </c>
      <c r="D12" s="68">
        <f>'Savings and Cost'!D12</f>
        <v>10</v>
      </c>
      <c r="E12" s="68">
        <f>'Savings and Cost'!E12*$C$4</f>
        <v>1040.2452032377576</v>
      </c>
      <c r="F12" s="68">
        <f>'Savings and Cost'!F12</f>
        <v>0</v>
      </c>
      <c r="G12" t="s">
        <v>941</v>
      </c>
      <c r="H12" s="68">
        <f>'Savings and Cost'!H12*$C$4</f>
        <v>0</v>
      </c>
      <c r="I12" s="68"/>
      <c r="J12" s="68"/>
      <c r="K12" s="68"/>
      <c r="L12" s="68"/>
      <c r="M12" s="68"/>
      <c r="N12" s="68"/>
      <c r="O12" s="68"/>
      <c r="P12" s="68"/>
      <c r="Q12" s="68" t="s">
        <v>290</v>
      </c>
      <c r="R12" s="68"/>
      <c r="S12" s="68"/>
      <c r="T12" s="68"/>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row>
    <row r="13" spans="1:105">
      <c r="A13" s="68" t="str">
        <f>'Savings and Cost'!A12</f>
        <v>Combi Oven (Wt Average)</v>
      </c>
      <c r="B13" s="68" t="str">
        <f>'Savings and Cost'!B13</f>
        <v>Wastewater Savings</v>
      </c>
      <c r="C13" s="66">
        <f>'Savings and Cost'!C13</f>
        <v>123.51946356998933</v>
      </c>
      <c r="D13" s="68">
        <f>'Savings and Cost'!D13</f>
        <v>10</v>
      </c>
      <c r="E13" s="68">
        <f>'Savings and Cost'!E13*$C$4</f>
        <v>0</v>
      </c>
      <c r="F13" s="68">
        <f>'Savings and Cost'!F13</f>
        <v>0</v>
      </c>
      <c r="G13" t="s">
        <v>941</v>
      </c>
      <c r="H13" s="68">
        <f>'Savings and Cost'!H13*$C$4</f>
        <v>340.33767407533406</v>
      </c>
      <c r="I13" s="68"/>
      <c r="J13" s="68"/>
      <c r="K13" s="68"/>
      <c r="L13" s="68"/>
      <c r="M13" s="68"/>
      <c r="N13" s="68"/>
      <c r="O13" s="68"/>
      <c r="P13" s="68"/>
      <c r="Q13" s="68" t="s">
        <v>290</v>
      </c>
      <c r="R13" s="68"/>
      <c r="S13" s="68"/>
      <c r="T13" s="68"/>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row>
    <row r="14" spans="1:105">
      <c r="A14" s="68" t="str">
        <f>'Savings and Cost'!A14</f>
        <v>Convection Oven (Wt Average)</v>
      </c>
      <c r="B14" s="68" t="str">
        <f>'Savings and Cost'!B14</f>
        <v>Convection Oven (Wt Average)</v>
      </c>
      <c r="C14" s="66">
        <f>'Savings and Cost'!C14</f>
        <v>1668.5350708261317</v>
      </c>
      <c r="D14" s="68">
        <f>'Savings and Cost'!D14</f>
        <v>10</v>
      </c>
      <c r="E14" s="68">
        <f>'Savings and Cost'!E14*$C$4</f>
        <v>923.75718443129779</v>
      </c>
      <c r="F14" s="68">
        <f>'Savings and Cost'!F14</f>
        <v>0</v>
      </c>
      <c r="G14" t="s">
        <v>941</v>
      </c>
      <c r="H14" s="68">
        <f>'Savings and Cost'!H14*$C$4</f>
        <v>0</v>
      </c>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row>
    <row r="17" spans="1:131">
      <c r="A17" s="25"/>
      <c r="B17" s="25"/>
      <c r="C17" s="25"/>
      <c r="D17" s="25"/>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row>
    <row r="18" spans="1:131">
      <c r="A18" s="74" t="s">
        <v>108</v>
      </c>
      <c r="B18" s="75"/>
      <c r="C18" s="25"/>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row>
    <row r="19" spans="1:131">
      <c r="A19" s="25" t="s">
        <v>109</v>
      </c>
      <c r="B19" s="25" t="s">
        <v>343</v>
      </c>
      <c r="C19" s="25"/>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row>
    <row r="20" spans="1:131">
      <c r="A20" s="25" t="s">
        <v>110</v>
      </c>
      <c r="B20" s="25" t="s">
        <v>1201</v>
      </c>
      <c r="C20" s="25"/>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row>
    <row r="21" spans="1:131">
      <c r="A21" s="25"/>
      <c r="B21" s="25"/>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row>
    <row r="22" spans="1:131" s="25" customFormat="1" ht="13.5" thickBot="1">
      <c r="A22" s="76" t="s">
        <v>111</v>
      </c>
      <c r="B22" s="77"/>
      <c r="C22" s="77"/>
      <c r="D22" s="77"/>
      <c r="E22" s="77"/>
      <c r="F22" s="77"/>
      <c r="G22" s="77"/>
      <c r="H22" s="77"/>
      <c r="I22" s="77"/>
      <c r="J22" s="77"/>
      <c r="K22" s="77"/>
      <c r="L22" s="77"/>
      <c r="M22" s="77"/>
      <c r="N22" s="77"/>
      <c r="O22" s="77"/>
      <c r="P22" s="77"/>
      <c r="Q22" s="77"/>
      <c r="R22" s="77"/>
      <c r="S22" s="77"/>
      <c r="T22" s="77"/>
      <c r="U22" s="77"/>
      <c r="V22" s="77"/>
      <c r="W22" s="77"/>
      <c r="X22" s="77"/>
      <c r="Y22" s="77"/>
      <c r="Z22" s="77"/>
      <c r="AA22" s="77"/>
      <c r="AB22" s="77"/>
      <c r="AC22" s="77"/>
      <c r="AD22" s="77"/>
      <c r="AE22" s="77"/>
      <c r="AF22" s="77"/>
      <c r="AG22" s="77"/>
      <c r="AH22" s="77"/>
      <c r="AI22" s="78"/>
    </row>
    <row r="23" spans="1:131" s="25" customFormat="1">
      <c r="B23" s="79" t="s">
        <v>112</v>
      </c>
      <c r="C23" s="80"/>
      <c r="D23" s="80" t="s">
        <v>112</v>
      </c>
      <c r="E23" s="81"/>
      <c r="G23" s="79" t="s">
        <v>113</v>
      </c>
      <c r="H23" s="80"/>
      <c r="I23" s="80"/>
      <c r="J23" s="80"/>
      <c r="K23" s="80"/>
      <c r="L23" s="80"/>
      <c r="M23" s="80"/>
      <c r="N23" s="80"/>
      <c r="O23" s="81"/>
      <c r="Q23" s="79" t="s">
        <v>114</v>
      </c>
      <c r="R23" s="80"/>
      <c r="S23" s="80"/>
      <c r="T23" s="80"/>
      <c r="U23" s="81"/>
      <c r="W23" s="79" t="s">
        <v>115</v>
      </c>
      <c r="X23" s="81"/>
      <c r="Z23" s="79" t="s">
        <v>116</v>
      </c>
      <c r="AA23" s="80"/>
      <c r="AB23" s="81"/>
    </row>
    <row r="24" spans="1:131" s="25" customFormat="1">
      <c r="B24" s="82" t="s">
        <v>119</v>
      </c>
      <c r="C24" s="83" t="s">
        <v>117</v>
      </c>
      <c r="D24" s="83" t="s">
        <v>119</v>
      </c>
      <c r="E24" s="84" t="s">
        <v>117</v>
      </c>
      <c r="G24" s="82" t="s">
        <v>120</v>
      </c>
      <c r="H24" s="83" t="s">
        <v>1195</v>
      </c>
      <c r="I24" s="83"/>
      <c r="J24" s="83"/>
      <c r="K24" s="83" t="s">
        <v>942</v>
      </c>
      <c r="L24" s="83"/>
      <c r="M24" s="83"/>
      <c r="N24" s="83"/>
      <c r="O24" s="84"/>
      <c r="Q24" s="82"/>
      <c r="R24" s="83" t="s">
        <v>121</v>
      </c>
      <c r="S24" s="83" t="s">
        <v>122</v>
      </c>
      <c r="T24" s="83" t="s">
        <v>123</v>
      </c>
      <c r="U24" s="84" t="s">
        <v>124</v>
      </c>
      <c r="W24" s="82" t="s">
        <v>125</v>
      </c>
      <c r="X24" s="84">
        <v>20</v>
      </c>
      <c r="Z24" s="82"/>
      <c r="AA24" s="83" t="s">
        <v>117</v>
      </c>
      <c r="AB24" s="84" t="s">
        <v>118</v>
      </c>
    </row>
    <row r="25" spans="1:131" s="25" customFormat="1">
      <c r="B25" s="82" t="s">
        <v>126</v>
      </c>
      <c r="C25" s="83" t="s">
        <v>344</v>
      </c>
      <c r="D25" s="83" t="s">
        <v>126</v>
      </c>
      <c r="E25" s="84" t="s">
        <v>344</v>
      </c>
      <c r="G25" s="82" t="s">
        <v>127</v>
      </c>
      <c r="H25" s="83" t="s">
        <v>345</v>
      </c>
      <c r="I25" s="83"/>
      <c r="J25" s="83"/>
      <c r="K25" s="83" t="s">
        <v>943</v>
      </c>
      <c r="L25" s="83"/>
      <c r="M25" s="83"/>
      <c r="N25" s="83"/>
      <c r="O25" s="84"/>
      <c r="Q25" s="82" t="s">
        <v>128</v>
      </c>
      <c r="R25" s="83">
        <v>6.8012888465852586E-2</v>
      </c>
      <c r="S25" s="83">
        <v>4.387844424080023E-2</v>
      </c>
      <c r="T25" s="83">
        <v>5.3289007766645871E-2</v>
      </c>
      <c r="U25" s="84">
        <v>5.447903102274565E-2</v>
      </c>
      <c r="W25" s="82" t="s">
        <v>129</v>
      </c>
      <c r="X25" s="84">
        <v>2016</v>
      </c>
      <c r="Z25" s="82" t="s">
        <v>346</v>
      </c>
      <c r="AA25" s="83">
        <v>4.03890184699085E-3</v>
      </c>
      <c r="AB25" s="84">
        <v>0.01</v>
      </c>
    </row>
    <row r="26" spans="1:131" s="25" customFormat="1">
      <c r="B26" s="82" t="s">
        <v>131</v>
      </c>
      <c r="C26" s="83" t="s">
        <v>347</v>
      </c>
      <c r="D26" s="83" t="s">
        <v>131</v>
      </c>
      <c r="E26" s="84" t="s">
        <v>347</v>
      </c>
      <c r="G26" s="82" t="s">
        <v>132</v>
      </c>
      <c r="H26" s="83" t="s">
        <v>348</v>
      </c>
      <c r="I26" s="83"/>
      <c r="J26" s="83"/>
      <c r="K26" s="83" t="s">
        <v>944</v>
      </c>
      <c r="L26" s="83"/>
      <c r="M26" s="83"/>
      <c r="N26" s="83"/>
      <c r="O26" s="84"/>
      <c r="Q26" s="82" t="s">
        <v>133</v>
      </c>
      <c r="R26" s="83">
        <v>12</v>
      </c>
      <c r="S26" s="83">
        <v>12</v>
      </c>
      <c r="T26" s="83">
        <v>1</v>
      </c>
      <c r="U26" s="84">
        <v>1</v>
      </c>
      <c r="W26" s="82" t="s">
        <v>134</v>
      </c>
      <c r="X26" s="84">
        <v>2016</v>
      </c>
      <c r="Z26" s="82" t="s">
        <v>130</v>
      </c>
      <c r="AA26" s="83">
        <v>26</v>
      </c>
      <c r="AB26" s="84">
        <v>0</v>
      </c>
    </row>
    <row r="27" spans="1:131" s="25" customFormat="1" ht="13.5" thickBot="1">
      <c r="B27" s="85" t="s">
        <v>135</v>
      </c>
      <c r="C27" s="86" t="s">
        <v>347</v>
      </c>
      <c r="D27" s="86" t="s">
        <v>135</v>
      </c>
      <c r="E27" s="87" t="s">
        <v>347</v>
      </c>
      <c r="G27" s="82" t="s">
        <v>136</v>
      </c>
      <c r="H27" s="83" t="s">
        <v>349</v>
      </c>
      <c r="I27" s="83"/>
      <c r="J27" s="83"/>
      <c r="K27" s="83" t="s">
        <v>943</v>
      </c>
      <c r="L27" s="83"/>
      <c r="M27" s="83"/>
      <c r="N27" s="83"/>
      <c r="O27" s="84"/>
      <c r="Q27" s="82"/>
      <c r="R27" s="83" t="s">
        <v>121</v>
      </c>
      <c r="S27" s="83" t="s">
        <v>122</v>
      </c>
      <c r="T27" s="83" t="s">
        <v>123</v>
      </c>
      <c r="U27" s="84" t="s">
        <v>124</v>
      </c>
      <c r="W27" s="82" t="s">
        <v>137</v>
      </c>
      <c r="X27" s="84">
        <v>2012</v>
      </c>
      <c r="Z27" s="82" t="s">
        <v>350</v>
      </c>
      <c r="AA27" s="83">
        <v>0.9</v>
      </c>
      <c r="AB27" s="84" t="s">
        <v>351</v>
      </c>
    </row>
    <row r="28" spans="1:131" s="25" customFormat="1">
      <c r="G28" s="82" t="s">
        <v>139</v>
      </c>
      <c r="H28" s="83" t="s">
        <v>348</v>
      </c>
      <c r="I28" s="83"/>
      <c r="J28" s="83"/>
      <c r="K28" s="83"/>
      <c r="L28" s="83"/>
      <c r="M28" s="83"/>
      <c r="N28" s="83"/>
      <c r="O28" s="84"/>
      <c r="Q28" s="82" t="s">
        <v>140</v>
      </c>
      <c r="R28" s="83">
        <v>0.35</v>
      </c>
      <c r="S28" s="83">
        <v>0.19500000000000001</v>
      </c>
      <c r="T28" s="83">
        <v>0.45499999999999996</v>
      </c>
      <c r="U28" s="84">
        <v>0</v>
      </c>
      <c r="W28" s="82" t="s">
        <v>141</v>
      </c>
      <c r="X28" s="84">
        <v>0.04</v>
      </c>
      <c r="Z28" s="82" t="s">
        <v>352</v>
      </c>
      <c r="AA28" s="83">
        <v>4.7399348199455904E-2</v>
      </c>
      <c r="AB28" s="84">
        <v>0</v>
      </c>
    </row>
    <row r="29" spans="1:131" s="25" customFormat="1">
      <c r="B29" s="25" t="s">
        <v>142</v>
      </c>
      <c r="C29" s="25" t="s">
        <v>117</v>
      </c>
      <c r="G29" s="82" t="s">
        <v>143</v>
      </c>
      <c r="H29" s="83" t="s">
        <v>353</v>
      </c>
      <c r="I29" s="83"/>
      <c r="J29" s="83"/>
      <c r="K29" s="83" t="s">
        <v>149</v>
      </c>
      <c r="L29" s="83"/>
      <c r="M29" s="83"/>
      <c r="N29" s="83"/>
      <c r="O29" s="84"/>
      <c r="Q29" s="82" t="s">
        <v>144</v>
      </c>
      <c r="R29" s="83">
        <v>1</v>
      </c>
      <c r="S29" s="83">
        <v>0</v>
      </c>
      <c r="T29" s="83">
        <v>0</v>
      </c>
      <c r="U29" s="84">
        <v>0</v>
      </c>
      <c r="W29" s="82" t="s">
        <v>145</v>
      </c>
      <c r="X29" s="84">
        <v>0</v>
      </c>
      <c r="Z29" s="82" t="s">
        <v>138</v>
      </c>
      <c r="AA29" s="83">
        <v>31</v>
      </c>
      <c r="AB29" s="84">
        <v>0</v>
      </c>
    </row>
    <row r="30" spans="1:131" s="25" customFormat="1">
      <c r="B30" s="25" t="s">
        <v>146</v>
      </c>
      <c r="C30" s="25" t="s">
        <v>147</v>
      </c>
      <c r="G30" s="82" t="s">
        <v>148</v>
      </c>
      <c r="H30" s="83" t="s">
        <v>149</v>
      </c>
      <c r="I30" s="83"/>
      <c r="J30" s="83"/>
      <c r="K30" s="83" t="s">
        <v>154</v>
      </c>
      <c r="L30" s="83"/>
      <c r="M30" s="83"/>
      <c r="N30" s="83"/>
      <c r="O30" s="84"/>
      <c r="Q30" s="82" t="s">
        <v>150</v>
      </c>
      <c r="R30" s="83">
        <v>1</v>
      </c>
      <c r="S30" s="83">
        <v>0</v>
      </c>
      <c r="T30" s="83">
        <v>0</v>
      </c>
      <c r="U30" s="84">
        <v>0</v>
      </c>
      <c r="W30" s="82" t="s">
        <v>354</v>
      </c>
      <c r="X30" s="84">
        <v>0.2</v>
      </c>
      <c r="Z30" s="82" t="s">
        <v>355</v>
      </c>
      <c r="AA30" s="83">
        <v>0.7</v>
      </c>
      <c r="AB30" s="84" t="s">
        <v>351</v>
      </c>
    </row>
    <row r="31" spans="1:131" s="25" customFormat="1">
      <c r="B31" s="25" t="s">
        <v>151</v>
      </c>
      <c r="C31" s="25" t="s">
        <v>152</v>
      </c>
      <c r="G31" s="82" t="s">
        <v>153</v>
      </c>
      <c r="H31" s="83" t="s">
        <v>154</v>
      </c>
      <c r="I31" s="83"/>
      <c r="J31" s="83"/>
      <c r="K31" s="83" t="s">
        <v>160</v>
      </c>
      <c r="L31" s="83"/>
      <c r="M31" s="83"/>
      <c r="N31" s="83"/>
      <c r="O31" s="84"/>
      <c r="Q31" s="82" t="s">
        <v>155</v>
      </c>
      <c r="R31" s="83"/>
      <c r="S31" s="83">
        <v>0.3</v>
      </c>
      <c r="T31" s="83">
        <v>0.7</v>
      </c>
      <c r="U31" s="84">
        <v>0</v>
      </c>
      <c r="W31" s="82" t="s">
        <v>156</v>
      </c>
      <c r="X31" s="84">
        <v>0</v>
      </c>
      <c r="Z31" s="82" t="s">
        <v>356</v>
      </c>
      <c r="AA31" s="83">
        <v>0</v>
      </c>
      <c r="AB31" s="84">
        <v>0</v>
      </c>
    </row>
    <row r="32" spans="1:131" s="25" customFormat="1" ht="13.5" thickBot="1">
      <c r="B32" s="25" t="s">
        <v>157</v>
      </c>
      <c r="C32" s="25" t="s">
        <v>158</v>
      </c>
      <c r="G32" s="85" t="s">
        <v>159</v>
      </c>
      <c r="H32" s="86" t="s">
        <v>160</v>
      </c>
      <c r="I32" s="86"/>
      <c r="J32" s="86"/>
      <c r="K32" s="86"/>
      <c r="L32" s="86"/>
      <c r="M32" s="86"/>
      <c r="N32" s="86"/>
      <c r="O32" s="87"/>
      <c r="Q32" s="85" t="s">
        <v>357</v>
      </c>
      <c r="R32" s="86"/>
      <c r="S32" s="86">
        <v>20</v>
      </c>
      <c r="T32" s="86"/>
      <c r="U32" s="87"/>
      <c r="W32" s="85" t="s">
        <v>161</v>
      </c>
      <c r="X32" s="87">
        <v>2018</v>
      </c>
      <c r="Z32" s="85" t="s">
        <v>358</v>
      </c>
      <c r="AA32" s="86">
        <v>0</v>
      </c>
      <c r="AB32" s="87">
        <v>0</v>
      </c>
    </row>
    <row r="33" spans="1:101" s="25" customFormat="1"/>
    <row r="34" spans="1:101" s="25" customFormat="1"/>
    <row r="35" spans="1:101" s="25" customFormat="1"/>
    <row r="36" spans="1:101" s="25" customFormat="1"/>
    <row r="37" spans="1:101" s="25" customFormat="1"/>
    <row r="38" spans="1:101" s="25" customFormat="1"/>
    <row r="39" spans="1:101" s="25" customFormat="1"/>
    <row r="40" spans="1:101" s="25" customFormat="1" ht="13.5" thickBot="1">
      <c r="A40" s="76" t="s">
        <v>162</v>
      </c>
      <c r="B40" s="78"/>
      <c r="C40" s="45"/>
      <c r="D40" s="45"/>
      <c r="E40" s="45"/>
      <c r="F40" s="45"/>
      <c r="G40" s="45"/>
      <c r="H40" s="45"/>
      <c r="I40" s="45"/>
      <c r="J40" s="45"/>
      <c r="K40" s="45"/>
      <c r="L40" s="45"/>
      <c r="M40" s="45"/>
      <c r="N40" s="45"/>
      <c r="O40" s="45"/>
      <c r="P40" s="45"/>
      <c r="Q40" s="45"/>
      <c r="R40" s="45"/>
      <c r="S40" s="45"/>
      <c r="T40" s="45"/>
      <c r="U40" s="45"/>
      <c r="V40" s="45"/>
      <c r="W40" s="45"/>
      <c r="X40" s="45"/>
      <c r="Y40" s="45"/>
      <c r="Z40" s="45"/>
      <c r="AA40" s="45"/>
      <c r="AB40" s="45"/>
      <c r="AC40" s="45"/>
      <c r="AD40" s="45"/>
      <c r="AE40" s="45"/>
      <c r="AF40" s="45"/>
      <c r="AG40" s="45"/>
      <c r="AH40" s="45"/>
      <c r="AI40" s="45"/>
      <c r="AJ40" s="45"/>
      <c r="AK40" s="45"/>
      <c r="AL40" s="45"/>
      <c r="AM40" s="45"/>
      <c r="AN40" s="45"/>
      <c r="AO40" s="45"/>
      <c r="AP40" s="45"/>
      <c r="AQ40" s="45"/>
      <c r="AR40" s="45"/>
      <c r="AS40" s="45"/>
      <c r="AT40" s="45"/>
      <c r="AU40" s="45"/>
      <c r="AV40" s="45"/>
      <c r="AW40" s="45"/>
      <c r="AX40" s="45"/>
      <c r="AY40" s="45"/>
      <c r="AZ40" s="45"/>
      <c r="BA40" s="45"/>
      <c r="BB40" s="45"/>
      <c r="BC40" s="45"/>
      <c r="BD40" s="45"/>
      <c r="BE40" s="45"/>
      <c r="BF40" s="45"/>
      <c r="BG40" s="45"/>
      <c r="BH40" s="45"/>
      <c r="BI40" s="45"/>
      <c r="BJ40" s="45"/>
      <c r="BK40" s="45"/>
      <c r="BL40" s="45"/>
      <c r="BM40" s="45"/>
      <c r="BN40" s="45"/>
      <c r="BO40" s="45"/>
      <c r="BP40" s="45"/>
      <c r="BQ40" s="45"/>
      <c r="BR40" s="45"/>
      <c r="BS40" s="45"/>
      <c r="BT40" s="45"/>
      <c r="BU40" s="45"/>
      <c r="BV40" s="45"/>
      <c r="BW40" s="45"/>
      <c r="BX40" s="45"/>
      <c r="BY40" s="45"/>
      <c r="BZ40" s="45"/>
      <c r="CA40" s="45"/>
      <c r="CB40" s="45"/>
      <c r="CC40" s="45"/>
      <c r="CD40" s="45"/>
      <c r="CE40" s="45"/>
      <c r="CF40" s="45"/>
      <c r="CG40" s="45"/>
      <c r="CH40" s="45"/>
      <c r="CI40" s="45"/>
      <c r="CJ40" s="45"/>
      <c r="CK40" s="45"/>
      <c r="CL40" s="45"/>
      <c r="CM40" s="45"/>
      <c r="CN40" s="45"/>
      <c r="CO40" s="45"/>
      <c r="CP40" s="45"/>
      <c r="CQ40" s="45"/>
      <c r="CR40" s="45"/>
      <c r="CS40" s="45"/>
      <c r="CT40" s="45"/>
      <c r="CU40" s="45"/>
      <c r="CV40" s="45"/>
      <c r="CW40" s="45"/>
    </row>
    <row r="41" spans="1:101" s="25" customFormat="1" ht="26.25" thickBot="1">
      <c r="A41" s="88" t="s">
        <v>163</v>
      </c>
      <c r="B41" s="89"/>
      <c r="C41" s="90" t="s">
        <v>164</v>
      </c>
      <c r="D41" s="91"/>
      <c r="E41" s="91"/>
      <c r="F41" s="91"/>
      <c r="G41" s="91"/>
      <c r="H41" s="91"/>
      <c r="I41" s="91"/>
      <c r="J41" s="91"/>
      <c r="K41" s="92"/>
      <c r="L41" s="90" t="s">
        <v>165</v>
      </c>
      <c r="M41" s="91"/>
      <c r="N41" s="91"/>
      <c r="O41" s="91"/>
      <c r="P41" s="91"/>
      <c r="Q41" s="92"/>
      <c r="R41" s="90" t="s">
        <v>166</v>
      </c>
      <c r="S41" s="91"/>
      <c r="T41" s="91"/>
      <c r="U41" s="92"/>
      <c r="V41" s="90" t="s">
        <v>167</v>
      </c>
      <c r="W41" s="91"/>
      <c r="X41" s="91"/>
      <c r="Y41" s="92"/>
      <c r="Z41" s="90" t="s">
        <v>168</v>
      </c>
      <c r="AA41" s="91"/>
      <c r="AB41" s="91"/>
      <c r="AC41" s="92"/>
      <c r="AD41" s="90" t="s">
        <v>169</v>
      </c>
      <c r="AE41" s="91"/>
      <c r="AF41" s="91"/>
      <c r="AG41" s="92"/>
      <c r="AH41" s="90" t="s">
        <v>170</v>
      </c>
      <c r="AI41" s="91"/>
      <c r="AJ41" s="91"/>
      <c r="AK41" s="91"/>
      <c r="AL41" s="92"/>
      <c r="AM41" s="90" t="s">
        <v>171</v>
      </c>
      <c r="AN41" s="91"/>
      <c r="AO41" s="91"/>
      <c r="AP41" s="91"/>
      <c r="AQ41" s="91"/>
      <c r="AR41" s="91"/>
      <c r="AS41" s="92"/>
      <c r="AT41" s="90" t="s">
        <v>172</v>
      </c>
      <c r="AU41" s="91"/>
      <c r="AV41" s="91"/>
      <c r="AW41" s="91"/>
      <c r="AX41" s="91"/>
      <c r="AY41" s="91"/>
      <c r="AZ41" s="92"/>
      <c r="BA41" s="90" t="s">
        <v>173</v>
      </c>
      <c r="BB41" s="91"/>
      <c r="BC41" s="91"/>
      <c r="BD41" s="91"/>
      <c r="BE41" s="91"/>
      <c r="BF41" s="92"/>
      <c r="BG41" s="90" t="s">
        <v>174</v>
      </c>
      <c r="BH41" s="92"/>
      <c r="BI41" s="90" t="s">
        <v>175</v>
      </c>
      <c r="BJ41" s="91"/>
      <c r="BK41" s="91"/>
      <c r="BL41" s="91"/>
      <c r="BM41" s="92"/>
      <c r="BN41" s="90" t="s">
        <v>176</v>
      </c>
      <c r="BO41" s="91"/>
      <c r="BP41" s="91"/>
      <c r="BQ41" s="91"/>
      <c r="BR41" s="91"/>
      <c r="BS41" s="91"/>
      <c r="BT41" s="91"/>
      <c r="BU41" s="91"/>
      <c r="BV41" s="91"/>
      <c r="BW41" s="91"/>
      <c r="BX41" s="91"/>
      <c r="BY41" s="91"/>
      <c r="BZ41" s="91"/>
      <c r="CA41" s="91"/>
      <c r="CB41" s="91"/>
      <c r="CC41" s="92"/>
      <c r="CD41" s="90" t="s">
        <v>177</v>
      </c>
      <c r="CE41" s="92"/>
      <c r="CF41" s="90" t="s">
        <v>178</v>
      </c>
      <c r="CG41" s="91"/>
      <c r="CH41" s="91"/>
      <c r="CI41" s="91"/>
      <c r="CJ41" s="91"/>
      <c r="CK41" s="92"/>
      <c r="CL41" s="93"/>
      <c r="CM41" s="90" t="s">
        <v>19</v>
      </c>
      <c r="CN41" s="91"/>
      <c r="CO41" s="91"/>
      <c r="CP41" s="92"/>
      <c r="CQ41" s="90" t="s">
        <v>179</v>
      </c>
      <c r="CR41" s="91"/>
      <c r="CS41" s="91"/>
      <c r="CT41" s="91"/>
      <c r="CU41" s="92"/>
      <c r="CV41" s="90" t="s">
        <v>180</v>
      </c>
      <c r="CW41" s="92"/>
    </row>
    <row r="42" spans="1:101" s="25" customFormat="1" ht="127.5">
      <c r="A42" s="94" t="s">
        <v>181</v>
      </c>
      <c r="B42" s="95" t="s">
        <v>182</v>
      </c>
      <c r="C42" s="96" t="s">
        <v>10</v>
      </c>
      <c r="D42" s="96" t="s">
        <v>183</v>
      </c>
      <c r="E42" s="96" t="s">
        <v>184</v>
      </c>
      <c r="F42" s="96" t="s">
        <v>185</v>
      </c>
      <c r="G42" s="96" t="s">
        <v>186</v>
      </c>
      <c r="H42" s="96" t="s">
        <v>187</v>
      </c>
      <c r="I42" s="96" t="s">
        <v>188</v>
      </c>
      <c r="J42" s="96" t="s">
        <v>189</v>
      </c>
      <c r="K42" s="96" t="s">
        <v>190</v>
      </c>
      <c r="L42" s="96" t="s">
        <v>191</v>
      </c>
      <c r="M42" s="96" t="s">
        <v>192</v>
      </c>
      <c r="N42" s="96" t="s">
        <v>193</v>
      </c>
      <c r="O42" s="96" t="s">
        <v>194</v>
      </c>
      <c r="P42" s="96" t="s">
        <v>195</v>
      </c>
      <c r="Q42" s="96" t="s">
        <v>196</v>
      </c>
      <c r="R42" s="96" t="s">
        <v>197</v>
      </c>
      <c r="S42" s="96" t="s">
        <v>198</v>
      </c>
      <c r="T42" s="96" t="s">
        <v>199</v>
      </c>
      <c r="U42" s="96" t="s">
        <v>121</v>
      </c>
      <c r="V42" s="96" t="s">
        <v>197</v>
      </c>
      <c r="W42" s="96" t="s">
        <v>198</v>
      </c>
      <c r="X42" s="96" t="s">
        <v>199</v>
      </c>
      <c r="Y42" s="96" t="s">
        <v>121</v>
      </c>
      <c r="Z42" s="96" t="s">
        <v>197</v>
      </c>
      <c r="AA42" s="96" t="s">
        <v>198</v>
      </c>
      <c r="AB42" s="96" t="s">
        <v>199</v>
      </c>
      <c r="AC42" s="96" t="s">
        <v>121</v>
      </c>
      <c r="AD42" s="96" t="s">
        <v>197</v>
      </c>
      <c r="AE42" s="96" t="s">
        <v>198</v>
      </c>
      <c r="AF42" s="96" t="s">
        <v>199</v>
      </c>
      <c r="AG42" s="96" t="s">
        <v>121</v>
      </c>
      <c r="AH42" s="96" t="s">
        <v>197</v>
      </c>
      <c r="AI42" s="96" t="s">
        <v>198</v>
      </c>
      <c r="AJ42" s="96" t="s">
        <v>199</v>
      </c>
      <c r="AK42" s="96" t="s">
        <v>121</v>
      </c>
      <c r="AL42" s="96" t="s">
        <v>200</v>
      </c>
      <c r="AM42" s="96" t="s">
        <v>201</v>
      </c>
      <c r="AN42" s="96" t="s">
        <v>202</v>
      </c>
      <c r="AO42" s="96" t="s">
        <v>203</v>
      </c>
      <c r="AP42" s="96" t="s">
        <v>204</v>
      </c>
      <c r="AQ42" s="96" t="s">
        <v>205</v>
      </c>
      <c r="AR42" s="96" t="s">
        <v>206</v>
      </c>
      <c r="AS42" s="96" t="s">
        <v>207</v>
      </c>
      <c r="AT42" s="96" t="s">
        <v>208</v>
      </c>
      <c r="AU42" s="96" t="s">
        <v>209</v>
      </c>
      <c r="AV42" s="96" t="s">
        <v>210</v>
      </c>
      <c r="AW42" s="96" t="s">
        <v>211</v>
      </c>
      <c r="AX42" s="96" t="s">
        <v>212</v>
      </c>
      <c r="AY42" s="96" t="s">
        <v>213</v>
      </c>
      <c r="AZ42" s="96" t="s">
        <v>214</v>
      </c>
      <c r="BA42" s="96" t="s">
        <v>215</v>
      </c>
      <c r="BB42" s="96" t="s">
        <v>216</v>
      </c>
      <c r="BC42" s="96" t="s">
        <v>217</v>
      </c>
      <c r="BD42" s="96" t="s">
        <v>218</v>
      </c>
      <c r="BE42" s="96" t="s">
        <v>219</v>
      </c>
      <c r="BF42" s="96" t="s">
        <v>220</v>
      </c>
      <c r="BG42" s="96" t="s">
        <v>221</v>
      </c>
      <c r="BH42" s="96" t="s">
        <v>222</v>
      </c>
      <c r="BI42" s="96" t="s">
        <v>223</v>
      </c>
      <c r="BJ42" s="96" t="s">
        <v>224</v>
      </c>
      <c r="BK42" s="96" t="s">
        <v>225</v>
      </c>
      <c r="BL42" s="96" t="s">
        <v>226</v>
      </c>
      <c r="BM42" s="96" t="s">
        <v>227</v>
      </c>
      <c r="BN42" s="96" t="s">
        <v>228</v>
      </c>
      <c r="BO42" s="96" t="s">
        <v>229</v>
      </c>
      <c r="BP42" s="96" t="s">
        <v>230</v>
      </c>
      <c r="BQ42" s="96" t="s">
        <v>231</v>
      </c>
      <c r="BR42" s="96" t="s">
        <v>232</v>
      </c>
      <c r="BS42" s="96" t="s">
        <v>233</v>
      </c>
      <c r="BT42" s="96" t="s">
        <v>234</v>
      </c>
      <c r="BU42" s="96" t="s">
        <v>235</v>
      </c>
      <c r="BV42" s="96" t="s">
        <v>236</v>
      </c>
      <c r="BW42" s="96" t="s">
        <v>237</v>
      </c>
      <c r="BX42" s="96" t="s">
        <v>238</v>
      </c>
      <c r="BY42" s="96" t="s">
        <v>239</v>
      </c>
      <c r="BZ42" s="96" t="s">
        <v>240</v>
      </c>
      <c r="CA42" s="96" t="s">
        <v>241</v>
      </c>
      <c r="CB42" s="96" t="s">
        <v>242</v>
      </c>
      <c r="CC42" s="96" t="s">
        <v>243</v>
      </c>
      <c r="CD42" s="96" t="s">
        <v>244</v>
      </c>
      <c r="CE42" s="96" t="s">
        <v>82</v>
      </c>
      <c r="CF42" s="96" t="s">
        <v>245</v>
      </c>
      <c r="CG42" s="96" t="s">
        <v>246</v>
      </c>
      <c r="CH42" s="96" t="s">
        <v>247</v>
      </c>
      <c r="CI42" s="96" t="s">
        <v>945</v>
      </c>
      <c r="CJ42" s="96" t="s">
        <v>946</v>
      </c>
      <c r="CK42" s="96" t="s">
        <v>947</v>
      </c>
      <c r="CL42" s="96"/>
      <c r="CM42" s="96" t="s">
        <v>248</v>
      </c>
      <c r="CN42" s="96" t="s">
        <v>249</v>
      </c>
      <c r="CO42" s="96" t="s">
        <v>250</v>
      </c>
      <c r="CP42" s="96" t="s">
        <v>251</v>
      </c>
      <c r="CQ42" s="96" t="s">
        <v>252</v>
      </c>
      <c r="CR42" s="96" t="s">
        <v>253</v>
      </c>
      <c r="CS42" s="96" t="s">
        <v>254</v>
      </c>
      <c r="CT42" s="96" t="s">
        <v>255</v>
      </c>
      <c r="CU42" s="96" t="s">
        <v>256</v>
      </c>
      <c r="CV42" s="96" t="s">
        <v>257</v>
      </c>
      <c r="CW42" s="97" t="s">
        <v>258</v>
      </c>
    </row>
    <row r="43" spans="1:101" s="25" customFormat="1">
      <c r="A43" s="25" t="s">
        <v>396</v>
      </c>
      <c r="B43" s="25" t="s">
        <v>396</v>
      </c>
      <c r="C43" s="45">
        <v>8</v>
      </c>
      <c r="D43" s="45">
        <v>2448.9442495802118</v>
      </c>
      <c r="E43" s="45">
        <v>0</v>
      </c>
      <c r="F43" s="45">
        <v>761.70168289454261</v>
      </c>
      <c r="G43" s="45">
        <v>0</v>
      </c>
      <c r="H43" s="45">
        <v>0</v>
      </c>
      <c r="I43" s="45" t="s">
        <v>941</v>
      </c>
      <c r="J43" s="45"/>
      <c r="K43" s="45"/>
      <c r="L43" s="45">
        <v>2632.1775809500482</v>
      </c>
      <c r="M43" s="45">
        <v>0.45305170714601323</v>
      </c>
      <c r="N43" s="45">
        <v>0.44978178309196187</v>
      </c>
      <c r="O43" s="45">
        <v>0</v>
      </c>
      <c r="P43" s="45">
        <v>0</v>
      </c>
      <c r="Q43" s="45">
        <v>0</v>
      </c>
      <c r="R43" s="45">
        <v>151.89349076275735</v>
      </c>
      <c r="S43" s="45">
        <v>351.00275428320253</v>
      </c>
      <c r="T43" s="45">
        <v>0</v>
      </c>
      <c r="U43" s="45">
        <v>1218.7118271600932</v>
      </c>
      <c r="V43" s="45" t="s">
        <v>259</v>
      </c>
      <c r="W43" s="45" t="s">
        <v>259</v>
      </c>
      <c r="X43" s="45" t="s">
        <v>259</v>
      </c>
      <c r="Y43" s="45" t="s">
        <v>259</v>
      </c>
      <c r="Z43" s="45">
        <v>0</v>
      </c>
      <c r="AA43" s="45">
        <v>0</v>
      </c>
      <c r="AB43" s="45">
        <v>0</v>
      </c>
      <c r="AC43" s="45">
        <v>0</v>
      </c>
      <c r="AD43" s="45">
        <v>0</v>
      </c>
      <c r="AE43" s="45">
        <v>0</v>
      </c>
      <c r="AF43" s="45">
        <v>0</v>
      </c>
      <c r="AG43" s="45">
        <v>0</v>
      </c>
      <c r="AH43" s="45">
        <v>151.89349076275735</v>
      </c>
      <c r="AI43" s="45">
        <v>351.00275428320253</v>
      </c>
      <c r="AJ43" s="45">
        <v>0</v>
      </c>
      <c r="AK43" s="45">
        <v>1218.7118271600932</v>
      </c>
      <c r="AL43" s="45">
        <v>1721.6080722060531</v>
      </c>
      <c r="AM43" s="45">
        <v>1373.9022106353743</v>
      </c>
      <c r="AN43" s="45">
        <v>160.08513433273521</v>
      </c>
      <c r="AO43" s="45">
        <v>0</v>
      </c>
      <c r="AP43" s="45">
        <v>0</v>
      </c>
      <c r="AQ43" s="45">
        <v>1533.9873449681095</v>
      </c>
      <c r="AR43" s="45">
        <v>151.89349076275735</v>
      </c>
      <c r="AS43" s="98">
        <v>10.099098633291971</v>
      </c>
      <c r="AT43" s="45">
        <v>1373.9022106353743</v>
      </c>
      <c r="AU43" s="45">
        <v>189.49311770347813</v>
      </c>
      <c r="AV43" s="45">
        <v>0</v>
      </c>
      <c r="AW43" s="45">
        <v>0</v>
      </c>
      <c r="AX43" s="45">
        <v>1563.3953283388526</v>
      </c>
      <c r="AY43" s="45">
        <v>351.00275428320253</v>
      </c>
      <c r="AZ43" s="98">
        <v>4.4540827935425398</v>
      </c>
      <c r="BA43" s="45">
        <v>1373.9022106353743</v>
      </c>
      <c r="BB43" s="45">
        <v>349.57825203621337</v>
      </c>
      <c r="BC43" s="45">
        <v>0</v>
      </c>
      <c r="BD43" s="45">
        <v>0</v>
      </c>
      <c r="BE43" s="45">
        <v>1723.4804626715877</v>
      </c>
      <c r="BF43" s="45">
        <v>502.89624504595986</v>
      </c>
      <c r="BG43" s="45">
        <v>4.2859594140520567</v>
      </c>
      <c r="BH43" s="98">
        <v>3.4271094279379204</v>
      </c>
      <c r="BI43" s="45">
        <v>4.2461378725880135</v>
      </c>
      <c r="BJ43" s="45">
        <v>9.8121787896262003</v>
      </c>
      <c r="BK43" s="45">
        <v>0</v>
      </c>
      <c r="BL43" s="45">
        <v>34.068730786877268</v>
      </c>
      <c r="BM43" s="45">
        <v>48.127047449091478</v>
      </c>
      <c r="BN43" s="45">
        <v>1373.9022106353743</v>
      </c>
      <c r="BO43" s="45">
        <v>0</v>
      </c>
      <c r="BP43" s="45">
        <v>349.57825203621337</v>
      </c>
      <c r="BQ43" s="45">
        <v>0</v>
      </c>
      <c r="BR43" s="45">
        <v>0</v>
      </c>
      <c r="BS43" s="45">
        <v>0</v>
      </c>
      <c r="BT43" s="45">
        <v>0</v>
      </c>
      <c r="BU43" s="45">
        <v>0</v>
      </c>
      <c r="BV43" s="45">
        <v>0</v>
      </c>
      <c r="BW43" s="45">
        <v>0</v>
      </c>
      <c r="BX43" s="45">
        <v>1721.6080722060531</v>
      </c>
      <c r="BY43" s="45"/>
      <c r="BZ43" s="45">
        <v>0</v>
      </c>
      <c r="CA43" s="45">
        <v>0</v>
      </c>
      <c r="CB43" s="45">
        <v>1723.4804626715877</v>
      </c>
      <c r="CC43" s="45">
        <v>1721.6080722060531</v>
      </c>
      <c r="CD43" s="98">
        <v>1.0010875822992253</v>
      </c>
      <c r="CE43" s="45">
        <v>38.354690200929326</v>
      </c>
      <c r="CF43" s="45">
        <v>25.005955822714757</v>
      </c>
      <c r="CG43" s="45">
        <v>0</v>
      </c>
      <c r="CH43" s="45">
        <v>25.005955822714757</v>
      </c>
      <c r="CI43" s="45">
        <v>1.2502843509512727</v>
      </c>
      <c r="CJ43" s="45">
        <v>0</v>
      </c>
      <c r="CK43" s="45">
        <v>1.2502843509512727</v>
      </c>
      <c r="CL43" s="45"/>
      <c r="CM43" s="45">
        <v>0</v>
      </c>
      <c r="CN43" s="45"/>
      <c r="CO43" s="45">
        <v>0</v>
      </c>
      <c r="CP43" s="45">
        <v>0</v>
      </c>
      <c r="CQ43" s="45">
        <v>0</v>
      </c>
      <c r="CR43" s="45">
        <v>0</v>
      </c>
      <c r="CS43" s="45">
        <v>0</v>
      </c>
      <c r="CT43" s="45">
        <v>0</v>
      </c>
      <c r="CU43" s="45">
        <v>0</v>
      </c>
      <c r="CV43" s="45">
        <v>9999</v>
      </c>
      <c r="CW43" s="98">
        <v>9999</v>
      </c>
    </row>
    <row r="44" spans="1:101" s="25" customFormat="1">
      <c r="A44" s="25" t="s">
        <v>397</v>
      </c>
      <c r="B44" s="25" t="s">
        <v>397</v>
      </c>
      <c r="C44" s="45">
        <v>20</v>
      </c>
      <c r="D44" s="45">
        <v>642.62725257469287</v>
      </c>
      <c r="E44" s="45">
        <v>0</v>
      </c>
      <c r="F44" s="45">
        <v>667.18747511257516</v>
      </c>
      <c r="G44" s="45">
        <v>0</v>
      </c>
      <c r="H44" s="45">
        <v>0</v>
      </c>
      <c r="I44" s="45" t="s">
        <v>941</v>
      </c>
      <c r="J44" s="45"/>
      <c r="K44" s="45"/>
      <c r="L44" s="45">
        <v>690.70949549977809</v>
      </c>
      <c r="M44" s="45">
        <v>0.11888526000027295</v>
      </c>
      <c r="N44" s="45">
        <v>0.11802719950692236</v>
      </c>
      <c r="O44" s="45">
        <v>0</v>
      </c>
      <c r="P44" s="45">
        <v>0</v>
      </c>
      <c r="Q44" s="45">
        <v>0</v>
      </c>
      <c r="R44" s="45">
        <v>133.04609516278305</v>
      </c>
      <c r="S44" s="45">
        <v>307.44928972435042</v>
      </c>
      <c r="T44" s="45">
        <v>0</v>
      </c>
      <c r="U44" s="45">
        <v>273.00713790140253</v>
      </c>
      <c r="V44" s="45" t="s">
        <v>259</v>
      </c>
      <c r="W44" s="45" t="s">
        <v>259</v>
      </c>
      <c r="X44" s="45" t="s">
        <v>259</v>
      </c>
      <c r="Y44" s="45" t="s">
        <v>259</v>
      </c>
      <c r="Z44" s="45">
        <v>0</v>
      </c>
      <c r="AA44" s="45">
        <v>0</v>
      </c>
      <c r="AB44" s="45">
        <v>0</v>
      </c>
      <c r="AC44" s="45">
        <v>0</v>
      </c>
      <c r="AD44" s="45">
        <v>0</v>
      </c>
      <c r="AE44" s="45">
        <v>0</v>
      </c>
      <c r="AF44" s="45">
        <v>0</v>
      </c>
      <c r="AG44" s="45">
        <v>0</v>
      </c>
      <c r="AH44" s="45">
        <v>133.04609516278305</v>
      </c>
      <c r="AI44" s="45">
        <v>307.44928972435042</v>
      </c>
      <c r="AJ44" s="45">
        <v>0</v>
      </c>
      <c r="AK44" s="45">
        <v>273.00713790140253</v>
      </c>
      <c r="AL44" s="45">
        <v>713.502522788536</v>
      </c>
      <c r="AM44" s="45">
        <v>360.52556242480875</v>
      </c>
      <c r="AN44" s="45">
        <v>42.007926506261107</v>
      </c>
      <c r="AO44" s="45">
        <v>0</v>
      </c>
      <c r="AP44" s="45">
        <v>0</v>
      </c>
      <c r="AQ44" s="45">
        <v>402.53348893106988</v>
      </c>
      <c r="AR44" s="45">
        <v>133.04609516278305</v>
      </c>
      <c r="AS44" s="98">
        <v>3.0255190010542337</v>
      </c>
      <c r="AT44" s="45">
        <v>360.52556242480875</v>
      </c>
      <c r="AU44" s="45">
        <v>49.7248729253322</v>
      </c>
      <c r="AV44" s="45">
        <v>0</v>
      </c>
      <c r="AW44" s="45">
        <v>0</v>
      </c>
      <c r="AX44" s="45">
        <v>410.25043535014095</v>
      </c>
      <c r="AY44" s="45">
        <v>307.44928972435042</v>
      </c>
      <c r="AZ44" s="98">
        <v>1.3343678097872949</v>
      </c>
      <c r="BA44" s="45">
        <v>360.52556242480875</v>
      </c>
      <c r="BB44" s="45">
        <v>91.732799431593307</v>
      </c>
      <c r="BC44" s="45">
        <v>0</v>
      </c>
      <c r="BD44" s="45">
        <v>0</v>
      </c>
      <c r="BE44" s="45">
        <v>452.25836185640208</v>
      </c>
      <c r="BF44" s="45">
        <v>440.49538488713347</v>
      </c>
      <c r="BG44" s="45">
        <v>37.153914423006334</v>
      </c>
      <c r="BH44" s="98">
        <v>1.0267039732375007</v>
      </c>
      <c r="BI44" s="45">
        <v>14.1734906212391</v>
      </c>
      <c r="BJ44" s="45">
        <v>32.752781049929396</v>
      </c>
      <c r="BK44" s="45">
        <v>0</v>
      </c>
      <c r="BL44" s="45">
        <v>29.083635290780506</v>
      </c>
      <c r="BM44" s="45">
        <v>76.009906961949</v>
      </c>
      <c r="BN44" s="45">
        <v>360.52556242480875</v>
      </c>
      <c r="BO44" s="45">
        <v>0</v>
      </c>
      <c r="BP44" s="45">
        <v>91.732799431593307</v>
      </c>
      <c r="BQ44" s="45">
        <v>0</v>
      </c>
      <c r="BR44" s="45">
        <v>0</v>
      </c>
      <c r="BS44" s="45">
        <v>0</v>
      </c>
      <c r="BT44" s="45">
        <v>0</v>
      </c>
      <c r="BU44" s="45">
        <v>0</v>
      </c>
      <c r="BV44" s="45">
        <v>0</v>
      </c>
      <c r="BW44" s="45">
        <v>0</v>
      </c>
      <c r="BX44" s="45">
        <v>713.502522788536</v>
      </c>
      <c r="BY44" s="45"/>
      <c r="BZ44" s="45">
        <v>0</v>
      </c>
      <c r="CA44" s="45">
        <v>0</v>
      </c>
      <c r="CB44" s="45">
        <v>452.25836185640208</v>
      </c>
      <c r="CC44" s="45">
        <v>713.502522788536</v>
      </c>
      <c r="CD44" s="107">
        <v>0.63385671025922907</v>
      </c>
      <c r="CE44" s="45">
        <v>66.237549713786834</v>
      </c>
      <c r="CF44" s="45">
        <v>6.5618107440011819</v>
      </c>
      <c r="CG44" s="45">
        <v>0</v>
      </c>
      <c r="CH44" s="45">
        <v>6.5618107440011819</v>
      </c>
      <c r="CI44" s="45">
        <v>0.32808701036239452</v>
      </c>
      <c r="CJ44" s="45">
        <v>0</v>
      </c>
      <c r="CK44" s="45">
        <v>0.32808701036239452</v>
      </c>
      <c r="CL44" s="45"/>
      <c r="CM44" s="45">
        <v>0</v>
      </c>
      <c r="CN44" s="45"/>
      <c r="CO44" s="45">
        <v>0</v>
      </c>
      <c r="CP44" s="45">
        <v>0</v>
      </c>
      <c r="CQ44" s="45">
        <v>0</v>
      </c>
      <c r="CR44" s="45">
        <v>0</v>
      </c>
      <c r="CS44" s="45">
        <v>0</v>
      </c>
      <c r="CT44" s="45">
        <v>0</v>
      </c>
      <c r="CU44" s="45">
        <v>0</v>
      </c>
      <c r="CV44" s="45">
        <v>9999</v>
      </c>
      <c r="CW44" s="98">
        <v>9999</v>
      </c>
    </row>
    <row r="45" spans="1:101" s="25" customFormat="1">
      <c r="A45" s="25" t="s">
        <v>398</v>
      </c>
      <c r="B45" s="25" t="s">
        <v>398</v>
      </c>
      <c r="C45" s="45">
        <v>9</v>
      </c>
      <c r="D45" s="45">
        <v>41037.0667698299</v>
      </c>
      <c r="E45" s="45">
        <v>0</v>
      </c>
      <c r="F45" s="45">
        <v>815.68908279261188</v>
      </c>
      <c r="G45" s="45">
        <v>0</v>
      </c>
      <c r="H45" s="45">
        <v>0</v>
      </c>
      <c r="I45" s="45" t="s">
        <v>941</v>
      </c>
      <c r="J45" s="45"/>
      <c r="K45" s="45"/>
      <c r="L45" s="45">
        <v>44107.515782775496</v>
      </c>
      <c r="M45" s="45">
        <v>7.5918074327430354</v>
      </c>
      <c r="N45" s="45">
        <v>7.5370131711907851</v>
      </c>
      <c r="O45" s="45">
        <v>0</v>
      </c>
      <c r="P45" s="45">
        <v>0</v>
      </c>
      <c r="Q45" s="45">
        <v>0</v>
      </c>
      <c r="R45" s="45">
        <v>162.65929949323117</v>
      </c>
      <c r="S45" s="45">
        <v>375.88090078906311</v>
      </c>
      <c r="T45" s="45">
        <v>0</v>
      </c>
      <c r="U45" s="45">
        <v>1123.1961930802063</v>
      </c>
      <c r="V45" s="45" t="s">
        <v>259</v>
      </c>
      <c r="W45" s="45" t="s">
        <v>259</v>
      </c>
      <c r="X45" s="45" t="s">
        <v>259</v>
      </c>
      <c r="Y45" s="45" t="s">
        <v>259</v>
      </c>
      <c r="Z45" s="45">
        <v>0</v>
      </c>
      <c r="AA45" s="45">
        <v>0</v>
      </c>
      <c r="AB45" s="45">
        <v>0</v>
      </c>
      <c r="AC45" s="45">
        <v>0</v>
      </c>
      <c r="AD45" s="45">
        <v>0</v>
      </c>
      <c r="AE45" s="45">
        <v>0</v>
      </c>
      <c r="AF45" s="45">
        <v>0</v>
      </c>
      <c r="AG45" s="45">
        <v>0</v>
      </c>
      <c r="AH45" s="45">
        <v>162.65929949323117</v>
      </c>
      <c r="AI45" s="45">
        <v>375.88090078906311</v>
      </c>
      <c r="AJ45" s="45">
        <v>0</v>
      </c>
      <c r="AK45" s="45">
        <v>1123.1961930802063</v>
      </c>
      <c r="AL45" s="45">
        <v>1661.7363933625006</v>
      </c>
      <c r="AM45" s="45">
        <v>23022.539922142088</v>
      </c>
      <c r="AN45" s="45">
        <v>2682.5536545373589</v>
      </c>
      <c r="AO45" s="45">
        <v>0</v>
      </c>
      <c r="AP45" s="45">
        <v>0</v>
      </c>
      <c r="AQ45" s="45">
        <v>25705.093576679446</v>
      </c>
      <c r="AR45" s="45">
        <v>162.65929949323117</v>
      </c>
      <c r="AS45" s="98">
        <v>158.03027344126195</v>
      </c>
      <c r="AT45" s="45">
        <v>23022.539922142088</v>
      </c>
      <c r="AU45" s="45">
        <v>3175.3445285468802</v>
      </c>
      <c r="AV45" s="45">
        <v>0</v>
      </c>
      <c r="AW45" s="45">
        <v>0</v>
      </c>
      <c r="AX45" s="45">
        <v>26197.884450688969</v>
      </c>
      <c r="AY45" s="45">
        <v>375.88090078906311</v>
      </c>
      <c r="AZ45" s="98">
        <v>69.697301447595237</v>
      </c>
      <c r="BA45" s="45">
        <v>23022.539922142088</v>
      </c>
      <c r="BB45" s="45">
        <v>5857.8981830842386</v>
      </c>
      <c r="BC45" s="45">
        <v>0</v>
      </c>
      <c r="BD45" s="45">
        <v>0</v>
      </c>
      <c r="BE45" s="45">
        <v>28880.438105226327</v>
      </c>
      <c r="BF45" s="45">
        <v>538.54020028229434</v>
      </c>
      <c r="BG45" s="45">
        <v>-8.8739450420823882</v>
      </c>
      <c r="BH45" s="98">
        <v>53.627265132830665</v>
      </c>
      <c r="BI45" s="45">
        <v>0.27135411622103955</v>
      </c>
      <c r="BJ45" s="45">
        <v>0.62705808985872913</v>
      </c>
      <c r="BK45" s="45">
        <v>0</v>
      </c>
      <c r="BL45" s="45">
        <v>1.8737564422426316</v>
      </c>
      <c r="BM45" s="45">
        <v>2.7721686483224004</v>
      </c>
      <c r="BN45" s="45">
        <v>23022.539922142088</v>
      </c>
      <c r="BO45" s="45">
        <v>0</v>
      </c>
      <c r="BP45" s="45">
        <v>5857.8981830842386</v>
      </c>
      <c r="BQ45" s="45">
        <v>0</v>
      </c>
      <c r="BR45" s="45">
        <v>0</v>
      </c>
      <c r="BS45" s="45">
        <v>0</v>
      </c>
      <c r="BT45" s="45">
        <v>0</v>
      </c>
      <c r="BU45" s="45">
        <v>0</v>
      </c>
      <c r="BV45" s="45">
        <v>0</v>
      </c>
      <c r="BW45" s="45">
        <v>0</v>
      </c>
      <c r="BX45" s="45">
        <v>1661.7363933625006</v>
      </c>
      <c r="BY45" s="45"/>
      <c r="BZ45" s="45">
        <v>0</v>
      </c>
      <c r="CA45" s="45">
        <v>0</v>
      </c>
      <c r="CB45" s="45">
        <v>28880.438105226327</v>
      </c>
      <c r="CC45" s="45">
        <v>1661.7363933625006</v>
      </c>
      <c r="CD45" s="98">
        <v>17.379674791130476</v>
      </c>
      <c r="CE45" s="45">
        <v>-7.0001885998397562</v>
      </c>
      <c r="CF45" s="45">
        <v>419.02590429164133</v>
      </c>
      <c r="CG45" s="45">
        <v>0</v>
      </c>
      <c r="CH45" s="45">
        <v>419.02590429164133</v>
      </c>
      <c r="CI45" s="45">
        <v>20.951069996818351</v>
      </c>
      <c r="CJ45" s="45">
        <v>0</v>
      </c>
      <c r="CK45" s="45">
        <v>20.951069996818351</v>
      </c>
      <c r="CL45" s="45"/>
      <c r="CM45" s="45">
        <v>0</v>
      </c>
      <c r="CN45" s="45"/>
      <c r="CO45" s="45">
        <v>0</v>
      </c>
      <c r="CP45" s="45">
        <v>0</v>
      </c>
      <c r="CQ45" s="45">
        <v>0</v>
      </c>
      <c r="CR45" s="45">
        <v>0</v>
      </c>
      <c r="CS45" s="45">
        <v>0</v>
      </c>
      <c r="CT45" s="45">
        <v>0</v>
      </c>
      <c r="CU45" s="45">
        <v>0</v>
      </c>
      <c r="CV45" s="45">
        <v>9999</v>
      </c>
      <c r="CW45" s="98">
        <v>9999</v>
      </c>
    </row>
    <row r="46" spans="1:101" s="25" customFormat="1">
      <c r="A46" s="25" t="s">
        <v>398</v>
      </c>
      <c r="B46" s="25" t="s">
        <v>422</v>
      </c>
      <c r="C46" s="45">
        <v>9</v>
      </c>
      <c r="D46" s="45">
        <v>603.92108692928571</v>
      </c>
      <c r="E46" s="45">
        <v>0</v>
      </c>
      <c r="F46" s="45">
        <v>0</v>
      </c>
      <c r="G46" s="45">
        <v>0</v>
      </c>
      <c r="H46" s="45">
        <v>0</v>
      </c>
      <c r="I46" s="45" t="s">
        <v>941</v>
      </c>
      <c r="J46" s="45"/>
      <c r="K46" s="45"/>
      <c r="L46" s="45">
        <v>649.10728202601535</v>
      </c>
      <c r="M46" s="45">
        <v>0.11172466644011575</v>
      </c>
      <c r="N46" s="45">
        <v>0.11091828789996017</v>
      </c>
      <c r="O46" s="45">
        <v>0</v>
      </c>
      <c r="P46" s="45">
        <v>0</v>
      </c>
      <c r="Q46" s="45">
        <v>0</v>
      </c>
      <c r="R46" s="45">
        <v>0</v>
      </c>
      <c r="S46" s="45">
        <v>0</v>
      </c>
      <c r="T46" s="45">
        <v>0</v>
      </c>
      <c r="U46" s="45">
        <v>0</v>
      </c>
      <c r="V46" s="45" t="s">
        <v>259</v>
      </c>
      <c r="W46" s="45" t="s">
        <v>259</v>
      </c>
      <c r="X46" s="45" t="s">
        <v>259</v>
      </c>
      <c r="Y46" s="45" t="s">
        <v>259</v>
      </c>
      <c r="Z46" s="45">
        <v>0</v>
      </c>
      <c r="AA46" s="45">
        <v>0</v>
      </c>
      <c r="AB46" s="45">
        <v>0</v>
      </c>
      <c r="AC46" s="45">
        <v>0</v>
      </c>
      <c r="AD46" s="45">
        <v>0</v>
      </c>
      <c r="AE46" s="45">
        <v>0</v>
      </c>
      <c r="AF46" s="45">
        <v>0</v>
      </c>
      <c r="AG46" s="45">
        <v>0</v>
      </c>
      <c r="AH46" s="45">
        <v>0</v>
      </c>
      <c r="AI46" s="45">
        <v>0</v>
      </c>
      <c r="AJ46" s="45">
        <v>0</v>
      </c>
      <c r="AK46" s="45">
        <v>0</v>
      </c>
      <c r="AL46" s="45">
        <v>0</v>
      </c>
      <c r="AM46" s="45">
        <v>338.81070037576069</v>
      </c>
      <c r="AN46" s="45">
        <v>39.477741620299625</v>
      </c>
      <c r="AO46" s="45">
        <v>0</v>
      </c>
      <c r="AP46" s="45">
        <v>0</v>
      </c>
      <c r="AQ46" s="45">
        <v>378.28844199606033</v>
      </c>
      <c r="AR46" s="45">
        <v>0</v>
      </c>
      <c r="AS46" s="98">
        <v>9999</v>
      </c>
      <c r="AT46" s="45">
        <v>338.81070037576069</v>
      </c>
      <c r="AU46" s="45">
        <v>46.729887635751716</v>
      </c>
      <c r="AV46" s="45">
        <v>0</v>
      </c>
      <c r="AW46" s="45">
        <v>0</v>
      </c>
      <c r="AX46" s="45">
        <v>385.5405880115124</v>
      </c>
      <c r="AY46" s="45">
        <v>0</v>
      </c>
      <c r="AZ46" s="98">
        <v>9999</v>
      </c>
      <c r="BA46" s="45">
        <v>338.81070037576069</v>
      </c>
      <c r="BB46" s="45">
        <v>86.207629256051348</v>
      </c>
      <c r="BC46" s="45">
        <v>0</v>
      </c>
      <c r="BD46" s="45">
        <v>0</v>
      </c>
      <c r="BE46" s="45">
        <v>425.01832963181204</v>
      </c>
      <c r="BF46" s="45">
        <v>0</v>
      </c>
      <c r="BG46" s="45">
        <v>-9.7723572481621588</v>
      </c>
      <c r="BH46" s="98">
        <v>9999</v>
      </c>
      <c r="BI46" s="45">
        <v>0</v>
      </c>
      <c r="BJ46" s="45">
        <v>0</v>
      </c>
      <c r="BK46" s="45">
        <v>0</v>
      </c>
      <c r="BL46" s="45">
        <v>0</v>
      </c>
      <c r="BM46" s="45">
        <v>0</v>
      </c>
      <c r="BN46" s="45">
        <v>338.81070037576069</v>
      </c>
      <c r="BO46" s="45">
        <v>0</v>
      </c>
      <c r="BP46" s="45">
        <v>86.207629256051348</v>
      </c>
      <c r="BQ46" s="45">
        <v>0</v>
      </c>
      <c r="BR46" s="45">
        <v>0</v>
      </c>
      <c r="BS46" s="45">
        <v>0</v>
      </c>
      <c r="BT46" s="45">
        <v>0</v>
      </c>
      <c r="BU46" s="45">
        <v>0</v>
      </c>
      <c r="BV46" s="45">
        <v>22614.381230064009</v>
      </c>
      <c r="BW46" s="45">
        <v>0</v>
      </c>
      <c r="BX46" s="45">
        <v>0</v>
      </c>
      <c r="BY46" s="45"/>
      <c r="BZ46" s="45">
        <v>0</v>
      </c>
      <c r="CA46" s="45">
        <v>0</v>
      </c>
      <c r="CB46" s="45">
        <v>23039.399559695823</v>
      </c>
      <c r="CC46" s="45">
        <v>0</v>
      </c>
      <c r="CD46" s="98">
        <v>9999</v>
      </c>
      <c r="CE46" s="45">
        <v>-2573.3019918460827</v>
      </c>
      <c r="CF46" s="45">
        <v>6.1665854674920624</v>
      </c>
      <c r="CG46" s="45">
        <v>0</v>
      </c>
      <c r="CH46" s="45">
        <v>6.1665854674920624</v>
      </c>
      <c r="CI46" s="45">
        <v>0.30832595896235726</v>
      </c>
      <c r="CJ46" s="45">
        <v>0</v>
      </c>
      <c r="CK46" s="45">
        <v>0.30832595896235726</v>
      </c>
      <c r="CL46" s="45"/>
      <c r="CM46" s="45">
        <v>0</v>
      </c>
      <c r="CN46" s="45"/>
      <c r="CO46" s="45">
        <v>0</v>
      </c>
      <c r="CP46" s="45">
        <v>0</v>
      </c>
      <c r="CQ46" s="45">
        <v>0</v>
      </c>
      <c r="CR46" s="45">
        <v>0</v>
      </c>
      <c r="CS46" s="45">
        <v>0</v>
      </c>
      <c r="CT46" s="45">
        <v>0</v>
      </c>
      <c r="CU46" s="45">
        <v>0</v>
      </c>
      <c r="CV46" s="45">
        <v>9999</v>
      </c>
      <c r="CW46" s="98">
        <v>9999</v>
      </c>
    </row>
    <row r="47" spans="1:101" s="25" customFormat="1">
      <c r="A47" s="25" t="s">
        <v>399</v>
      </c>
      <c r="B47" s="25" t="s">
        <v>399</v>
      </c>
      <c r="C47" s="45">
        <v>10</v>
      </c>
      <c r="D47" s="45">
        <v>15157.338598650684</v>
      </c>
      <c r="E47" s="45">
        <v>0</v>
      </c>
      <c r="F47" s="45">
        <v>1040.2452032377576</v>
      </c>
      <c r="G47" s="45">
        <v>0</v>
      </c>
      <c r="H47" s="45">
        <v>0</v>
      </c>
      <c r="I47" s="45" t="s">
        <v>941</v>
      </c>
      <c r="J47" s="45"/>
      <c r="K47" s="45"/>
      <c r="L47" s="45">
        <v>16291.431237389786</v>
      </c>
      <c r="M47" s="45">
        <v>2.8040892025557445</v>
      </c>
      <c r="N47" s="45">
        <v>2.7838505441674921</v>
      </c>
      <c r="O47" s="45">
        <v>0</v>
      </c>
      <c r="P47" s="45">
        <v>0</v>
      </c>
      <c r="Q47" s="45">
        <v>0</v>
      </c>
      <c r="R47" s="45">
        <v>207.43878964341599</v>
      </c>
      <c r="S47" s="45">
        <v>479.35949160413594</v>
      </c>
      <c r="T47" s="45">
        <v>0</v>
      </c>
      <c r="U47" s="45">
        <v>1247.2589636135417</v>
      </c>
      <c r="V47" s="45" t="s">
        <v>259</v>
      </c>
      <c r="W47" s="45" t="s">
        <v>259</v>
      </c>
      <c r="X47" s="45" t="s">
        <v>259</v>
      </c>
      <c r="Y47" s="45" t="s">
        <v>259</v>
      </c>
      <c r="Z47" s="45">
        <v>0</v>
      </c>
      <c r="AA47" s="45">
        <v>0</v>
      </c>
      <c r="AB47" s="45">
        <v>0</v>
      </c>
      <c r="AC47" s="45">
        <v>0</v>
      </c>
      <c r="AD47" s="45">
        <v>0</v>
      </c>
      <c r="AE47" s="45">
        <v>0</v>
      </c>
      <c r="AF47" s="45">
        <v>0</v>
      </c>
      <c r="AG47" s="45">
        <v>0</v>
      </c>
      <c r="AH47" s="45">
        <v>207.43878964341599</v>
      </c>
      <c r="AI47" s="45">
        <v>479.35949160413594</v>
      </c>
      <c r="AJ47" s="45">
        <v>0</v>
      </c>
      <c r="AK47" s="45">
        <v>1247.2589636135417</v>
      </c>
      <c r="AL47" s="45">
        <v>1934.0572448610937</v>
      </c>
      <c r="AM47" s="45">
        <v>8503.5422964833651</v>
      </c>
      <c r="AN47" s="45">
        <v>990.82067144145174</v>
      </c>
      <c r="AO47" s="45">
        <v>0</v>
      </c>
      <c r="AP47" s="45">
        <v>0</v>
      </c>
      <c r="AQ47" s="45">
        <v>9494.362967924817</v>
      </c>
      <c r="AR47" s="45">
        <v>207.43878964341599</v>
      </c>
      <c r="AS47" s="98">
        <v>45.769467630646503</v>
      </c>
      <c r="AT47" s="45">
        <v>8503.5422964833651</v>
      </c>
      <c r="AU47" s="45">
        <v>1172.8365591164147</v>
      </c>
      <c r="AV47" s="45">
        <v>0</v>
      </c>
      <c r="AW47" s="45">
        <v>0</v>
      </c>
      <c r="AX47" s="45">
        <v>9676.3788555997799</v>
      </c>
      <c r="AY47" s="45">
        <v>479.35949160413594</v>
      </c>
      <c r="AZ47" s="98">
        <v>20.186058741047553</v>
      </c>
      <c r="BA47" s="45">
        <v>8503.5422964833651</v>
      </c>
      <c r="BB47" s="45">
        <v>2163.6572305578666</v>
      </c>
      <c r="BC47" s="45">
        <v>0</v>
      </c>
      <c r="BD47" s="45">
        <v>0</v>
      </c>
      <c r="BE47" s="45">
        <v>10667.199527041232</v>
      </c>
      <c r="BF47" s="45">
        <v>686.79828124755193</v>
      </c>
      <c r="BG47" s="45">
        <v>-6.6703695271014043</v>
      </c>
      <c r="BH47" s="98">
        <v>15.531779589873944</v>
      </c>
      <c r="BI47" s="45">
        <v>0.93691640750284044</v>
      </c>
      <c r="BJ47" s="45">
        <v>2.1650713135579172</v>
      </c>
      <c r="BK47" s="45">
        <v>0</v>
      </c>
      <c r="BL47" s="45">
        <v>5.6333600356195754</v>
      </c>
      <c r="BM47" s="45">
        <v>8.7353477566803335</v>
      </c>
      <c r="BN47" s="45">
        <v>8503.5422964833651</v>
      </c>
      <c r="BO47" s="45">
        <v>0</v>
      </c>
      <c r="BP47" s="45">
        <v>2163.6572305578666</v>
      </c>
      <c r="BQ47" s="45">
        <v>0</v>
      </c>
      <c r="BR47" s="45">
        <v>0</v>
      </c>
      <c r="BS47" s="45">
        <v>0</v>
      </c>
      <c r="BT47" s="45">
        <v>0</v>
      </c>
      <c r="BU47" s="45">
        <v>0</v>
      </c>
      <c r="BV47" s="45">
        <v>0</v>
      </c>
      <c r="BW47" s="45">
        <v>0</v>
      </c>
      <c r="BX47" s="45">
        <v>1934.0572448610937</v>
      </c>
      <c r="BY47" s="45"/>
      <c r="BZ47" s="45">
        <v>0</v>
      </c>
      <c r="CA47" s="45">
        <v>0</v>
      </c>
      <c r="CB47" s="45">
        <v>10667.199527041232</v>
      </c>
      <c r="CC47" s="45">
        <v>1934.0572448610937</v>
      </c>
      <c r="CD47" s="98">
        <v>5.515451807532906</v>
      </c>
      <c r="CE47" s="45">
        <v>-1.0370094914818284</v>
      </c>
      <c r="CF47" s="45">
        <v>154.77026047153146</v>
      </c>
      <c r="CG47" s="45">
        <v>0</v>
      </c>
      <c r="CH47" s="45">
        <v>154.77026047153146</v>
      </c>
      <c r="CI47" s="45">
        <v>7.7384298377601484</v>
      </c>
      <c r="CJ47" s="45">
        <v>0</v>
      </c>
      <c r="CK47" s="45">
        <v>7.7384298377601484</v>
      </c>
      <c r="CL47" s="45"/>
      <c r="CM47" s="45">
        <v>0</v>
      </c>
      <c r="CN47" s="45"/>
      <c r="CO47" s="45">
        <v>0</v>
      </c>
      <c r="CP47" s="45">
        <v>0</v>
      </c>
      <c r="CQ47" s="45">
        <v>0</v>
      </c>
      <c r="CR47" s="45">
        <v>0</v>
      </c>
      <c r="CS47" s="45">
        <v>0</v>
      </c>
      <c r="CT47" s="45">
        <v>0</v>
      </c>
      <c r="CU47" s="45">
        <v>0</v>
      </c>
      <c r="CV47" s="45">
        <v>9999</v>
      </c>
      <c r="CW47" s="98">
        <v>9999</v>
      </c>
    </row>
    <row r="48" spans="1:101" s="25" customFormat="1">
      <c r="A48" s="25" t="s">
        <v>399</v>
      </c>
      <c r="B48" s="25" t="s">
        <v>422</v>
      </c>
      <c r="C48" s="45">
        <v>10</v>
      </c>
      <c r="D48" s="45">
        <v>123.51946356998933</v>
      </c>
      <c r="E48" s="45">
        <v>0</v>
      </c>
      <c r="F48" s="45">
        <v>0</v>
      </c>
      <c r="G48" s="45">
        <v>0</v>
      </c>
      <c r="H48" s="45">
        <v>0</v>
      </c>
      <c r="I48" s="45" t="s">
        <v>941</v>
      </c>
      <c r="J48" s="45"/>
      <c r="K48" s="45"/>
      <c r="L48" s="45">
        <v>132.76135741988972</v>
      </c>
      <c r="M48" s="45">
        <v>2.2850950504788345E-2</v>
      </c>
      <c r="N48" s="45">
        <v>2.2686022591406788E-2</v>
      </c>
      <c r="O48" s="45">
        <v>0</v>
      </c>
      <c r="P48" s="45">
        <v>0</v>
      </c>
      <c r="Q48" s="45">
        <v>0</v>
      </c>
      <c r="R48" s="45">
        <v>0</v>
      </c>
      <c r="S48" s="45">
        <v>0</v>
      </c>
      <c r="T48" s="45">
        <v>0</v>
      </c>
      <c r="U48" s="45">
        <v>0</v>
      </c>
      <c r="V48" s="45" t="s">
        <v>259</v>
      </c>
      <c r="W48" s="45" t="s">
        <v>259</v>
      </c>
      <c r="X48" s="45" t="s">
        <v>259</v>
      </c>
      <c r="Y48" s="45" t="s">
        <v>259</v>
      </c>
      <c r="Z48" s="45">
        <v>0</v>
      </c>
      <c r="AA48" s="45">
        <v>0</v>
      </c>
      <c r="AB48" s="45">
        <v>0</v>
      </c>
      <c r="AC48" s="45">
        <v>0</v>
      </c>
      <c r="AD48" s="45">
        <v>0</v>
      </c>
      <c r="AE48" s="45">
        <v>0</v>
      </c>
      <c r="AF48" s="45">
        <v>0</v>
      </c>
      <c r="AG48" s="45">
        <v>0</v>
      </c>
      <c r="AH48" s="45">
        <v>0</v>
      </c>
      <c r="AI48" s="45">
        <v>0</v>
      </c>
      <c r="AJ48" s="45">
        <v>0</v>
      </c>
      <c r="AK48" s="45">
        <v>0</v>
      </c>
      <c r="AL48" s="45">
        <v>0</v>
      </c>
      <c r="AM48" s="45">
        <v>69.296662871926884</v>
      </c>
      <c r="AN48" s="45">
        <v>8.0743487409722192</v>
      </c>
      <c r="AO48" s="45">
        <v>0</v>
      </c>
      <c r="AP48" s="45">
        <v>0</v>
      </c>
      <c r="AQ48" s="45">
        <v>77.37101161289911</v>
      </c>
      <c r="AR48" s="45">
        <v>0</v>
      </c>
      <c r="AS48" s="98">
        <v>9999</v>
      </c>
      <c r="AT48" s="45">
        <v>69.296662871926884</v>
      </c>
      <c r="AU48" s="45">
        <v>9.557623965082362</v>
      </c>
      <c r="AV48" s="45">
        <v>0</v>
      </c>
      <c r="AW48" s="45">
        <v>0</v>
      </c>
      <c r="AX48" s="45">
        <v>78.854286837009241</v>
      </c>
      <c r="AY48" s="45">
        <v>0</v>
      </c>
      <c r="AZ48" s="98">
        <v>9999</v>
      </c>
      <c r="BA48" s="45">
        <v>69.296662871926884</v>
      </c>
      <c r="BB48" s="45">
        <v>17.631972706054583</v>
      </c>
      <c r="BC48" s="45">
        <v>0</v>
      </c>
      <c r="BD48" s="45">
        <v>0</v>
      </c>
      <c r="BE48" s="45">
        <v>86.928635577981453</v>
      </c>
      <c r="BF48" s="45">
        <v>0</v>
      </c>
      <c r="BG48" s="45">
        <v>-9.7723572481621535</v>
      </c>
      <c r="BH48" s="98">
        <v>9999</v>
      </c>
      <c r="BI48" s="45">
        <v>0</v>
      </c>
      <c r="BJ48" s="45">
        <v>0</v>
      </c>
      <c r="BK48" s="45">
        <v>0</v>
      </c>
      <c r="BL48" s="45">
        <v>0</v>
      </c>
      <c r="BM48" s="45">
        <v>0</v>
      </c>
      <c r="BN48" s="45">
        <v>69.296662871926884</v>
      </c>
      <c r="BO48" s="45">
        <v>0</v>
      </c>
      <c r="BP48" s="45">
        <v>17.631972706054583</v>
      </c>
      <c r="BQ48" s="45">
        <v>0</v>
      </c>
      <c r="BR48" s="45">
        <v>0</v>
      </c>
      <c r="BS48" s="45">
        <v>0</v>
      </c>
      <c r="BT48" s="45">
        <v>0</v>
      </c>
      <c r="BU48" s="45">
        <v>0</v>
      </c>
      <c r="BV48" s="45">
        <v>4625.3000581710385</v>
      </c>
      <c r="BW48" s="45">
        <v>0</v>
      </c>
      <c r="BX48" s="45">
        <v>0</v>
      </c>
      <c r="BY48" s="45"/>
      <c r="BZ48" s="45">
        <v>0</v>
      </c>
      <c r="CA48" s="45">
        <v>0</v>
      </c>
      <c r="CB48" s="45">
        <v>4712.2286937490198</v>
      </c>
      <c r="CC48" s="45">
        <v>0</v>
      </c>
      <c r="CD48" s="98">
        <v>9999</v>
      </c>
      <c r="CE48" s="45">
        <v>-2573.3019918460827</v>
      </c>
      <c r="CF48" s="45">
        <v>1.2612464533670122</v>
      </c>
      <c r="CG48" s="45">
        <v>0</v>
      </c>
      <c r="CH48" s="45">
        <v>1.2612464533670122</v>
      </c>
      <c r="CI48" s="45">
        <v>6.3061644774447617E-2</v>
      </c>
      <c r="CJ48" s="45">
        <v>0</v>
      </c>
      <c r="CK48" s="45">
        <v>6.3061644774447617E-2</v>
      </c>
      <c r="CL48" s="45"/>
      <c r="CM48" s="45">
        <v>0</v>
      </c>
      <c r="CN48" s="45"/>
      <c r="CO48" s="45">
        <v>0</v>
      </c>
      <c r="CP48" s="45">
        <v>0</v>
      </c>
      <c r="CQ48" s="45">
        <v>0</v>
      </c>
      <c r="CR48" s="45">
        <v>0</v>
      </c>
      <c r="CS48" s="45">
        <v>0</v>
      </c>
      <c r="CT48" s="45">
        <v>0</v>
      </c>
      <c r="CU48" s="45">
        <v>0</v>
      </c>
      <c r="CV48" s="45">
        <v>9999</v>
      </c>
      <c r="CW48" s="98">
        <v>9999</v>
      </c>
    </row>
    <row r="49" spans="1:101" s="25" customFormat="1">
      <c r="A49" s="25" t="s">
        <v>400</v>
      </c>
      <c r="B49" s="25" t="s">
        <v>400</v>
      </c>
      <c r="C49" s="45">
        <v>10</v>
      </c>
      <c r="D49" s="45">
        <v>1668.5350708261317</v>
      </c>
      <c r="E49" s="45">
        <v>0</v>
      </c>
      <c r="F49" s="45">
        <v>923.75718443129779</v>
      </c>
      <c r="G49" s="45">
        <v>0</v>
      </c>
      <c r="H49" s="45">
        <v>0</v>
      </c>
      <c r="I49" s="45" t="s">
        <v>941</v>
      </c>
      <c r="J49" s="45"/>
      <c r="K49" s="45"/>
      <c r="L49" s="45">
        <v>1793.3771286178865</v>
      </c>
      <c r="M49" s="45">
        <v>0.3086769584078331</v>
      </c>
      <c r="N49" s="45">
        <v>0.30644906654624504</v>
      </c>
      <c r="O49" s="45">
        <v>0</v>
      </c>
      <c r="P49" s="45">
        <v>0</v>
      </c>
      <c r="Q49" s="45">
        <v>0</v>
      </c>
      <c r="R49" s="45">
        <v>184.20952258795563</v>
      </c>
      <c r="S49" s="45">
        <v>425.6801885905416</v>
      </c>
      <c r="T49" s="45">
        <v>0</v>
      </c>
      <c r="U49" s="45">
        <v>1107.5892730850749</v>
      </c>
      <c r="V49" s="45" t="s">
        <v>259</v>
      </c>
      <c r="W49" s="45" t="s">
        <v>259</v>
      </c>
      <c r="X49" s="45" t="s">
        <v>259</v>
      </c>
      <c r="Y49" s="45" t="s">
        <v>259</v>
      </c>
      <c r="Z49" s="45">
        <v>0</v>
      </c>
      <c r="AA49" s="45">
        <v>0</v>
      </c>
      <c r="AB49" s="45">
        <v>0</v>
      </c>
      <c r="AC49" s="45">
        <v>0</v>
      </c>
      <c r="AD49" s="45">
        <v>0</v>
      </c>
      <c r="AE49" s="45">
        <v>0</v>
      </c>
      <c r="AF49" s="45">
        <v>0</v>
      </c>
      <c r="AG49" s="45">
        <v>0</v>
      </c>
      <c r="AH49" s="45">
        <v>184.20952258795563</v>
      </c>
      <c r="AI49" s="45">
        <v>425.6801885905416</v>
      </c>
      <c r="AJ49" s="45">
        <v>0</v>
      </c>
      <c r="AK49" s="45">
        <v>1107.5892730850749</v>
      </c>
      <c r="AL49" s="45">
        <v>1717.4789842635721</v>
      </c>
      <c r="AM49" s="45">
        <v>936.07848472811406</v>
      </c>
      <c r="AN49" s="45">
        <v>109.07053559829617</v>
      </c>
      <c r="AO49" s="45">
        <v>0</v>
      </c>
      <c r="AP49" s="45">
        <v>0</v>
      </c>
      <c r="AQ49" s="45">
        <v>1045.1490203264102</v>
      </c>
      <c r="AR49" s="45">
        <v>184.20952258795563</v>
      </c>
      <c r="AS49" s="98">
        <v>5.673697025230477</v>
      </c>
      <c r="AT49" s="45">
        <v>936.07848472811406</v>
      </c>
      <c r="AU49" s="45">
        <v>129.10702749669986</v>
      </c>
      <c r="AV49" s="45">
        <v>0</v>
      </c>
      <c r="AW49" s="45">
        <v>0</v>
      </c>
      <c r="AX49" s="45">
        <v>1065.1855122248139</v>
      </c>
      <c r="AY49" s="45">
        <v>425.6801885905416</v>
      </c>
      <c r="AZ49" s="98">
        <v>2.5023140394475991</v>
      </c>
      <c r="BA49" s="45">
        <v>936.07848472811406</v>
      </c>
      <c r="BB49" s="45">
        <v>238.17756309499603</v>
      </c>
      <c r="BC49" s="45">
        <v>0</v>
      </c>
      <c r="BD49" s="45">
        <v>0</v>
      </c>
      <c r="BE49" s="45">
        <v>1174.2560478231101</v>
      </c>
      <c r="BF49" s="45">
        <v>609.88971117849724</v>
      </c>
      <c r="BG49" s="45">
        <v>15.251243053086917</v>
      </c>
      <c r="BH49" s="98">
        <v>1.9253580217873834</v>
      </c>
      <c r="BI49" s="45">
        <v>7.5580639916317933</v>
      </c>
      <c r="BJ49" s="45">
        <v>17.465536309617278</v>
      </c>
      <c r="BK49" s="45">
        <v>0</v>
      </c>
      <c r="BL49" s="45">
        <v>45.444070886318464</v>
      </c>
      <c r="BM49" s="45">
        <v>70.467671187567532</v>
      </c>
      <c r="BN49" s="45">
        <v>936.07848472811406</v>
      </c>
      <c r="BO49" s="45">
        <v>0</v>
      </c>
      <c r="BP49" s="45">
        <v>238.17756309499603</v>
      </c>
      <c r="BQ49" s="45">
        <v>0</v>
      </c>
      <c r="BR49" s="45">
        <v>0</v>
      </c>
      <c r="BS49" s="45">
        <v>0</v>
      </c>
      <c r="BT49" s="45">
        <v>0</v>
      </c>
      <c r="BU49" s="45">
        <v>0</v>
      </c>
      <c r="BV49" s="45">
        <v>0</v>
      </c>
      <c r="BW49" s="45">
        <v>0</v>
      </c>
      <c r="BX49" s="45">
        <v>1717.4789842635721</v>
      </c>
      <c r="BY49" s="45"/>
      <c r="BZ49" s="45">
        <v>0</v>
      </c>
      <c r="CA49" s="45">
        <v>0</v>
      </c>
      <c r="CB49" s="45">
        <v>1174.2560478231101</v>
      </c>
      <c r="CC49" s="45">
        <v>1717.4789842635721</v>
      </c>
      <c r="CD49" s="107">
        <v>0.6837091216732486</v>
      </c>
      <c r="CE49" s="45">
        <v>60.695313939405366</v>
      </c>
      <c r="CF49" s="45">
        <v>17.037265865435891</v>
      </c>
      <c r="CG49" s="45">
        <v>0</v>
      </c>
      <c r="CH49" s="45">
        <v>17.037265865435891</v>
      </c>
      <c r="CI49" s="45">
        <v>0.85185413609349592</v>
      </c>
      <c r="CJ49" s="45">
        <v>0</v>
      </c>
      <c r="CK49" s="45">
        <v>0.85185413609349592</v>
      </c>
      <c r="CL49" s="45"/>
      <c r="CM49" s="45">
        <v>0</v>
      </c>
      <c r="CN49" s="45"/>
      <c r="CO49" s="45">
        <v>0</v>
      </c>
      <c r="CP49" s="45">
        <v>0</v>
      </c>
      <c r="CQ49" s="45">
        <v>0</v>
      </c>
      <c r="CR49" s="45">
        <v>0</v>
      </c>
      <c r="CS49" s="45">
        <v>0</v>
      </c>
      <c r="CT49" s="45">
        <v>0</v>
      </c>
      <c r="CU49" s="45">
        <v>0</v>
      </c>
      <c r="CV49" s="45">
        <v>9999</v>
      </c>
      <c r="CW49" s="98">
        <v>9999</v>
      </c>
    </row>
    <row r="50" spans="1:101" s="25" customFormat="1">
      <c r="C50" s="45"/>
      <c r="D50" s="45"/>
      <c r="E50" s="45"/>
      <c r="F50" s="45"/>
      <c r="G50" s="45"/>
      <c r="H50" s="45"/>
      <c r="I50" s="45"/>
      <c r="J50" s="45"/>
      <c r="K50" s="45"/>
      <c r="L50" s="45"/>
      <c r="M50" s="45"/>
      <c r="N50" s="45"/>
      <c r="O50" s="45"/>
      <c r="P50" s="45"/>
      <c r="Q50" s="45"/>
      <c r="R50" s="45"/>
      <c r="S50" s="45"/>
      <c r="T50" s="45"/>
      <c r="U50" s="45"/>
      <c r="V50" s="45"/>
      <c r="W50" s="45"/>
      <c r="X50" s="45"/>
      <c r="Y50" s="45"/>
      <c r="Z50" s="45"/>
      <c r="AA50" s="45"/>
      <c r="AB50" s="45"/>
      <c r="AC50" s="45"/>
      <c r="AD50" s="45"/>
      <c r="AE50" s="45"/>
      <c r="AF50" s="45"/>
      <c r="AG50" s="45"/>
      <c r="AH50" s="45"/>
      <c r="AI50" s="45"/>
      <c r="AJ50" s="45"/>
      <c r="AK50" s="45"/>
      <c r="AL50" s="45"/>
      <c r="AM50" s="45"/>
      <c r="AN50" s="45"/>
      <c r="AO50" s="45"/>
      <c r="AP50" s="45"/>
      <c r="AQ50" s="45"/>
      <c r="AR50" s="45"/>
      <c r="AS50" s="45"/>
      <c r="AT50" s="45"/>
      <c r="AU50" s="45"/>
      <c r="AV50" s="45"/>
      <c r="AW50" s="45"/>
      <c r="AX50" s="45"/>
      <c r="AY50" s="45"/>
      <c r="AZ50" s="45"/>
      <c r="BA50" s="45"/>
      <c r="BB50" s="45"/>
      <c r="BC50" s="45"/>
      <c r="BD50" s="45"/>
      <c r="BE50" s="45"/>
      <c r="BF50" s="45"/>
      <c r="BG50" s="45"/>
      <c r="BH50" s="45"/>
      <c r="BI50" s="45"/>
      <c r="BJ50" s="45"/>
      <c r="BK50" s="45"/>
      <c r="BL50" s="45"/>
      <c r="BM50" s="45"/>
      <c r="BN50" s="45"/>
      <c r="BO50" s="45"/>
      <c r="BP50" s="45"/>
      <c r="BQ50" s="45"/>
      <c r="BR50" s="45"/>
      <c r="BS50" s="45"/>
      <c r="BT50" s="45"/>
      <c r="BU50" s="45"/>
      <c r="BV50" s="45"/>
      <c r="BW50" s="45"/>
      <c r="BX50" s="45"/>
      <c r="BY50" s="45"/>
      <c r="BZ50" s="45"/>
      <c r="CA50" s="45"/>
      <c r="CB50" s="45"/>
      <c r="CC50" s="45"/>
      <c r="CD50" s="45"/>
      <c r="CE50" s="45"/>
      <c r="CF50" s="45"/>
      <c r="CG50" s="45"/>
      <c r="CH50" s="45"/>
      <c r="CI50" s="45"/>
      <c r="CJ50" s="45"/>
      <c r="CK50" s="45"/>
      <c r="CL50" s="45"/>
      <c r="CM50" s="45"/>
      <c r="CN50" s="45"/>
      <c r="CO50" s="45"/>
      <c r="CP50" s="45"/>
      <c r="CQ50" s="45"/>
      <c r="CR50" s="45"/>
      <c r="CS50" s="45"/>
      <c r="CT50" s="45"/>
      <c r="CU50" s="45"/>
      <c r="CV50" s="45"/>
      <c r="CW50" s="45"/>
    </row>
    <row r="51" spans="1:101" s="25" customFormat="1">
      <c r="C51" s="45"/>
      <c r="D51" s="45"/>
      <c r="E51" s="45"/>
      <c r="F51" s="45"/>
      <c r="G51" s="45"/>
      <c r="H51" s="45"/>
      <c r="I51" s="45"/>
      <c r="J51" s="45"/>
      <c r="K51" s="45"/>
      <c r="L51" s="45"/>
      <c r="M51" s="45"/>
      <c r="N51" s="45"/>
      <c r="O51" s="45"/>
      <c r="P51" s="45"/>
      <c r="Q51" s="45"/>
      <c r="R51" s="45"/>
      <c r="S51" s="45"/>
      <c r="T51" s="45"/>
      <c r="U51" s="45"/>
      <c r="V51" s="45"/>
      <c r="W51" s="45"/>
      <c r="X51" s="45"/>
      <c r="Y51" s="45"/>
      <c r="Z51" s="45"/>
      <c r="AA51" s="45"/>
      <c r="AB51" s="45"/>
      <c r="AC51" s="45"/>
      <c r="AD51" s="45"/>
      <c r="AE51" s="45"/>
      <c r="AF51" s="45"/>
      <c r="AG51" s="45"/>
      <c r="AH51" s="45"/>
      <c r="AI51" s="45"/>
      <c r="AJ51" s="45"/>
      <c r="AK51" s="45"/>
      <c r="AL51" s="45"/>
      <c r="AM51" s="45"/>
      <c r="AN51" s="45"/>
      <c r="AO51" s="45"/>
      <c r="AP51" s="45"/>
      <c r="AQ51" s="45"/>
      <c r="AR51" s="45"/>
      <c r="AS51" s="45"/>
      <c r="AT51" s="45"/>
      <c r="AU51" s="45"/>
      <c r="AV51" s="45"/>
      <c r="AW51" s="45"/>
      <c r="AX51" s="45"/>
      <c r="AY51" s="45"/>
      <c r="AZ51" s="45"/>
      <c r="BA51" s="45"/>
      <c r="BB51" s="45"/>
      <c r="BC51" s="45"/>
      <c r="BD51" s="45"/>
      <c r="BE51" s="45"/>
      <c r="BF51" s="45"/>
      <c r="BG51" s="45"/>
      <c r="BH51" s="45"/>
      <c r="BI51" s="45"/>
      <c r="BJ51" s="45"/>
      <c r="BK51" s="45"/>
      <c r="BL51" s="45"/>
      <c r="BM51" s="45"/>
      <c r="BN51" s="45"/>
      <c r="BO51" s="45"/>
      <c r="BP51" s="45"/>
      <c r="BQ51" s="45"/>
      <c r="BR51" s="45"/>
      <c r="BS51" s="45"/>
      <c r="BT51" s="45"/>
      <c r="BU51" s="45"/>
      <c r="BV51" s="45"/>
      <c r="BW51" s="45"/>
      <c r="BX51" s="45"/>
      <c r="BY51" s="45"/>
      <c r="BZ51" s="45"/>
      <c r="CA51" s="45"/>
      <c r="CB51" s="45"/>
      <c r="CC51" s="45"/>
      <c r="CD51" s="45"/>
      <c r="CE51" s="45"/>
      <c r="CF51" s="45"/>
      <c r="CG51" s="45"/>
      <c r="CH51" s="45"/>
      <c r="CI51" s="45"/>
      <c r="CJ51" s="45"/>
      <c r="CK51" s="45"/>
      <c r="CL51" s="45"/>
      <c r="CM51" s="45"/>
      <c r="CN51" s="45"/>
      <c r="CO51" s="45"/>
      <c r="CP51" s="45"/>
      <c r="CQ51" s="45"/>
      <c r="CR51" s="45"/>
      <c r="CS51" s="45"/>
      <c r="CT51" s="45"/>
      <c r="CU51" s="45"/>
      <c r="CV51" s="45"/>
      <c r="CW51" s="45"/>
    </row>
    <row r="52" spans="1:101" s="25" customFormat="1" ht="13.5" thickBot="1">
      <c r="A52" s="76" t="s">
        <v>260</v>
      </c>
      <c r="B52" s="78"/>
      <c r="C52" s="45"/>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5"/>
      <c r="AD52" s="45"/>
      <c r="AE52" s="45"/>
      <c r="AF52" s="45"/>
      <c r="AG52" s="45"/>
      <c r="AH52" s="45"/>
      <c r="AI52" s="45"/>
      <c r="AJ52" s="45"/>
      <c r="AK52" s="45"/>
      <c r="AL52" s="45"/>
      <c r="AM52" s="45"/>
      <c r="AN52" s="45"/>
      <c r="AO52" s="45"/>
      <c r="AP52" s="45"/>
      <c r="AQ52" s="45"/>
      <c r="AR52" s="45"/>
      <c r="AS52" s="45"/>
      <c r="AT52" s="45"/>
      <c r="AU52" s="45"/>
      <c r="AV52" s="45"/>
      <c r="AW52" s="45"/>
      <c r="AX52" s="45"/>
      <c r="AY52" s="45"/>
      <c r="AZ52" s="45"/>
      <c r="BA52" s="45"/>
      <c r="BB52" s="45"/>
      <c r="BC52" s="45"/>
      <c r="BD52" s="45"/>
      <c r="BE52" s="45"/>
      <c r="BF52" s="45"/>
      <c r="BG52" s="45"/>
      <c r="BH52" s="45"/>
      <c r="BI52" s="45"/>
      <c r="BJ52" s="45"/>
      <c r="BK52" s="45"/>
      <c r="BL52" s="45"/>
      <c r="BM52" s="45"/>
      <c r="BN52" s="45"/>
      <c r="BO52" s="45"/>
      <c r="BP52" s="45"/>
      <c r="BQ52" s="45"/>
      <c r="BR52" s="45"/>
      <c r="BS52" s="45"/>
      <c r="BT52" s="45"/>
      <c r="BU52" s="45"/>
      <c r="BV52" s="45"/>
      <c r="BW52" s="45"/>
      <c r="BX52" s="45"/>
      <c r="BY52" s="45"/>
      <c r="BZ52" s="45"/>
      <c r="CA52" s="45"/>
      <c r="CB52" s="45"/>
      <c r="CC52" s="45"/>
      <c r="CD52" s="45"/>
      <c r="CE52" s="45"/>
      <c r="CF52" s="45"/>
      <c r="CG52" s="45"/>
      <c r="CH52" s="45"/>
      <c r="CI52" s="45"/>
      <c r="CJ52" s="45"/>
      <c r="CK52" s="45"/>
      <c r="CL52" s="45"/>
      <c r="CM52" s="45"/>
      <c r="CN52" s="45"/>
      <c r="CO52" s="45"/>
      <c r="CP52" s="45"/>
      <c r="CQ52" s="45"/>
      <c r="CR52" s="45"/>
      <c r="CS52" s="45"/>
      <c r="CT52" s="45"/>
      <c r="CU52" s="45"/>
      <c r="CV52" s="45"/>
      <c r="CW52" s="45"/>
    </row>
    <row r="53" spans="1:101" s="25" customFormat="1" ht="26.25" thickBot="1">
      <c r="A53" s="88" t="s">
        <v>163</v>
      </c>
      <c r="B53" s="89"/>
      <c r="C53" s="90" t="s">
        <v>164</v>
      </c>
      <c r="D53" s="91"/>
      <c r="E53" s="91"/>
      <c r="F53" s="91"/>
      <c r="G53" s="91"/>
      <c r="H53" s="91"/>
      <c r="I53" s="91"/>
      <c r="J53" s="91"/>
      <c r="K53" s="92"/>
      <c r="L53" s="90" t="s">
        <v>165</v>
      </c>
      <c r="M53" s="91"/>
      <c r="N53" s="91"/>
      <c r="O53" s="91"/>
      <c r="P53" s="91"/>
      <c r="Q53" s="92"/>
      <c r="R53" s="90" t="s">
        <v>166</v>
      </c>
      <c r="S53" s="91"/>
      <c r="T53" s="91"/>
      <c r="U53" s="92"/>
      <c r="V53" s="90" t="s">
        <v>167</v>
      </c>
      <c r="W53" s="91"/>
      <c r="X53" s="91"/>
      <c r="Y53" s="92"/>
      <c r="Z53" s="90" t="s">
        <v>168</v>
      </c>
      <c r="AA53" s="91"/>
      <c r="AB53" s="91"/>
      <c r="AC53" s="92"/>
      <c r="AD53" s="90" t="s">
        <v>169</v>
      </c>
      <c r="AE53" s="91"/>
      <c r="AF53" s="91"/>
      <c r="AG53" s="92"/>
      <c r="AH53" s="90" t="s">
        <v>170</v>
      </c>
      <c r="AI53" s="91"/>
      <c r="AJ53" s="91"/>
      <c r="AK53" s="91"/>
      <c r="AL53" s="92"/>
      <c r="AM53" s="90" t="s">
        <v>171</v>
      </c>
      <c r="AN53" s="91"/>
      <c r="AO53" s="91"/>
      <c r="AP53" s="91"/>
      <c r="AQ53" s="91"/>
      <c r="AR53" s="91"/>
      <c r="AS53" s="92"/>
      <c r="AT53" s="90" t="s">
        <v>172</v>
      </c>
      <c r="AU53" s="91"/>
      <c r="AV53" s="91"/>
      <c r="AW53" s="91"/>
      <c r="AX53" s="91"/>
      <c r="AY53" s="91"/>
      <c r="AZ53" s="92"/>
      <c r="BA53" s="90" t="s">
        <v>173</v>
      </c>
      <c r="BB53" s="91"/>
      <c r="BC53" s="91"/>
      <c r="BD53" s="91"/>
      <c r="BE53" s="91"/>
      <c r="BF53" s="92"/>
      <c r="BG53" s="90" t="s">
        <v>174</v>
      </c>
      <c r="BH53" s="92"/>
      <c r="BI53" s="90" t="s">
        <v>175</v>
      </c>
      <c r="BJ53" s="91"/>
      <c r="BK53" s="91"/>
      <c r="BL53" s="91"/>
      <c r="BM53" s="92"/>
      <c r="BN53" s="90" t="s">
        <v>176</v>
      </c>
      <c r="BO53" s="91"/>
      <c r="BP53" s="91"/>
      <c r="BQ53" s="91"/>
      <c r="BR53" s="91"/>
      <c r="BS53" s="91"/>
      <c r="BT53" s="91"/>
      <c r="BU53" s="91"/>
      <c r="BV53" s="91"/>
      <c r="BW53" s="91"/>
      <c r="BX53" s="91"/>
      <c r="BY53" s="91"/>
      <c r="BZ53" s="91"/>
      <c r="CA53" s="91"/>
      <c r="CB53" s="91"/>
      <c r="CC53" s="92"/>
      <c r="CD53" s="90" t="s">
        <v>177</v>
      </c>
      <c r="CE53" s="92"/>
      <c r="CF53" s="90" t="s">
        <v>178</v>
      </c>
      <c r="CG53" s="91"/>
      <c r="CH53" s="91"/>
      <c r="CI53" s="91"/>
      <c r="CJ53" s="91"/>
      <c r="CK53" s="92"/>
      <c r="CL53" s="93"/>
      <c r="CM53" s="90" t="s">
        <v>19</v>
      </c>
      <c r="CN53" s="91"/>
      <c r="CO53" s="91"/>
      <c r="CP53" s="92"/>
      <c r="CQ53" s="90" t="s">
        <v>179</v>
      </c>
      <c r="CR53" s="91"/>
      <c r="CS53" s="91"/>
      <c r="CT53" s="91"/>
      <c r="CU53" s="92"/>
      <c r="CV53" s="90" t="s">
        <v>180</v>
      </c>
      <c r="CW53" s="92"/>
    </row>
    <row r="54" spans="1:101" s="25" customFormat="1" ht="127.5">
      <c r="A54" s="94" t="s">
        <v>181</v>
      </c>
      <c r="B54" s="95" t="s">
        <v>182</v>
      </c>
      <c r="C54" s="96" t="s">
        <v>10</v>
      </c>
      <c r="D54" s="96" t="s">
        <v>183</v>
      </c>
      <c r="E54" s="96" t="s">
        <v>184</v>
      </c>
      <c r="F54" s="96" t="s">
        <v>185</v>
      </c>
      <c r="G54" s="96" t="s">
        <v>186</v>
      </c>
      <c r="H54" s="96" t="s">
        <v>187</v>
      </c>
      <c r="I54" s="96" t="s">
        <v>188</v>
      </c>
      <c r="J54" s="96" t="s">
        <v>189</v>
      </c>
      <c r="K54" s="96" t="s">
        <v>190</v>
      </c>
      <c r="L54" s="96" t="s">
        <v>191</v>
      </c>
      <c r="M54" s="96" t="s">
        <v>192</v>
      </c>
      <c r="N54" s="96" t="s">
        <v>193</v>
      </c>
      <c r="O54" s="96" t="s">
        <v>194</v>
      </c>
      <c r="P54" s="96" t="s">
        <v>195</v>
      </c>
      <c r="Q54" s="96" t="s">
        <v>196</v>
      </c>
      <c r="R54" s="96" t="s">
        <v>197</v>
      </c>
      <c r="S54" s="96" t="s">
        <v>198</v>
      </c>
      <c r="T54" s="96" t="s">
        <v>199</v>
      </c>
      <c r="U54" s="96" t="s">
        <v>121</v>
      </c>
      <c r="V54" s="96" t="s">
        <v>197</v>
      </c>
      <c r="W54" s="96" t="s">
        <v>198</v>
      </c>
      <c r="X54" s="96" t="s">
        <v>199</v>
      </c>
      <c r="Y54" s="96" t="s">
        <v>121</v>
      </c>
      <c r="Z54" s="96" t="s">
        <v>197</v>
      </c>
      <c r="AA54" s="96" t="s">
        <v>198</v>
      </c>
      <c r="AB54" s="96" t="s">
        <v>199</v>
      </c>
      <c r="AC54" s="96" t="s">
        <v>121</v>
      </c>
      <c r="AD54" s="96" t="s">
        <v>197</v>
      </c>
      <c r="AE54" s="96" t="s">
        <v>198</v>
      </c>
      <c r="AF54" s="96" t="s">
        <v>199</v>
      </c>
      <c r="AG54" s="96" t="s">
        <v>121</v>
      </c>
      <c r="AH54" s="96" t="s">
        <v>197</v>
      </c>
      <c r="AI54" s="96" t="s">
        <v>198</v>
      </c>
      <c r="AJ54" s="96" t="s">
        <v>199</v>
      </c>
      <c r="AK54" s="96" t="s">
        <v>121</v>
      </c>
      <c r="AL54" s="96" t="s">
        <v>200</v>
      </c>
      <c r="AM54" s="96" t="s">
        <v>201</v>
      </c>
      <c r="AN54" s="96" t="s">
        <v>202</v>
      </c>
      <c r="AO54" s="96" t="s">
        <v>203</v>
      </c>
      <c r="AP54" s="96" t="s">
        <v>204</v>
      </c>
      <c r="AQ54" s="96" t="s">
        <v>205</v>
      </c>
      <c r="AR54" s="96" t="s">
        <v>206</v>
      </c>
      <c r="AS54" s="96" t="s">
        <v>207</v>
      </c>
      <c r="AT54" s="96" t="s">
        <v>208</v>
      </c>
      <c r="AU54" s="96" t="s">
        <v>209</v>
      </c>
      <c r="AV54" s="96" t="s">
        <v>210</v>
      </c>
      <c r="AW54" s="96" t="s">
        <v>211</v>
      </c>
      <c r="AX54" s="96" t="s">
        <v>212</v>
      </c>
      <c r="AY54" s="96" t="s">
        <v>213</v>
      </c>
      <c r="AZ54" s="96" t="s">
        <v>214</v>
      </c>
      <c r="BA54" s="96" t="s">
        <v>215</v>
      </c>
      <c r="BB54" s="96" t="s">
        <v>216</v>
      </c>
      <c r="BC54" s="96" t="s">
        <v>217</v>
      </c>
      <c r="BD54" s="96" t="s">
        <v>218</v>
      </c>
      <c r="BE54" s="96" t="s">
        <v>219</v>
      </c>
      <c r="BF54" s="96" t="s">
        <v>220</v>
      </c>
      <c r="BG54" s="96" t="s">
        <v>221</v>
      </c>
      <c r="BH54" s="96" t="s">
        <v>222</v>
      </c>
      <c r="BI54" s="96" t="s">
        <v>223</v>
      </c>
      <c r="BJ54" s="96" t="s">
        <v>224</v>
      </c>
      <c r="BK54" s="96" t="s">
        <v>225</v>
      </c>
      <c r="BL54" s="96" t="s">
        <v>226</v>
      </c>
      <c r="BM54" s="96" t="s">
        <v>227</v>
      </c>
      <c r="BN54" s="96" t="s">
        <v>228</v>
      </c>
      <c r="BO54" s="96" t="s">
        <v>229</v>
      </c>
      <c r="BP54" s="96" t="s">
        <v>230</v>
      </c>
      <c r="BQ54" s="96" t="s">
        <v>231</v>
      </c>
      <c r="BR54" s="96" t="s">
        <v>232</v>
      </c>
      <c r="BS54" s="96" t="s">
        <v>233</v>
      </c>
      <c r="BT54" s="96" t="s">
        <v>234</v>
      </c>
      <c r="BU54" s="96" t="s">
        <v>235</v>
      </c>
      <c r="BV54" s="96" t="s">
        <v>236</v>
      </c>
      <c r="BW54" s="96" t="s">
        <v>237</v>
      </c>
      <c r="BX54" s="96" t="s">
        <v>238</v>
      </c>
      <c r="BY54" s="96" t="s">
        <v>239</v>
      </c>
      <c r="BZ54" s="96" t="s">
        <v>240</v>
      </c>
      <c r="CA54" s="96" t="s">
        <v>241</v>
      </c>
      <c r="CB54" s="96" t="s">
        <v>242</v>
      </c>
      <c r="CC54" s="96" t="s">
        <v>243</v>
      </c>
      <c r="CD54" s="96" t="s">
        <v>244</v>
      </c>
      <c r="CE54" s="96" t="s">
        <v>82</v>
      </c>
      <c r="CF54" s="96" t="s">
        <v>245</v>
      </c>
      <c r="CG54" s="96" t="s">
        <v>246</v>
      </c>
      <c r="CH54" s="96" t="s">
        <v>247</v>
      </c>
      <c r="CI54" s="96" t="s">
        <v>945</v>
      </c>
      <c r="CJ54" s="96" t="s">
        <v>946</v>
      </c>
      <c r="CK54" s="96" t="s">
        <v>947</v>
      </c>
      <c r="CL54" s="96"/>
      <c r="CM54" s="96" t="s">
        <v>248</v>
      </c>
      <c r="CN54" s="96" t="s">
        <v>249</v>
      </c>
      <c r="CO54" s="96" t="s">
        <v>250</v>
      </c>
      <c r="CP54" s="96" t="s">
        <v>251</v>
      </c>
      <c r="CQ54" s="96" t="s">
        <v>252</v>
      </c>
      <c r="CR54" s="96" t="s">
        <v>253</v>
      </c>
      <c r="CS54" s="96" t="s">
        <v>254</v>
      </c>
      <c r="CT54" s="96" t="s">
        <v>255</v>
      </c>
      <c r="CU54" s="96" t="s">
        <v>256</v>
      </c>
      <c r="CV54" s="96" t="s">
        <v>257</v>
      </c>
      <c r="CW54" s="96" t="s">
        <v>258</v>
      </c>
    </row>
    <row r="55" spans="1:101" s="25" customFormat="1">
      <c r="A55" s="25" t="s">
        <v>398</v>
      </c>
      <c r="C55" s="45">
        <v>9</v>
      </c>
      <c r="D55" s="45">
        <v>41640.987856759188</v>
      </c>
      <c r="E55" s="45">
        <v>0</v>
      </c>
      <c r="F55" s="45">
        <v>815.68908279261188</v>
      </c>
      <c r="G55" s="45">
        <v>0</v>
      </c>
      <c r="H55" s="45">
        <v>0</v>
      </c>
      <c r="I55" s="45"/>
      <c r="J55" s="45"/>
      <c r="K55" s="45"/>
      <c r="L55" s="45">
        <v>44756.623064801512</v>
      </c>
      <c r="M55" s="45">
        <v>7.7035320991831515</v>
      </c>
      <c r="N55" s="45">
        <v>7.6479314590907457</v>
      </c>
      <c r="O55" s="45">
        <v>0</v>
      </c>
      <c r="P55" s="45">
        <v>0</v>
      </c>
      <c r="Q55" s="45">
        <v>0</v>
      </c>
      <c r="R55" s="45">
        <v>162.65929949323117</v>
      </c>
      <c r="S55" s="45">
        <v>375.88090078906311</v>
      </c>
      <c r="T55" s="45">
        <v>0</v>
      </c>
      <c r="U55" s="45">
        <v>1123.1961930802063</v>
      </c>
      <c r="V55" s="45">
        <v>48.941344967556716</v>
      </c>
      <c r="W55" s="45">
        <v>114.19647159096566</v>
      </c>
      <c r="X55" s="45">
        <v>0</v>
      </c>
      <c r="Y55" s="45">
        <v>0</v>
      </c>
      <c r="Z55" s="45">
        <v>0</v>
      </c>
      <c r="AA55" s="45">
        <v>0</v>
      </c>
      <c r="AB55" s="45">
        <v>0</v>
      </c>
      <c r="AC55" s="45">
        <v>0</v>
      </c>
      <c r="AD55" s="45">
        <v>0</v>
      </c>
      <c r="AE55" s="45">
        <v>0</v>
      </c>
      <c r="AF55" s="45">
        <v>0</v>
      </c>
      <c r="AG55" s="45">
        <v>0</v>
      </c>
      <c r="AH55" s="45">
        <v>211.60064446078789</v>
      </c>
      <c r="AI55" s="45">
        <v>490.07737238002875</v>
      </c>
      <c r="AJ55" s="45">
        <v>0</v>
      </c>
      <c r="AK55" s="45">
        <v>1123.1961930802063</v>
      </c>
      <c r="AL55" s="45">
        <v>1824.8742099210231</v>
      </c>
      <c r="AM55" s="45">
        <v>23361.35062251785</v>
      </c>
      <c r="AN55" s="45">
        <v>2722.0313961576585</v>
      </c>
      <c r="AO55" s="45">
        <v>0</v>
      </c>
      <c r="AP55" s="45">
        <v>0</v>
      </c>
      <c r="AQ55" s="45">
        <v>26083.382018675507</v>
      </c>
      <c r="AR55" s="45">
        <v>211.60064446078789</v>
      </c>
      <c r="AS55" s="98">
        <v>123.2670254154593</v>
      </c>
      <c r="AT55" s="45">
        <v>23361.35062251785</v>
      </c>
      <c r="AU55" s="45">
        <v>3222.0744161826319</v>
      </c>
      <c r="AV55" s="45">
        <v>0</v>
      </c>
      <c r="AW55" s="45">
        <v>0</v>
      </c>
      <c r="AX55" s="45">
        <v>26583.425038700483</v>
      </c>
      <c r="AY55" s="45">
        <v>490.07737238002875</v>
      </c>
      <c r="AZ55" s="98">
        <v>54.243322660664411</v>
      </c>
      <c r="BA55" s="45">
        <v>23361.35062251785</v>
      </c>
      <c r="BB55" s="45">
        <v>5944.10581234029</v>
      </c>
      <c r="BC55" s="45">
        <v>0</v>
      </c>
      <c r="BD55" s="45">
        <v>0</v>
      </c>
      <c r="BE55" s="45">
        <v>29305.456434858141</v>
      </c>
      <c r="BF55" s="45">
        <v>701.67801684081678</v>
      </c>
      <c r="BG55" s="45">
        <v>-8.6187693965605323</v>
      </c>
      <c r="BH55" s="98">
        <v>41.764820518107236</v>
      </c>
      <c r="BI55" s="45">
        <v>0.34788026271659256</v>
      </c>
      <c r="BJ55" s="45">
        <v>0.80570758888503891</v>
      </c>
      <c r="BK55" s="45">
        <v>0</v>
      </c>
      <c r="BL55" s="45">
        <v>1.8465812697627542</v>
      </c>
      <c r="BM55" s="45">
        <v>3.0001691213643857</v>
      </c>
      <c r="BN55" s="45">
        <v>23361.35062251785</v>
      </c>
      <c r="BO55" s="45">
        <v>0</v>
      </c>
      <c r="BP55" s="45">
        <v>5944.10581234029</v>
      </c>
      <c r="BQ55" s="45">
        <v>0</v>
      </c>
      <c r="BR55" s="45">
        <v>0</v>
      </c>
      <c r="BS55" s="45">
        <v>0</v>
      </c>
      <c r="BT55" s="45">
        <v>0</v>
      </c>
      <c r="BU55" s="45">
        <v>0</v>
      </c>
      <c r="BV55" s="45">
        <v>22614.381230064009</v>
      </c>
      <c r="BW55" s="45">
        <v>0</v>
      </c>
      <c r="BX55" s="45">
        <v>1661.7363933625006</v>
      </c>
      <c r="BY55" s="45">
        <v>163.13781655852239</v>
      </c>
      <c r="BZ55" s="45">
        <v>0</v>
      </c>
      <c r="CA55" s="45">
        <v>0</v>
      </c>
      <c r="CB55" s="45">
        <v>51919.837664922146</v>
      </c>
      <c r="CC55" s="45">
        <v>1824.8742099210231</v>
      </c>
      <c r="CD55" s="98">
        <v>28.451187146301518</v>
      </c>
      <c r="CE55" s="45">
        <v>-43.951171695279832</v>
      </c>
      <c r="CF55" s="45">
        <v>425.19248975913337</v>
      </c>
      <c r="CG55" s="45">
        <v>0</v>
      </c>
      <c r="CH55" s="45">
        <v>425.19248975913337</v>
      </c>
      <c r="CI55" s="45">
        <v>21.259395955780708</v>
      </c>
      <c r="CJ55" s="45">
        <v>0</v>
      </c>
      <c r="CK55" s="45">
        <v>21.259395955780708</v>
      </c>
      <c r="CL55" s="45"/>
      <c r="CM55" s="45">
        <v>0</v>
      </c>
      <c r="CN55" s="45"/>
      <c r="CO55" s="45">
        <v>0</v>
      </c>
      <c r="CP55" s="45">
        <v>0</v>
      </c>
      <c r="CQ55" s="45">
        <v>0</v>
      </c>
      <c r="CR55" s="45">
        <v>0</v>
      </c>
      <c r="CS55" s="45">
        <v>0</v>
      </c>
      <c r="CT55" s="45">
        <v>0</v>
      </c>
      <c r="CU55" s="45">
        <v>0</v>
      </c>
      <c r="CV55" s="45">
        <v>9999</v>
      </c>
      <c r="CW55" s="98">
        <v>9999</v>
      </c>
    </row>
    <row r="56" spans="1:101" s="25" customFormat="1">
      <c r="A56" s="25" t="s">
        <v>399</v>
      </c>
      <c r="C56" s="45">
        <v>9.9999999999999982</v>
      </c>
      <c r="D56" s="45">
        <v>15280.858062220674</v>
      </c>
      <c r="E56" s="45">
        <v>0</v>
      </c>
      <c r="F56" s="45">
        <v>1040.2452032377576</v>
      </c>
      <c r="G56" s="45">
        <v>0</v>
      </c>
      <c r="H56" s="45">
        <v>0</v>
      </c>
      <c r="I56" s="45"/>
      <c r="J56" s="45"/>
      <c r="K56" s="45"/>
      <c r="L56" s="45">
        <v>16424.192594809676</v>
      </c>
      <c r="M56" s="45">
        <v>2.8269401530605327</v>
      </c>
      <c r="N56" s="45">
        <v>2.8065365667588988</v>
      </c>
      <c r="O56" s="45">
        <v>0</v>
      </c>
      <c r="P56" s="45">
        <v>0</v>
      </c>
      <c r="Q56" s="45">
        <v>0</v>
      </c>
      <c r="R56" s="45">
        <v>207.43878964341599</v>
      </c>
      <c r="S56" s="45">
        <v>479.35949160413594</v>
      </c>
      <c r="T56" s="45">
        <v>0</v>
      </c>
      <c r="U56" s="45">
        <v>1247.2589636135417</v>
      </c>
      <c r="V56" s="45">
        <v>62.414712194265455</v>
      </c>
      <c r="W56" s="45">
        <v>145.63432845328606</v>
      </c>
      <c r="X56" s="45">
        <v>0</v>
      </c>
      <c r="Y56" s="45">
        <v>0</v>
      </c>
      <c r="Z56" s="45">
        <v>0</v>
      </c>
      <c r="AA56" s="45">
        <v>0</v>
      </c>
      <c r="AB56" s="45">
        <v>0</v>
      </c>
      <c r="AC56" s="45">
        <v>0</v>
      </c>
      <c r="AD56" s="45">
        <v>0</v>
      </c>
      <c r="AE56" s="45">
        <v>0</v>
      </c>
      <c r="AF56" s="45">
        <v>0</v>
      </c>
      <c r="AG56" s="45">
        <v>0</v>
      </c>
      <c r="AH56" s="45">
        <v>269.85350183768145</v>
      </c>
      <c r="AI56" s="45">
        <v>624.993820057422</v>
      </c>
      <c r="AJ56" s="45">
        <v>0</v>
      </c>
      <c r="AK56" s="45">
        <v>1247.2589636135417</v>
      </c>
      <c r="AL56" s="45">
        <v>2142.1062855086452</v>
      </c>
      <c r="AM56" s="45">
        <v>8572.8389593552929</v>
      </c>
      <c r="AN56" s="45">
        <v>998.89502018242399</v>
      </c>
      <c r="AO56" s="45">
        <v>0</v>
      </c>
      <c r="AP56" s="45">
        <v>0</v>
      </c>
      <c r="AQ56" s="45">
        <v>9571.7339795377175</v>
      </c>
      <c r="AR56" s="45">
        <v>269.85350183768145</v>
      </c>
      <c r="AS56" s="98">
        <v>35.470112169584425</v>
      </c>
      <c r="AT56" s="45">
        <v>8572.8389593552929</v>
      </c>
      <c r="AU56" s="45">
        <v>1182.394183081497</v>
      </c>
      <c r="AV56" s="45">
        <v>0</v>
      </c>
      <c r="AW56" s="45">
        <v>0</v>
      </c>
      <c r="AX56" s="45">
        <v>9755.2331424367894</v>
      </c>
      <c r="AY56" s="45">
        <v>624.993820057422</v>
      </c>
      <c r="AZ56" s="98">
        <v>15.608527363583397</v>
      </c>
      <c r="BA56" s="45">
        <v>8572.8389593552929</v>
      </c>
      <c r="BB56" s="45">
        <v>2181.2892032639211</v>
      </c>
      <c r="BC56" s="45">
        <v>0</v>
      </c>
      <c r="BD56" s="45">
        <v>0</v>
      </c>
      <c r="BE56" s="45">
        <v>10754.128162619214</v>
      </c>
      <c r="BF56" s="45">
        <v>894.84732189510351</v>
      </c>
      <c r="BG56" s="45">
        <v>-5.7633667396889638</v>
      </c>
      <c r="BH56" s="98">
        <v>12.017835779900611</v>
      </c>
      <c r="BI56" s="45">
        <v>1.2089661566560896</v>
      </c>
      <c r="BJ56" s="45">
        <v>2.8000243518171022</v>
      </c>
      <c r="BK56" s="45">
        <v>0</v>
      </c>
      <c r="BL56" s="45">
        <v>5.5878240057145101</v>
      </c>
      <c r="BM56" s="45">
        <v>9.5968145141877024</v>
      </c>
      <c r="BN56" s="45">
        <v>8572.8389593552929</v>
      </c>
      <c r="BO56" s="45">
        <v>0</v>
      </c>
      <c r="BP56" s="45">
        <v>2181.2892032639211</v>
      </c>
      <c r="BQ56" s="45">
        <v>0</v>
      </c>
      <c r="BR56" s="45">
        <v>0</v>
      </c>
      <c r="BS56" s="45">
        <v>0</v>
      </c>
      <c r="BT56" s="45">
        <v>0</v>
      </c>
      <c r="BU56" s="45">
        <v>0</v>
      </c>
      <c r="BV56" s="45">
        <v>4625.3000581710385</v>
      </c>
      <c r="BW56" s="45">
        <v>0</v>
      </c>
      <c r="BX56" s="45">
        <v>1934.0572448610937</v>
      </c>
      <c r="BY56" s="45">
        <v>208.04904064755152</v>
      </c>
      <c r="BZ56" s="45">
        <v>0</v>
      </c>
      <c r="CA56" s="45">
        <v>0</v>
      </c>
      <c r="CB56" s="45">
        <v>15379.428220790252</v>
      </c>
      <c r="CC56" s="45">
        <v>2142.1062855086452</v>
      </c>
      <c r="CD56" s="98">
        <v>7.1795822293376039</v>
      </c>
      <c r="CE56" s="45">
        <v>-20.897272104274599</v>
      </c>
      <c r="CF56" s="45">
        <v>156.03150692489848</v>
      </c>
      <c r="CG56" s="45">
        <v>0</v>
      </c>
      <c r="CH56" s="45">
        <v>156.03150692489848</v>
      </c>
      <c r="CI56" s="45">
        <v>7.8014914825345958</v>
      </c>
      <c r="CJ56" s="45">
        <v>0</v>
      </c>
      <c r="CK56" s="45">
        <v>7.8014914825345958</v>
      </c>
      <c r="CL56" s="45"/>
      <c r="CM56" s="45">
        <v>0</v>
      </c>
      <c r="CN56" s="45"/>
      <c r="CO56" s="45">
        <v>0</v>
      </c>
      <c r="CP56" s="45">
        <v>0</v>
      </c>
      <c r="CQ56" s="45">
        <v>0</v>
      </c>
      <c r="CR56" s="45">
        <v>0</v>
      </c>
      <c r="CS56" s="45">
        <v>0</v>
      </c>
      <c r="CT56" s="45">
        <v>0</v>
      </c>
      <c r="CU56" s="45">
        <v>0</v>
      </c>
      <c r="CV56" s="45">
        <v>9999</v>
      </c>
      <c r="CW56" s="98">
        <v>9999</v>
      </c>
    </row>
    <row r="57" spans="1:101" s="25" customFormat="1">
      <c r="A57" s="25" t="s">
        <v>396</v>
      </c>
      <c r="C57" s="45">
        <v>8</v>
      </c>
      <c r="D57" s="45">
        <v>2448.9442495802118</v>
      </c>
      <c r="E57" s="45">
        <v>0</v>
      </c>
      <c r="F57" s="45">
        <v>761.70168289454261</v>
      </c>
      <c r="G57" s="45">
        <v>0</v>
      </c>
      <c r="H57" s="45">
        <v>0</v>
      </c>
      <c r="I57" s="45"/>
      <c r="J57" s="45"/>
      <c r="K57" s="45"/>
      <c r="L57" s="45">
        <v>2632.1775809500482</v>
      </c>
      <c r="M57" s="45">
        <v>0.45305170714601323</v>
      </c>
      <c r="N57" s="45">
        <v>0.44978178309196187</v>
      </c>
      <c r="O57" s="45">
        <v>0</v>
      </c>
      <c r="P57" s="45">
        <v>0</v>
      </c>
      <c r="Q57" s="45">
        <v>0</v>
      </c>
      <c r="R57" s="45">
        <v>151.89349076275735</v>
      </c>
      <c r="S57" s="45">
        <v>351.00275428320253</v>
      </c>
      <c r="T57" s="45">
        <v>0</v>
      </c>
      <c r="U57" s="45">
        <v>1218.7118271600932</v>
      </c>
      <c r="V57" s="45">
        <v>45.702100973672557</v>
      </c>
      <c r="W57" s="45">
        <v>106.63823560523596</v>
      </c>
      <c r="X57" s="45">
        <v>0</v>
      </c>
      <c r="Y57" s="45">
        <v>0</v>
      </c>
      <c r="Z57" s="45">
        <v>0</v>
      </c>
      <c r="AA57" s="45">
        <v>0</v>
      </c>
      <c r="AB57" s="45">
        <v>0</v>
      </c>
      <c r="AC57" s="45">
        <v>0</v>
      </c>
      <c r="AD57" s="45">
        <v>0</v>
      </c>
      <c r="AE57" s="45">
        <v>0</v>
      </c>
      <c r="AF57" s="45">
        <v>0</v>
      </c>
      <c r="AG57" s="45">
        <v>0</v>
      </c>
      <c r="AH57" s="45">
        <v>197.59559173642992</v>
      </c>
      <c r="AI57" s="45">
        <v>457.64098988843853</v>
      </c>
      <c r="AJ57" s="45">
        <v>0</v>
      </c>
      <c r="AK57" s="45">
        <v>1218.7118271600932</v>
      </c>
      <c r="AL57" s="45">
        <v>1873.9484087849617</v>
      </c>
      <c r="AM57" s="45">
        <v>1373.9022106353743</v>
      </c>
      <c r="AN57" s="45">
        <v>160.08513433273521</v>
      </c>
      <c r="AO57" s="45">
        <v>0</v>
      </c>
      <c r="AP57" s="45">
        <v>0</v>
      </c>
      <c r="AQ57" s="45">
        <v>1533.9873449681095</v>
      </c>
      <c r="AR57" s="45">
        <v>197.59559173642992</v>
      </c>
      <c r="AS57" s="98">
        <v>7.7632670419807459</v>
      </c>
      <c r="AT57" s="45">
        <v>1373.9022106353743</v>
      </c>
      <c r="AU57" s="45">
        <v>189.49311770347813</v>
      </c>
      <c r="AV57" s="45">
        <v>0</v>
      </c>
      <c r="AW57" s="45">
        <v>0</v>
      </c>
      <c r="AX57" s="45">
        <v>1563.3953283388526</v>
      </c>
      <c r="AY57" s="45">
        <v>457.64098988843853</v>
      </c>
      <c r="AZ57" s="98">
        <v>3.4162047606792596</v>
      </c>
      <c r="BA57" s="45">
        <v>1373.9022106353743</v>
      </c>
      <c r="BB57" s="45">
        <v>349.57825203621337</v>
      </c>
      <c r="BC57" s="45">
        <v>0</v>
      </c>
      <c r="BD57" s="45">
        <v>0</v>
      </c>
      <c r="BE57" s="45">
        <v>1723.4804626715877</v>
      </c>
      <c r="BF57" s="45">
        <v>655.23658162486845</v>
      </c>
      <c r="BG57" s="45">
        <v>8.5445887300432037</v>
      </c>
      <c r="BH57" s="98">
        <v>2.6303178287110698</v>
      </c>
      <c r="BI57" s="45">
        <v>5.5237266673853576</v>
      </c>
      <c r="BJ57" s="45">
        <v>12.793219310820005</v>
      </c>
      <c r="BK57" s="45">
        <v>0</v>
      </c>
      <c r="BL57" s="45">
        <v>34.068730786877268</v>
      </c>
      <c r="BM57" s="45">
        <v>52.385676765082628</v>
      </c>
      <c r="BN57" s="45">
        <v>1373.9022106353743</v>
      </c>
      <c r="BO57" s="45">
        <v>0</v>
      </c>
      <c r="BP57" s="45">
        <v>349.57825203621337</v>
      </c>
      <c r="BQ57" s="45">
        <v>0</v>
      </c>
      <c r="BR57" s="45">
        <v>0</v>
      </c>
      <c r="BS57" s="45">
        <v>0</v>
      </c>
      <c r="BT57" s="45">
        <v>0</v>
      </c>
      <c r="BU57" s="45">
        <v>0</v>
      </c>
      <c r="BV57" s="45">
        <v>0</v>
      </c>
      <c r="BW57" s="45">
        <v>0</v>
      </c>
      <c r="BX57" s="45">
        <v>1721.6080722060531</v>
      </c>
      <c r="BY57" s="45">
        <v>152.34033657890853</v>
      </c>
      <c r="BZ57" s="45">
        <v>0</v>
      </c>
      <c r="CA57" s="45">
        <v>0</v>
      </c>
      <c r="CB57" s="45">
        <v>1723.4804626715877</v>
      </c>
      <c r="CC57" s="45">
        <v>1873.9484087849617</v>
      </c>
      <c r="CD57" s="107">
        <v>0.9197053956192236</v>
      </c>
      <c r="CE57" s="45">
        <v>42.613319516920477</v>
      </c>
      <c r="CF57" s="45">
        <v>25.005955822714757</v>
      </c>
      <c r="CG57" s="45">
        <v>0</v>
      </c>
      <c r="CH57" s="45">
        <v>25.005955822714757</v>
      </c>
      <c r="CI57" s="45">
        <v>1.2502843509512727</v>
      </c>
      <c r="CJ57" s="45">
        <v>0</v>
      </c>
      <c r="CK57" s="45">
        <v>1.2502843509512727</v>
      </c>
      <c r="CL57" s="45"/>
      <c r="CM57" s="45">
        <v>0</v>
      </c>
      <c r="CN57" s="45"/>
      <c r="CO57" s="45">
        <v>0</v>
      </c>
      <c r="CP57" s="45">
        <v>0</v>
      </c>
      <c r="CQ57" s="45">
        <v>0</v>
      </c>
      <c r="CR57" s="45">
        <v>0</v>
      </c>
      <c r="CS57" s="45">
        <v>0</v>
      </c>
      <c r="CT57" s="45">
        <v>0</v>
      </c>
      <c r="CU57" s="45">
        <v>0</v>
      </c>
      <c r="CV57" s="45">
        <v>9999</v>
      </c>
      <c r="CW57" s="98">
        <v>9999</v>
      </c>
    </row>
    <row r="58" spans="1:101" s="25" customFormat="1">
      <c r="A58" s="25" t="s">
        <v>400</v>
      </c>
      <c r="C58" s="45">
        <v>10</v>
      </c>
      <c r="D58" s="45">
        <v>1668.5350708261317</v>
      </c>
      <c r="E58" s="45">
        <v>0</v>
      </c>
      <c r="F58" s="45">
        <v>923.75718443129779</v>
      </c>
      <c r="G58" s="45">
        <v>0</v>
      </c>
      <c r="H58" s="45">
        <v>0</v>
      </c>
      <c r="I58" s="45"/>
      <c r="J58" s="45"/>
      <c r="K58" s="45"/>
      <c r="L58" s="45">
        <v>1793.3771286178865</v>
      </c>
      <c r="M58" s="45">
        <v>0.3086769584078331</v>
      </c>
      <c r="N58" s="45">
        <v>0.30644906654624504</v>
      </c>
      <c r="O58" s="45">
        <v>0</v>
      </c>
      <c r="P58" s="45">
        <v>0</v>
      </c>
      <c r="Q58" s="45">
        <v>0</v>
      </c>
      <c r="R58" s="45">
        <v>184.20952258795563</v>
      </c>
      <c r="S58" s="45">
        <v>425.6801885905416</v>
      </c>
      <c r="T58" s="45">
        <v>0</v>
      </c>
      <c r="U58" s="45">
        <v>1107.5892730850749</v>
      </c>
      <c r="V58" s="45">
        <v>55.425431065877866</v>
      </c>
      <c r="W58" s="45">
        <v>129.32600582038168</v>
      </c>
      <c r="X58" s="45">
        <v>0</v>
      </c>
      <c r="Y58" s="45">
        <v>0</v>
      </c>
      <c r="Z58" s="45">
        <v>0</v>
      </c>
      <c r="AA58" s="45">
        <v>0</v>
      </c>
      <c r="AB58" s="45">
        <v>0</v>
      </c>
      <c r="AC58" s="45">
        <v>0</v>
      </c>
      <c r="AD58" s="45">
        <v>0</v>
      </c>
      <c r="AE58" s="45">
        <v>0</v>
      </c>
      <c r="AF58" s="45">
        <v>0</v>
      </c>
      <c r="AG58" s="45">
        <v>0</v>
      </c>
      <c r="AH58" s="45">
        <v>239.63495365383349</v>
      </c>
      <c r="AI58" s="45">
        <v>555.00619441092329</v>
      </c>
      <c r="AJ58" s="45">
        <v>0</v>
      </c>
      <c r="AK58" s="45">
        <v>1107.5892730850749</v>
      </c>
      <c r="AL58" s="45">
        <v>1902.2304211498317</v>
      </c>
      <c r="AM58" s="45">
        <v>936.07848472811406</v>
      </c>
      <c r="AN58" s="45">
        <v>109.07053559829617</v>
      </c>
      <c r="AO58" s="45">
        <v>0</v>
      </c>
      <c r="AP58" s="45">
        <v>0</v>
      </c>
      <c r="AQ58" s="45">
        <v>1045.1490203264102</v>
      </c>
      <c r="AR58" s="45">
        <v>239.63495365383349</v>
      </c>
      <c r="AS58" s="98">
        <v>4.3614214220025191</v>
      </c>
      <c r="AT58" s="45">
        <v>936.07848472811406</v>
      </c>
      <c r="AU58" s="45">
        <v>129.10702749669986</v>
      </c>
      <c r="AV58" s="45">
        <v>0</v>
      </c>
      <c r="AW58" s="45">
        <v>0</v>
      </c>
      <c r="AX58" s="45">
        <v>1065.1855122248139</v>
      </c>
      <c r="AY58" s="45">
        <v>555.00619441092329</v>
      </c>
      <c r="AZ58" s="98">
        <v>1.9192317544408466</v>
      </c>
      <c r="BA58" s="45">
        <v>936.07848472811406</v>
      </c>
      <c r="BB58" s="45">
        <v>238.17756309499603</v>
      </c>
      <c r="BC58" s="45">
        <v>0</v>
      </c>
      <c r="BD58" s="45">
        <v>0</v>
      </c>
      <c r="BE58" s="45">
        <v>1174.2560478231101</v>
      </c>
      <c r="BF58" s="45">
        <v>794.64114806475675</v>
      </c>
      <c r="BG58" s="45">
        <v>22.831541633284047</v>
      </c>
      <c r="BH58" s="98">
        <v>1.477718654115578</v>
      </c>
      <c r="BI58" s="45">
        <v>9.8321535656909322</v>
      </c>
      <c r="BJ58" s="45">
        <v>22.771745315755272</v>
      </c>
      <c r="BK58" s="45">
        <v>0</v>
      </c>
      <c r="BL58" s="45">
        <v>45.444070886318464</v>
      </c>
      <c r="BM58" s="45">
        <v>78.04796976776467</v>
      </c>
      <c r="BN58" s="45">
        <v>936.07848472811406</v>
      </c>
      <c r="BO58" s="45">
        <v>0</v>
      </c>
      <c r="BP58" s="45">
        <v>238.17756309499603</v>
      </c>
      <c r="BQ58" s="45">
        <v>0</v>
      </c>
      <c r="BR58" s="45">
        <v>0</v>
      </c>
      <c r="BS58" s="45">
        <v>0</v>
      </c>
      <c r="BT58" s="45">
        <v>0</v>
      </c>
      <c r="BU58" s="45">
        <v>0</v>
      </c>
      <c r="BV58" s="45">
        <v>0</v>
      </c>
      <c r="BW58" s="45">
        <v>0</v>
      </c>
      <c r="BX58" s="45">
        <v>1717.4789842635721</v>
      </c>
      <c r="BY58" s="45">
        <v>184.75143688625957</v>
      </c>
      <c r="BZ58" s="45">
        <v>0</v>
      </c>
      <c r="CA58" s="45">
        <v>0</v>
      </c>
      <c r="CB58" s="45">
        <v>1174.2560478231101</v>
      </c>
      <c r="CC58" s="45">
        <v>1902.2304211498317</v>
      </c>
      <c r="CD58" s="107">
        <v>0.61730484107877603</v>
      </c>
      <c r="CE58" s="45">
        <v>68.275612519602518</v>
      </c>
      <c r="CF58" s="45">
        <v>17.037265865435891</v>
      </c>
      <c r="CG58" s="45">
        <v>0</v>
      </c>
      <c r="CH58" s="45">
        <v>17.037265865435891</v>
      </c>
      <c r="CI58" s="45">
        <v>0.85185413609349592</v>
      </c>
      <c r="CJ58" s="45">
        <v>0</v>
      </c>
      <c r="CK58" s="45">
        <v>0.85185413609349592</v>
      </c>
      <c r="CL58" s="45"/>
      <c r="CM58" s="45">
        <v>0</v>
      </c>
      <c r="CN58" s="45"/>
      <c r="CO58" s="45">
        <v>0</v>
      </c>
      <c r="CP58" s="45">
        <v>0</v>
      </c>
      <c r="CQ58" s="45">
        <v>0</v>
      </c>
      <c r="CR58" s="45">
        <v>0</v>
      </c>
      <c r="CS58" s="45">
        <v>0</v>
      </c>
      <c r="CT58" s="45">
        <v>0</v>
      </c>
      <c r="CU58" s="45">
        <v>0</v>
      </c>
      <c r="CV58" s="45">
        <v>9999</v>
      </c>
      <c r="CW58" s="98">
        <v>9999</v>
      </c>
    </row>
    <row r="59" spans="1:101" s="25" customFormat="1">
      <c r="A59" s="25" t="s">
        <v>397</v>
      </c>
      <c r="C59" s="45">
        <v>20</v>
      </c>
      <c r="D59" s="45">
        <v>642.62725257469287</v>
      </c>
      <c r="E59" s="45">
        <v>0</v>
      </c>
      <c r="F59" s="45">
        <v>667.18747511257516</v>
      </c>
      <c r="G59" s="45">
        <v>0</v>
      </c>
      <c r="H59" s="45">
        <v>0</v>
      </c>
      <c r="I59" s="45"/>
      <c r="J59" s="45"/>
      <c r="K59" s="45"/>
      <c r="L59" s="45">
        <v>690.70949549977809</v>
      </c>
      <c r="M59" s="45">
        <v>0.11888526000027295</v>
      </c>
      <c r="N59" s="45">
        <v>0.11802719950692236</v>
      </c>
      <c r="O59" s="45">
        <v>0</v>
      </c>
      <c r="P59" s="45">
        <v>0</v>
      </c>
      <c r="Q59" s="45">
        <v>0</v>
      </c>
      <c r="R59" s="45">
        <v>133.04609516278305</v>
      </c>
      <c r="S59" s="45">
        <v>307.44928972435042</v>
      </c>
      <c r="T59" s="45">
        <v>0</v>
      </c>
      <c r="U59" s="45">
        <v>273.00713790140253</v>
      </c>
      <c r="V59" s="45">
        <v>40.031248506754508</v>
      </c>
      <c r="W59" s="45">
        <v>93.406246515760515</v>
      </c>
      <c r="X59" s="45">
        <v>0</v>
      </c>
      <c r="Y59" s="45">
        <v>0</v>
      </c>
      <c r="Z59" s="45">
        <v>0</v>
      </c>
      <c r="AA59" s="45">
        <v>0</v>
      </c>
      <c r="AB59" s="45">
        <v>0</v>
      </c>
      <c r="AC59" s="45">
        <v>0</v>
      </c>
      <c r="AD59" s="45">
        <v>0</v>
      </c>
      <c r="AE59" s="45">
        <v>0</v>
      </c>
      <c r="AF59" s="45">
        <v>0</v>
      </c>
      <c r="AG59" s="45">
        <v>0</v>
      </c>
      <c r="AH59" s="45">
        <v>173.07734366953756</v>
      </c>
      <c r="AI59" s="45">
        <v>400.85553624011095</v>
      </c>
      <c r="AJ59" s="45">
        <v>0</v>
      </c>
      <c r="AK59" s="45">
        <v>273.00713790140253</v>
      </c>
      <c r="AL59" s="45">
        <v>846.94001781105101</v>
      </c>
      <c r="AM59" s="45">
        <v>360.52556242480875</v>
      </c>
      <c r="AN59" s="45">
        <v>42.007926506261107</v>
      </c>
      <c r="AO59" s="45">
        <v>0</v>
      </c>
      <c r="AP59" s="45">
        <v>0</v>
      </c>
      <c r="AQ59" s="45">
        <v>402.53348893106988</v>
      </c>
      <c r="AR59" s="45">
        <v>173.07734366953756</v>
      </c>
      <c r="AS59" s="98">
        <v>2.3257433953899866</v>
      </c>
      <c r="AT59" s="45">
        <v>360.52556242480875</v>
      </c>
      <c r="AU59" s="45">
        <v>49.7248729253322</v>
      </c>
      <c r="AV59" s="45">
        <v>0</v>
      </c>
      <c r="AW59" s="45">
        <v>0</v>
      </c>
      <c r="AX59" s="45">
        <v>410.25043535014095</v>
      </c>
      <c r="AY59" s="45">
        <v>400.85553624011095</v>
      </c>
      <c r="AZ59" s="98">
        <v>1.0234371195123084</v>
      </c>
      <c r="BA59" s="45">
        <v>360.52556242480875</v>
      </c>
      <c r="BB59" s="45">
        <v>91.732799431593307</v>
      </c>
      <c r="BC59" s="45">
        <v>0</v>
      </c>
      <c r="BD59" s="45">
        <v>0</v>
      </c>
      <c r="BE59" s="45">
        <v>452.25836185640208</v>
      </c>
      <c r="BF59" s="45">
        <v>573.93287990964848</v>
      </c>
      <c r="BG59" s="45">
        <v>51.369101136372585</v>
      </c>
      <c r="BH59" s="107">
        <v>0.78799869756128793</v>
      </c>
      <c r="BI59" s="45">
        <v>18.438046635248973</v>
      </c>
      <c r="BJ59" s="45">
        <v>42.70341174928577</v>
      </c>
      <c r="BK59" s="45">
        <v>0</v>
      </c>
      <c r="BL59" s="45">
        <v>29.083635290780506</v>
      </c>
      <c r="BM59" s="45">
        <v>90.22509367531525</v>
      </c>
      <c r="BN59" s="45">
        <v>360.52556242480875</v>
      </c>
      <c r="BO59" s="45">
        <v>0</v>
      </c>
      <c r="BP59" s="45">
        <v>91.732799431593307</v>
      </c>
      <c r="BQ59" s="45">
        <v>0</v>
      </c>
      <c r="BR59" s="45">
        <v>0</v>
      </c>
      <c r="BS59" s="45">
        <v>0</v>
      </c>
      <c r="BT59" s="45">
        <v>0</v>
      </c>
      <c r="BU59" s="45">
        <v>0</v>
      </c>
      <c r="BV59" s="45">
        <v>0</v>
      </c>
      <c r="BW59" s="45">
        <v>0</v>
      </c>
      <c r="BX59" s="45">
        <v>713.502522788536</v>
      </c>
      <c r="BY59" s="45">
        <v>133.43749502251504</v>
      </c>
      <c r="BZ59" s="45">
        <v>0</v>
      </c>
      <c r="CA59" s="45">
        <v>0</v>
      </c>
      <c r="CB59" s="45">
        <v>452.25836185640208</v>
      </c>
      <c r="CC59" s="45">
        <v>846.94001781105101</v>
      </c>
      <c r="CD59" s="107">
        <v>0.53399101748112121</v>
      </c>
      <c r="CE59" s="45">
        <v>80.452736427153098</v>
      </c>
      <c r="CF59" s="45">
        <v>6.5618107440011819</v>
      </c>
      <c r="CG59" s="45">
        <v>0</v>
      </c>
      <c r="CH59" s="45">
        <v>6.5618107440011819</v>
      </c>
      <c r="CI59" s="45">
        <v>0.32808701036239452</v>
      </c>
      <c r="CJ59" s="45">
        <v>0</v>
      </c>
      <c r="CK59" s="45">
        <v>0.32808701036239452</v>
      </c>
      <c r="CL59" s="45"/>
      <c r="CM59" s="45">
        <v>0</v>
      </c>
      <c r="CN59" s="45"/>
      <c r="CO59" s="45">
        <v>0</v>
      </c>
      <c r="CP59" s="45">
        <v>0</v>
      </c>
      <c r="CQ59" s="45">
        <v>0</v>
      </c>
      <c r="CR59" s="45">
        <v>0</v>
      </c>
      <c r="CS59" s="45">
        <v>0</v>
      </c>
      <c r="CT59" s="45">
        <v>0</v>
      </c>
      <c r="CU59" s="45">
        <v>0</v>
      </c>
      <c r="CV59" s="45">
        <v>9999</v>
      </c>
      <c r="CW59" s="98">
        <v>9999</v>
      </c>
    </row>
    <row r="60" spans="1:101" s="25" customFormat="1">
      <c r="C60" s="45"/>
      <c r="D60" s="45"/>
      <c r="E60" s="45"/>
      <c r="F60" s="45"/>
      <c r="G60" s="45"/>
      <c r="H60" s="45"/>
      <c r="I60" s="45"/>
      <c r="J60" s="45"/>
      <c r="K60" s="45"/>
      <c r="L60" s="45"/>
      <c r="M60" s="45"/>
      <c r="N60" s="45"/>
      <c r="O60" s="45"/>
      <c r="P60" s="45"/>
      <c r="Q60" s="45"/>
      <c r="R60" s="45"/>
      <c r="S60" s="45"/>
      <c r="T60" s="45"/>
      <c r="U60" s="45"/>
      <c r="V60" s="45"/>
      <c r="W60" s="45"/>
      <c r="X60" s="45"/>
      <c r="Y60" s="45"/>
      <c r="Z60" s="45"/>
      <c r="AA60" s="45"/>
      <c r="AB60" s="45"/>
      <c r="AC60" s="45"/>
      <c r="AD60" s="45"/>
      <c r="AE60" s="45"/>
      <c r="AF60" s="45"/>
      <c r="AG60" s="45"/>
      <c r="AH60" s="45"/>
      <c r="AI60" s="45"/>
      <c r="AJ60" s="45"/>
      <c r="AK60" s="45"/>
      <c r="AL60" s="45"/>
      <c r="AM60" s="45"/>
      <c r="AN60" s="45"/>
      <c r="AO60" s="45"/>
      <c r="AP60" s="45"/>
      <c r="AQ60" s="45"/>
      <c r="AR60" s="45"/>
      <c r="AS60" s="107"/>
      <c r="AT60" s="45"/>
      <c r="AU60" s="45"/>
      <c r="AV60" s="45"/>
      <c r="AW60" s="45"/>
      <c r="AX60" s="45"/>
      <c r="AY60" s="45"/>
      <c r="AZ60" s="107"/>
      <c r="BA60" s="45"/>
      <c r="BB60" s="45"/>
      <c r="BC60" s="45"/>
      <c r="BD60" s="45"/>
      <c r="BE60" s="45"/>
      <c r="BF60" s="45"/>
      <c r="BG60" s="45"/>
      <c r="BH60" s="107"/>
      <c r="BI60" s="45"/>
      <c r="BJ60" s="45"/>
      <c r="BK60" s="45"/>
      <c r="BL60" s="45"/>
      <c r="BM60" s="45"/>
      <c r="BN60" s="45"/>
      <c r="BO60" s="45"/>
      <c r="BP60" s="45"/>
      <c r="BQ60" s="45"/>
      <c r="BR60" s="45"/>
      <c r="BS60" s="45"/>
      <c r="BT60" s="45"/>
      <c r="BU60" s="45"/>
      <c r="BV60" s="45"/>
      <c r="BW60" s="45"/>
      <c r="BX60" s="45"/>
      <c r="BY60" s="45"/>
      <c r="BZ60" s="45"/>
      <c r="CA60" s="45"/>
      <c r="CB60" s="45"/>
      <c r="CC60" s="45"/>
      <c r="CD60" s="107"/>
      <c r="CE60" s="45"/>
      <c r="CF60" s="45"/>
      <c r="CG60" s="45"/>
      <c r="CH60" s="45"/>
      <c r="CI60" s="45"/>
      <c r="CJ60" s="45"/>
      <c r="CK60" s="45"/>
      <c r="CL60" s="45"/>
      <c r="CM60" s="45"/>
      <c r="CN60" s="45"/>
      <c r="CO60" s="45"/>
      <c r="CP60" s="45"/>
      <c r="CQ60" s="45"/>
      <c r="CR60" s="45"/>
      <c r="CS60" s="45"/>
      <c r="CT60" s="45"/>
      <c r="CU60" s="45"/>
      <c r="CV60" s="45"/>
      <c r="CW60" s="107"/>
    </row>
    <row r="61" spans="1:101" s="25" customFormat="1">
      <c r="C61" s="45"/>
      <c r="D61" s="45"/>
      <c r="E61" s="45"/>
      <c r="F61" s="45"/>
      <c r="G61" s="45"/>
      <c r="H61" s="45"/>
      <c r="I61" s="45"/>
      <c r="J61" s="45"/>
      <c r="K61" s="45"/>
      <c r="L61" s="45"/>
      <c r="M61" s="45"/>
      <c r="N61" s="45"/>
      <c r="O61" s="45"/>
      <c r="P61" s="45"/>
      <c r="Q61" s="45"/>
      <c r="R61" s="45"/>
      <c r="S61" s="45"/>
      <c r="T61" s="45"/>
      <c r="U61" s="45"/>
      <c r="V61" s="45"/>
      <c r="W61" s="45"/>
      <c r="X61" s="45"/>
      <c r="Y61" s="45"/>
      <c r="Z61" s="45"/>
      <c r="AA61" s="45"/>
      <c r="AB61" s="45"/>
      <c r="AC61" s="45"/>
      <c r="AD61" s="45"/>
      <c r="AE61" s="45"/>
      <c r="AF61" s="45"/>
      <c r="AG61" s="45"/>
      <c r="AH61" s="45"/>
      <c r="AI61" s="45"/>
      <c r="AJ61" s="45"/>
      <c r="AK61" s="45"/>
      <c r="AL61" s="45"/>
      <c r="AM61" s="45"/>
      <c r="AN61" s="45"/>
      <c r="AO61" s="45"/>
      <c r="AP61" s="45"/>
      <c r="AQ61" s="45"/>
      <c r="AR61" s="45"/>
      <c r="AS61" s="107"/>
      <c r="AT61" s="45"/>
      <c r="AU61" s="45"/>
      <c r="AV61" s="45"/>
      <c r="AW61" s="45"/>
      <c r="AX61" s="45"/>
      <c r="AY61" s="45"/>
      <c r="AZ61" s="107"/>
      <c r="BA61" s="45"/>
      <c r="BB61" s="45"/>
      <c r="BC61" s="45"/>
      <c r="BD61" s="45"/>
      <c r="BE61" s="45"/>
      <c r="BF61" s="45"/>
      <c r="BG61" s="45"/>
      <c r="BH61" s="107"/>
      <c r="BI61" s="45"/>
      <c r="BJ61" s="45"/>
      <c r="BK61" s="45"/>
      <c r="BL61" s="45"/>
      <c r="BM61" s="45"/>
      <c r="BN61" s="45"/>
      <c r="BO61" s="45"/>
      <c r="BP61" s="45"/>
      <c r="BQ61" s="45"/>
      <c r="BR61" s="45"/>
      <c r="BS61" s="45"/>
      <c r="BT61" s="45"/>
      <c r="BU61" s="45"/>
      <c r="BV61" s="45"/>
      <c r="BW61" s="45"/>
      <c r="BX61" s="45"/>
      <c r="BY61" s="45"/>
      <c r="BZ61" s="45"/>
      <c r="CA61" s="45"/>
      <c r="CB61" s="45"/>
      <c r="CC61" s="45"/>
      <c r="CD61" s="107"/>
      <c r="CE61" s="45"/>
      <c r="CF61" s="45"/>
      <c r="CG61" s="45"/>
      <c r="CH61" s="45"/>
      <c r="CI61" s="45"/>
      <c r="CJ61" s="45"/>
      <c r="CK61" s="45"/>
      <c r="CL61" s="45"/>
      <c r="CM61" s="45"/>
      <c r="CN61" s="45"/>
      <c r="CO61" s="45"/>
      <c r="CP61" s="45"/>
      <c r="CQ61" s="45"/>
      <c r="CR61" s="45"/>
      <c r="CS61" s="45"/>
      <c r="CT61" s="45"/>
      <c r="CU61" s="45"/>
      <c r="CV61" s="45"/>
      <c r="CW61" s="107"/>
    </row>
    <row r="62" spans="1:101" s="25" customFormat="1" ht="13.5" thickBot="1">
      <c r="A62" s="76" t="s">
        <v>261</v>
      </c>
      <c r="B62" s="78"/>
      <c r="C62" s="45"/>
      <c r="D62" s="45"/>
      <c r="E62" s="45"/>
      <c r="F62" s="45"/>
      <c r="G62" s="45"/>
      <c r="H62" s="45"/>
      <c r="I62" s="45"/>
      <c r="J62" s="45"/>
      <c r="K62" s="45"/>
      <c r="L62" s="45"/>
      <c r="M62" s="45"/>
      <c r="N62" s="45"/>
      <c r="O62" s="45"/>
      <c r="P62" s="45"/>
      <c r="Q62" s="45"/>
      <c r="R62" s="45"/>
      <c r="S62" s="45"/>
      <c r="T62" s="45"/>
      <c r="U62" s="45"/>
      <c r="V62" s="45"/>
      <c r="W62" s="45"/>
      <c r="X62" s="45"/>
      <c r="Y62" s="45"/>
      <c r="Z62" s="45"/>
      <c r="AA62" s="45"/>
      <c r="AB62" s="45"/>
      <c r="AC62" s="45"/>
      <c r="AD62" s="45"/>
      <c r="AE62" s="45"/>
      <c r="AF62" s="45"/>
      <c r="AG62" s="45"/>
      <c r="AH62" s="45"/>
      <c r="AI62" s="45"/>
      <c r="AJ62" s="45"/>
      <c r="AK62" s="45"/>
      <c r="AL62" s="45"/>
      <c r="AM62" s="45"/>
      <c r="AN62" s="45"/>
      <c r="AO62" s="45"/>
      <c r="AP62" s="45"/>
      <c r="AQ62" s="45"/>
      <c r="AR62" s="45"/>
      <c r="AS62" s="45"/>
      <c r="AT62" s="45"/>
      <c r="AU62" s="45"/>
      <c r="AV62" s="45"/>
      <c r="AW62" s="45"/>
      <c r="AX62" s="45"/>
      <c r="AY62" s="45"/>
      <c r="AZ62" s="45"/>
      <c r="BA62" s="45"/>
      <c r="BB62" s="45"/>
      <c r="BC62" s="45"/>
      <c r="BD62" s="45"/>
      <c r="BE62" s="45"/>
      <c r="BF62" s="45"/>
      <c r="BG62" s="45"/>
      <c r="BH62" s="45"/>
      <c r="BI62" s="45"/>
      <c r="BJ62" s="45"/>
      <c r="BK62" s="45"/>
      <c r="BL62" s="45"/>
      <c r="BM62" s="45"/>
      <c r="BN62" s="45"/>
      <c r="BO62" s="45"/>
      <c r="BP62" s="45"/>
      <c r="BQ62" s="45"/>
      <c r="BR62" s="45"/>
      <c r="BS62" s="45"/>
      <c r="BT62" s="45"/>
      <c r="BU62" s="45"/>
      <c r="BV62" s="45"/>
      <c r="BW62" s="45"/>
      <c r="BX62" s="45"/>
      <c r="BY62" s="45"/>
      <c r="BZ62" s="45"/>
      <c r="CA62" s="45"/>
      <c r="CB62" s="45"/>
      <c r="CC62" s="45"/>
      <c r="CD62" s="45"/>
      <c r="CE62" s="45"/>
      <c r="CF62" s="45"/>
      <c r="CG62" s="45"/>
      <c r="CH62" s="45"/>
      <c r="CI62" s="45"/>
      <c r="CJ62" s="45"/>
      <c r="CK62" s="45"/>
      <c r="CL62" s="45"/>
      <c r="CM62" s="45"/>
      <c r="CN62" s="45"/>
      <c r="CO62" s="45"/>
      <c r="CP62" s="45"/>
      <c r="CQ62" s="45"/>
      <c r="CR62" s="45"/>
      <c r="CS62" s="45"/>
      <c r="CT62" s="45"/>
      <c r="CU62" s="45"/>
      <c r="CV62" s="45"/>
      <c r="CW62" s="45"/>
    </row>
    <row r="63" spans="1:101" s="25" customFormat="1" ht="13.5" thickBot="1">
      <c r="A63" s="99" t="s">
        <v>262</v>
      </c>
      <c r="B63" s="100"/>
      <c r="C63" s="101"/>
      <c r="D63" s="101"/>
      <c r="E63" s="101"/>
      <c r="F63" s="101"/>
      <c r="G63" s="101"/>
      <c r="H63" s="101"/>
      <c r="I63" s="101"/>
      <c r="J63" s="101"/>
      <c r="K63" s="101"/>
      <c r="L63" s="102"/>
      <c r="M63" s="103"/>
      <c r="N63" s="104" t="s">
        <v>1120</v>
      </c>
      <c r="O63" s="101"/>
      <c r="P63" s="101"/>
      <c r="Q63" s="101"/>
      <c r="R63" s="101"/>
      <c r="S63" s="101"/>
      <c r="T63" s="101"/>
      <c r="U63" s="101"/>
      <c r="V63" s="101"/>
      <c r="W63" s="101"/>
      <c r="X63" s="101"/>
      <c r="Y63" s="102"/>
      <c r="Z63" s="103"/>
      <c r="AA63" s="104" t="s">
        <v>1121</v>
      </c>
      <c r="AB63" s="101"/>
      <c r="AC63" s="101"/>
      <c r="AD63" s="101"/>
      <c r="AE63" s="101"/>
      <c r="AF63" s="101"/>
      <c r="AG63" s="101"/>
      <c r="AH63" s="101"/>
      <c r="AI63" s="101"/>
      <c r="AJ63" s="101"/>
      <c r="AK63" s="101"/>
      <c r="AL63" s="102"/>
      <c r="AM63" s="45"/>
      <c r="AN63" s="45"/>
      <c r="AO63" s="45"/>
      <c r="AP63" s="45"/>
      <c r="AQ63" s="45"/>
      <c r="AR63" s="45"/>
      <c r="AS63" s="45"/>
      <c r="AT63" s="45"/>
      <c r="AU63" s="45"/>
      <c r="AV63" s="45"/>
      <c r="AW63" s="45"/>
      <c r="AX63" s="45"/>
      <c r="AY63" s="45"/>
      <c r="AZ63" s="45"/>
      <c r="BA63" s="45"/>
      <c r="BB63" s="45"/>
      <c r="BC63" s="45"/>
      <c r="BD63" s="45"/>
      <c r="BE63" s="45"/>
      <c r="BF63" s="45"/>
      <c r="BG63" s="45"/>
      <c r="BH63" s="45"/>
      <c r="BI63" s="45"/>
      <c r="BJ63" s="45"/>
      <c r="BK63" s="45"/>
      <c r="BL63" s="45"/>
      <c r="BM63" s="45"/>
      <c r="BN63" s="45"/>
      <c r="BO63" s="45"/>
      <c r="BP63" s="45"/>
      <c r="BQ63" s="45"/>
      <c r="BR63" s="45"/>
      <c r="BS63" s="45"/>
      <c r="BT63" s="45"/>
      <c r="BU63" s="45"/>
      <c r="BV63" s="45"/>
      <c r="BW63" s="45"/>
      <c r="BX63" s="45"/>
      <c r="BY63" s="45"/>
      <c r="BZ63" s="45"/>
      <c r="CA63" s="45"/>
      <c r="CB63" s="45"/>
      <c r="CC63" s="45"/>
      <c r="CD63" s="45"/>
      <c r="CE63" s="45"/>
      <c r="CF63" s="45"/>
      <c r="CG63" s="45"/>
      <c r="CH63" s="45"/>
      <c r="CI63" s="45"/>
      <c r="CJ63" s="45"/>
      <c r="CK63" s="45"/>
      <c r="CL63" s="45"/>
      <c r="CM63" s="45"/>
      <c r="CN63" s="45"/>
      <c r="CO63" s="45"/>
      <c r="CP63" s="45"/>
      <c r="CQ63" s="45"/>
      <c r="CR63" s="45"/>
      <c r="CS63" s="45"/>
      <c r="CT63" s="45"/>
      <c r="CU63" s="45"/>
      <c r="CV63" s="45"/>
      <c r="CW63" s="45"/>
    </row>
    <row r="64" spans="1:101" s="25" customFormat="1" ht="102">
      <c r="A64" s="94"/>
      <c r="B64" s="95" t="s">
        <v>263</v>
      </c>
      <c r="C64" s="96" t="s">
        <v>264</v>
      </c>
      <c r="D64" s="96" t="s">
        <v>265</v>
      </c>
      <c r="E64" s="96" t="s">
        <v>266</v>
      </c>
      <c r="F64" s="96" t="s">
        <v>267</v>
      </c>
      <c r="G64" s="96" t="s">
        <v>268</v>
      </c>
      <c r="H64" s="96" t="s">
        <v>269</v>
      </c>
      <c r="I64" s="96" t="s">
        <v>270</v>
      </c>
      <c r="J64" s="96" t="s">
        <v>271</v>
      </c>
      <c r="K64" s="96" t="s">
        <v>82</v>
      </c>
      <c r="L64" s="96" t="s">
        <v>244</v>
      </c>
      <c r="M64" s="96" t="s">
        <v>272</v>
      </c>
      <c r="N64" s="96" t="s">
        <v>273</v>
      </c>
      <c r="O64" s="96" t="s">
        <v>274</v>
      </c>
      <c r="P64" s="96" t="s">
        <v>275</v>
      </c>
      <c r="Q64" s="96" t="s">
        <v>276</v>
      </c>
      <c r="R64" s="96" t="s">
        <v>277</v>
      </c>
      <c r="S64" s="96" t="s">
        <v>278</v>
      </c>
      <c r="T64" s="96" t="s">
        <v>279</v>
      </c>
      <c r="U64" s="96" t="s">
        <v>280</v>
      </c>
      <c r="V64" s="96" t="s">
        <v>281</v>
      </c>
      <c r="W64" s="96" t="s">
        <v>282</v>
      </c>
      <c r="X64" s="96" t="s">
        <v>283</v>
      </c>
      <c r="Y64" s="96" t="s">
        <v>284</v>
      </c>
      <c r="Z64" s="96"/>
      <c r="AA64" s="96" t="s">
        <v>273</v>
      </c>
      <c r="AB64" s="96" t="s">
        <v>274</v>
      </c>
      <c r="AC64" s="96" t="s">
        <v>275</v>
      </c>
      <c r="AD64" s="96" t="s">
        <v>276</v>
      </c>
      <c r="AE64" s="96" t="s">
        <v>277</v>
      </c>
      <c r="AF64" s="96" t="s">
        <v>278</v>
      </c>
      <c r="AG64" s="96" t="s">
        <v>279</v>
      </c>
      <c r="AH64" s="96" t="s">
        <v>280</v>
      </c>
      <c r="AI64" s="96" t="s">
        <v>281</v>
      </c>
      <c r="AJ64" s="96" t="s">
        <v>282</v>
      </c>
      <c r="AK64" s="96" t="s">
        <v>283</v>
      </c>
      <c r="AL64" s="96" t="s">
        <v>284</v>
      </c>
      <c r="AM64" s="45"/>
      <c r="AN64" s="45"/>
      <c r="AO64" s="45"/>
      <c r="AP64" s="45"/>
      <c r="AQ64" s="45"/>
      <c r="AR64" s="45"/>
      <c r="AS64" s="45"/>
      <c r="AT64" s="45"/>
      <c r="AU64" s="45"/>
      <c r="AV64" s="45"/>
      <c r="AW64" s="45"/>
      <c r="AX64" s="45"/>
      <c r="AY64" s="45"/>
      <c r="AZ64" s="45"/>
      <c r="BA64" s="45"/>
      <c r="BB64" s="45"/>
      <c r="BC64" s="45"/>
      <c r="BD64" s="45"/>
      <c r="BE64" s="45"/>
      <c r="BF64" s="45"/>
      <c r="BG64" s="45"/>
      <c r="BH64" s="45"/>
      <c r="BI64" s="45"/>
      <c r="BJ64" s="45"/>
      <c r="BK64" s="45"/>
      <c r="BL64" s="45"/>
      <c r="BM64" s="45"/>
      <c r="BN64" s="45"/>
      <c r="BO64" s="45"/>
      <c r="BP64" s="45"/>
      <c r="BQ64" s="45"/>
      <c r="BR64" s="45"/>
      <c r="BS64" s="45"/>
      <c r="BT64" s="45"/>
      <c r="BU64" s="45"/>
      <c r="BV64" s="45"/>
      <c r="BW64" s="45"/>
      <c r="BX64" s="45"/>
      <c r="BY64" s="45"/>
      <c r="BZ64" s="45"/>
      <c r="CA64" s="45"/>
      <c r="CB64" s="45"/>
      <c r="CC64" s="45"/>
      <c r="CD64" s="45"/>
      <c r="CE64" s="45"/>
      <c r="CF64" s="45"/>
      <c r="CG64" s="45"/>
      <c r="CH64" s="45"/>
      <c r="CI64" s="45"/>
      <c r="CJ64" s="45"/>
      <c r="CK64" s="45"/>
      <c r="CL64" s="45"/>
      <c r="CM64" s="45"/>
      <c r="CN64" s="45"/>
      <c r="CO64" s="45"/>
      <c r="CP64" s="45"/>
      <c r="CQ64" s="45"/>
      <c r="CR64" s="45"/>
      <c r="CS64" s="45"/>
      <c r="CT64" s="45"/>
      <c r="CU64" s="45"/>
      <c r="CV64" s="45"/>
      <c r="CW64" s="45"/>
    </row>
    <row r="65" spans="2:101" s="25" customFormat="1">
      <c r="B65" s="62" t="s">
        <v>285</v>
      </c>
      <c r="C65" s="105">
        <v>63812.993240561234</v>
      </c>
      <c r="D65" s="105">
        <v>2617.635968924912</v>
      </c>
      <c r="E65" s="105">
        <v>0</v>
      </c>
      <c r="F65" s="105">
        <v>2617.635968924912</v>
      </c>
      <c r="G65" s="105">
        <v>5317.4017104296472</v>
      </c>
      <c r="H65" s="105">
        <v>69022.746348383982</v>
      </c>
      <c r="I65" s="105">
        <v>359.33890456038034</v>
      </c>
      <c r="J65" s="105">
        <v>-7.7795571975396047</v>
      </c>
      <c r="K65" s="105">
        <v>-35.050590106594505</v>
      </c>
      <c r="L65" s="98">
        <v>135.97494819612757</v>
      </c>
      <c r="M65" s="45">
        <v>606.2299525067466</v>
      </c>
      <c r="N65" s="66">
        <v>4019.7108110039821</v>
      </c>
      <c r="O65" s="66">
        <v>3705.09976819241</v>
      </c>
      <c r="P65" s="66">
        <v>4264.9585365133398</v>
      </c>
      <c r="Q65" s="66">
        <v>3894.3969518786498</v>
      </c>
      <c r="R65" s="66">
        <v>4024.1724431383477</v>
      </c>
      <c r="S65" s="66">
        <v>4005.6029961254694</v>
      </c>
      <c r="T65" s="66">
        <v>3837.7028768265322</v>
      </c>
      <c r="U65" s="66">
        <v>4165.6170204694727</v>
      </c>
      <c r="V65" s="66">
        <v>3717.0136370677064</v>
      </c>
      <c r="W65" s="66">
        <v>4193.4874868092302</v>
      </c>
      <c r="X65" s="66">
        <v>3774.1040830800289</v>
      </c>
      <c r="Y65" s="66">
        <v>3923.4858145357057</v>
      </c>
      <c r="Z65" s="66"/>
      <c r="AA65" s="66">
        <v>1469.3990315724386</v>
      </c>
      <c r="AB65" s="66">
        <v>1276.9572385952654</v>
      </c>
      <c r="AC65" s="66">
        <v>1187.6358776046311</v>
      </c>
      <c r="AD65" s="66">
        <v>1353.2352883987435</v>
      </c>
      <c r="AE65" s="66">
        <v>1384.044733253914</v>
      </c>
      <c r="AF65" s="66">
        <v>1231.7794130068198</v>
      </c>
      <c r="AG65" s="66">
        <v>1510.1883525156891</v>
      </c>
      <c r="AH65" s="66">
        <v>1251.974613285013</v>
      </c>
      <c r="AI65" s="66">
        <v>1506.8765167964277</v>
      </c>
      <c r="AJ65" s="66">
        <v>1240.7566738001622</v>
      </c>
      <c r="AK65" s="66">
        <v>1429.2424265076911</v>
      </c>
      <c r="AL65" s="66">
        <v>1445.5506495835471</v>
      </c>
      <c r="AM65" s="45"/>
      <c r="AN65" s="45"/>
      <c r="AO65" s="45"/>
      <c r="AP65" s="45"/>
      <c r="AQ65" s="45"/>
      <c r="AR65" s="45"/>
      <c r="AS65" s="45"/>
      <c r="AT65" s="45"/>
      <c r="AU65" s="45"/>
      <c r="AV65" s="45"/>
      <c r="AW65" s="45"/>
      <c r="AX65" s="45"/>
      <c r="AY65" s="45"/>
      <c r="AZ65" s="45"/>
      <c r="BA65" s="45"/>
      <c r="BB65" s="45"/>
      <c r="BC65" s="45"/>
      <c r="BD65" s="45"/>
      <c r="BE65" s="45"/>
      <c r="BF65" s="45"/>
      <c r="BG65" s="45"/>
      <c r="BH65" s="45"/>
      <c r="BI65" s="45"/>
      <c r="BJ65" s="45"/>
      <c r="BK65" s="45"/>
      <c r="BL65" s="45"/>
      <c r="BM65" s="45"/>
      <c r="BN65" s="45"/>
      <c r="BO65" s="45"/>
      <c r="BP65" s="45"/>
      <c r="BQ65" s="45"/>
      <c r="BR65" s="45"/>
      <c r="BS65" s="45"/>
      <c r="BT65" s="45"/>
      <c r="BU65" s="45"/>
      <c r="BV65" s="45"/>
      <c r="BW65" s="45"/>
      <c r="BX65" s="45"/>
      <c r="BY65" s="45"/>
      <c r="BZ65" s="45"/>
      <c r="CA65" s="45"/>
      <c r="CB65" s="45"/>
      <c r="CC65" s="45"/>
      <c r="CD65" s="45"/>
      <c r="CE65" s="45"/>
      <c r="CF65" s="45"/>
      <c r="CG65" s="45"/>
      <c r="CH65" s="45"/>
      <c r="CI65" s="45"/>
      <c r="CJ65" s="45"/>
      <c r="CK65" s="45"/>
      <c r="CL65" s="45"/>
      <c r="CM65" s="45"/>
      <c r="CN65" s="45"/>
      <c r="CO65" s="45"/>
      <c r="CP65" s="45"/>
      <c r="CQ65" s="45"/>
      <c r="CR65" s="45"/>
      <c r="CS65" s="45"/>
      <c r="CT65" s="45"/>
      <c r="CU65" s="45"/>
      <c r="CV65" s="45"/>
      <c r="CW65" s="45"/>
    </row>
    <row r="66" spans="2:101" s="25" customFormat="1">
      <c r="B66" s="62" t="s">
        <v>286</v>
      </c>
      <c r="C66" s="105">
        <v>61180.815659611188</v>
      </c>
      <c r="D66" s="105">
        <v>1855.9342860303695</v>
      </c>
      <c r="E66" s="105">
        <v>371.18685720607391</v>
      </c>
      <c r="F66" s="105">
        <v>2227.1211432364435</v>
      </c>
      <c r="G66" s="105">
        <v>3966.9804954296683</v>
      </c>
      <c r="H66" s="105">
        <v>67299.265885712404</v>
      </c>
      <c r="I66" s="105">
        <v>318.88396721115618</v>
      </c>
      <c r="J66" s="105">
        <v>-7.8522270962238983</v>
      </c>
      <c r="K66" s="105">
        <v>-37.762275995511715</v>
      </c>
      <c r="L66" s="98">
        <v>22.740754354743405</v>
      </c>
      <c r="M66" s="45">
        <v>581.22399668403182</v>
      </c>
      <c r="N66" s="66">
        <v>1078.1026475649226</v>
      </c>
      <c r="O66" s="66">
        <v>993.72269732576547</v>
      </c>
      <c r="P66" s="66">
        <v>1143.8790764207276</v>
      </c>
      <c r="Q66" s="66">
        <v>1044.4929652639576</v>
      </c>
      <c r="R66" s="66">
        <v>1079.2992752933037</v>
      </c>
      <c r="S66" s="66">
        <v>1074.3188747297615</v>
      </c>
      <c r="T66" s="66">
        <v>1029.2873857362933</v>
      </c>
      <c r="U66" s="66">
        <v>1117.235281258444</v>
      </c>
      <c r="V66" s="66">
        <v>996.91804499655746</v>
      </c>
      <c r="W66" s="66">
        <v>1124.7102527085065</v>
      </c>
      <c r="X66" s="66">
        <v>1012.2299328139734</v>
      </c>
      <c r="Y66" s="66">
        <v>1052.2947155190686</v>
      </c>
      <c r="Z66" s="66"/>
      <c r="AA66" s="66">
        <v>394.09874509651883</v>
      </c>
      <c r="AB66" s="66">
        <v>342.48508026698056</v>
      </c>
      <c r="AC66" s="66">
        <v>318.52873109268421</v>
      </c>
      <c r="AD66" s="66">
        <v>362.94316078836977</v>
      </c>
      <c r="AE66" s="66">
        <v>371.20637812665115</v>
      </c>
      <c r="AF66" s="66">
        <v>330.36820528065169</v>
      </c>
      <c r="AG66" s="66">
        <v>405.03860544192264</v>
      </c>
      <c r="AH66" s="66">
        <v>335.78463942522291</v>
      </c>
      <c r="AI66" s="66">
        <v>404.15035774821752</v>
      </c>
      <c r="AJ66" s="66">
        <v>332.77594282303619</v>
      </c>
      <c r="AK66" s="66">
        <v>383.32858170093112</v>
      </c>
      <c r="AL66" s="66">
        <v>387.70251288698284</v>
      </c>
      <c r="AM66" s="45"/>
      <c r="AN66" s="45"/>
      <c r="AO66" s="45"/>
      <c r="AP66" s="45"/>
      <c r="AQ66" s="45"/>
      <c r="AR66" s="45"/>
      <c r="AS66" s="45"/>
      <c r="AT66" s="45"/>
      <c r="AU66" s="45"/>
      <c r="AV66" s="45"/>
      <c r="AW66" s="45"/>
      <c r="AX66" s="45"/>
      <c r="AY66" s="45"/>
      <c r="AZ66" s="45"/>
      <c r="BA66" s="45"/>
      <c r="BB66" s="45"/>
      <c r="BC66" s="45"/>
      <c r="BD66" s="45"/>
      <c r="BE66" s="45"/>
      <c r="BF66" s="45"/>
      <c r="BG66" s="45"/>
      <c r="BH66" s="45"/>
      <c r="BI66" s="45"/>
      <c r="BJ66" s="45"/>
      <c r="BK66" s="45"/>
      <c r="BL66" s="45"/>
      <c r="BM66" s="45"/>
      <c r="BN66" s="45"/>
      <c r="BO66" s="45"/>
      <c r="BP66" s="45"/>
      <c r="BQ66" s="45"/>
      <c r="BR66" s="45"/>
      <c r="BS66" s="45"/>
      <c r="BT66" s="45"/>
      <c r="BU66" s="45"/>
      <c r="BV66" s="45"/>
      <c r="BW66" s="45"/>
      <c r="BX66" s="45"/>
      <c r="BY66" s="45"/>
      <c r="BZ66" s="45"/>
      <c r="CA66" s="45"/>
      <c r="CB66" s="45"/>
      <c r="CC66" s="45"/>
      <c r="CD66" s="45"/>
      <c r="CE66" s="45"/>
      <c r="CF66" s="45"/>
      <c r="CG66" s="45"/>
      <c r="CH66" s="45"/>
      <c r="CI66" s="45"/>
      <c r="CJ66" s="45"/>
      <c r="CK66" s="45"/>
      <c r="CL66" s="45"/>
      <c r="CM66" s="45"/>
      <c r="CN66" s="45"/>
      <c r="CO66" s="45"/>
      <c r="CP66" s="45"/>
      <c r="CQ66" s="45"/>
      <c r="CR66" s="45"/>
      <c r="CS66" s="45"/>
      <c r="CT66" s="45"/>
      <c r="CU66" s="45"/>
      <c r="CV66" s="45"/>
      <c r="CW66" s="45"/>
    </row>
    <row r="67" spans="2:101" s="25" customFormat="1">
      <c r="B67" s="62" t="s">
        <v>287</v>
      </c>
      <c r="C67" s="106"/>
      <c r="D67" s="106"/>
      <c r="E67" s="106"/>
      <c r="F67" s="106"/>
      <c r="G67" s="106"/>
      <c r="H67" s="106"/>
      <c r="I67" s="106"/>
      <c r="J67" s="106"/>
      <c r="K67" s="106"/>
      <c r="L67" s="107"/>
      <c r="M67" s="108"/>
      <c r="N67" s="108"/>
      <c r="O67" s="108"/>
      <c r="P67" s="108"/>
      <c r="Q67" s="108"/>
      <c r="R67" s="108"/>
      <c r="S67" s="108"/>
      <c r="T67" s="108"/>
      <c r="U67" s="108"/>
      <c r="V67" s="108"/>
      <c r="W67" s="108"/>
      <c r="X67" s="108"/>
      <c r="Y67" s="108"/>
      <c r="Z67" s="108"/>
      <c r="AA67" s="108"/>
      <c r="AB67" s="108"/>
      <c r="AC67" s="108"/>
      <c r="AD67" s="108"/>
      <c r="AE67" s="108"/>
      <c r="AF67" s="108"/>
      <c r="AG67" s="108"/>
      <c r="AH67" s="108"/>
      <c r="AI67" s="108"/>
      <c r="AJ67" s="108"/>
      <c r="AK67" s="108"/>
      <c r="AL67" s="108"/>
      <c r="AM67" s="45"/>
      <c r="AN67" s="45"/>
      <c r="AO67" s="45"/>
      <c r="AP67" s="45"/>
      <c r="AQ67" s="45"/>
      <c r="AR67" s="45"/>
      <c r="AS67" s="45"/>
      <c r="AT67" s="45"/>
      <c r="AU67" s="45"/>
      <c r="AV67" s="45"/>
      <c r="AW67" s="45"/>
      <c r="AX67" s="45"/>
      <c r="AY67" s="45"/>
      <c r="AZ67" s="45"/>
      <c r="BA67" s="45"/>
      <c r="BB67" s="45"/>
      <c r="BC67" s="45"/>
      <c r="BD67" s="45"/>
      <c r="BE67" s="45"/>
      <c r="BF67" s="45"/>
      <c r="BG67" s="45"/>
      <c r="BH67" s="45"/>
      <c r="BI67" s="45"/>
      <c r="BJ67" s="45"/>
      <c r="BK67" s="45"/>
      <c r="BL67" s="45"/>
      <c r="BM67" s="45"/>
      <c r="BN67" s="45"/>
      <c r="BO67" s="45"/>
      <c r="BP67" s="45"/>
      <c r="BQ67" s="45"/>
      <c r="BR67" s="45"/>
      <c r="BS67" s="45"/>
      <c r="BT67" s="45"/>
      <c r="BU67" s="45"/>
      <c r="BV67" s="45"/>
      <c r="BW67" s="45"/>
      <c r="BX67" s="45"/>
      <c r="BY67" s="45"/>
      <c r="BZ67" s="45"/>
      <c r="CA67" s="45"/>
      <c r="CB67" s="45"/>
      <c r="CC67" s="45"/>
      <c r="CD67" s="45"/>
      <c r="CE67" s="45"/>
      <c r="CF67" s="45"/>
      <c r="CG67" s="45"/>
      <c r="CH67" s="45"/>
      <c r="CI67" s="45"/>
      <c r="CJ67" s="45"/>
      <c r="CK67" s="45"/>
      <c r="CL67" s="45"/>
      <c r="CM67" s="45"/>
      <c r="CN67" s="45"/>
      <c r="CO67" s="45"/>
      <c r="CP67" s="45"/>
      <c r="CQ67" s="45"/>
      <c r="CR67" s="45"/>
      <c r="CS67" s="45"/>
      <c r="CT67" s="45"/>
      <c r="CU67" s="45"/>
      <c r="CV67" s="45"/>
      <c r="CW67" s="45"/>
    </row>
    <row r="68" spans="2:101" s="25" customFormat="1">
      <c r="B68" s="25" t="s">
        <v>84</v>
      </c>
      <c r="C68" s="45">
        <v>61180.815659611188</v>
      </c>
      <c r="D68" s="45">
        <v>1855.9342860303695</v>
      </c>
      <c r="E68" s="45">
        <v>371.18685720607391</v>
      </c>
      <c r="F68" s="45">
        <v>2227.1211432364435</v>
      </c>
      <c r="G68" s="45">
        <v>3966.9804954296683</v>
      </c>
      <c r="H68" s="45">
        <v>67299.265885712404</v>
      </c>
      <c r="I68" s="45">
        <v>318.88396721115618</v>
      </c>
      <c r="J68" s="45">
        <v>-7.8522270962238983</v>
      </c>
      <c r="K68" s="45">
        <v>-37.762275995511715</v>
      </c>
      <c r="L68" s="98">
        <v>22.740754354743405</v>
      </c>
      <c r="M68" s="45">
        <v>581.22399668403182</v>
      </c>
      <c r="N68" s="66">
        <v>3853.9045677716567</v>
      </c>
      <c r="O68" s="66">
        <v>3552.2706960902042</v>
      </c>
      <c r="P68" s="66">
        <v>4089.0362411718279</v>
      </c>
      <c r="Q68" s="66">
        <v>3733.7596924820864</v>
      </c>
      <c r="R68" s="66">
        <v>3858.1821651588316</v>
      </c>
      <c r="S68" s="66">
        <v>3840.378676293908</v>
      </c>
      <c r="T68" s="66">
        <v>3679.4041517275582</v>
      </c>
      <c r="U68" s="66">
        <v>3993.792393927205</v>
      </c>
      <c r="V68" s="66">
        <v>3563.6931381108216</v>
      </c>
      <c r="W68" s="66">
        <v>4020.5132508701186</v>
      </c>
      <c r="X68" s="66">
        <v>3618.4287001967059</v>
      </c>
      <c r="Y68" s="66">
        <v>3761.6486889637285</v>
      </c>
      <c r="Z68" s="66"/>
      <c r="AA68" s="66">
        <v>1408.7888173830772</v>
      </c>
      <c r="AB68" s="66">
        <v>1224.2849214922044</v>
      </c>
      <c r="AC68" s="66">
        <v>1138.6479149247073</v>
      </c>
      <c r="AD68" s="66">
        <v>1297.4166313041633</v>
      </c>
      <c r="AE68" s="66">
        <v>1326.9552388907612</v>
      </c>
      <c r="AF68" s="66">
        <v>1180.9706044720167</v>
      </c>
      <c r="AG68" s="66">
        <v>1447.8956481205439</v>
      </c>
      <c r="AH68" s="66">
        <v>1200.3327870415019</v>
      </c>
      <c r="AI68" s="66">
        <v>1444.7204199993489</v>
      </c>
      <c r="AJ68" s="66">
        <v>1189.5775685060535</v>
      </c>
      <c r="AK68" s="66">
        <v>1370.2886040688318</v>
      </c>
      <c r="AL68" s="66">
        <v>1385.9241406433105</v>
      </c>
      <c r="AM68" s="45"/>
      <c r="AN68" s="45"/>
      <c r="AO68" s="45"/>
      <c r="AP68" s="45"/>
      <c r="AQ68" s="45"/>
      <c r="AR68" s="45"/>
      <c r="AS68" s="45"/>
      <c r="AT68" s="45"/>
      <c r="AU68" s="45"/>
      <c r="AV68" s="45"/>
      <c r="AW68" s="45"/>
      <c r="AX68" s="45"/>
      <c r="AY68" s="45"/>
      <c r="AZ68" s="45"/>
      <c r="BA68" s="45"/>
      <c r="BB68" s="45"/>
      <c r="BC68" s="45"/>
      <c r="BD68" s="45"/>
      <c r="BE68" s="45"/>
      <c r="BF68" s="45"/>
      <c r="BG68" s="45"/>
      <c r="BH68" s="45"/>
      <c r="BI68" s="45"/>
      <c r="BJ68" s="45"/>
      <c r="BK68" s="45"/>
      <c r="BL68" s="45"/>
      <c r="BM68" s="45"/>
      <c r="BN68" s="45"/>
      <c r="BO68" s="45"/>
      <c r="BP68" s="45"/>
      <c r="BQ68" s="45"/>
      <c r="BR68" s="45"/>
      <c r="BS68" s="45"/>
      <c r="BT68" s="45"/>
      <c r="BU68" s="45"/>
      <c r="BV68" s="45"/>
      <c r="BW68" s="45"/>
      <c r="BX68" s="45"/>
      <c r="BY68" s="45"/>
      <c r="BZ68" s="45"/>
      <c r="CA68" s="45"/>
      <c r="CB68" s="45"/>
      <c r="CC68" s="45"/>
      <c r="CD68" s="45"/>
      <c r="CE68" s="45"/>
      <c r="CF68" s="45"/>
      <c r="CG68" s="45"/>
      <c r="CH68" s="45"/>
      <c r="CI68" s="45"/>
      <c r="CJ68" s="45"/>
      <c r="CK68" s="45"/>
      <c r="CL68" s="45"/>
      <c r="CM68" s="45"/>
      <c r="CN68" s="45"/>
      <c r="CO68" s="45"/>
      <c r="CP68" s="45"/>
      <c r="CQ68" s="45"/>
      <c r="CR68" s="45"/>
      <c r="CS68" s="45"/>
      <c r="CT68" s="45"/>
      <c r="CU68" s="45"/>
      <c r="CV68" s="45"/>
      <c r="CW68" s="45"/>
    </row>
    <row r="69" spans="2:101" s="25" customFormat="1">
      <c r="B69" s="25" t="s">
        <v>85</v>
      </c>
      <c r="C69" s="108">
        <v>0</v>
      </c>
      <c r="D69" s="108">
        <v>0</v>
      </c>
      <c r="E69" s="108">
        <v>0</v>
      </c>
      <c r="F69" s="108">
        <v>0</v>
      </c>
      <c r="G69" s="108">
        <v>0</v>
      </c>
      <c r="H69" s="108">
        <v>0</v>
      </c>
      <c r="I69" s="108">
        <v>0</v>
      </c>
      <c r="J69" s="108">
        <v>0</v>
      </c>
      <c r="K69" s="108">
        <v>0</v>
      </c>
      <c r="L69" s="109">
        <v>0</v>
      </c>
      <c r="M69" s="108">
        <v>0</v>
      </c>
      <c r="N69" s="108">
        <v>0</v>
      </c>
      <c r="O69" s="108">
        <v>0</v>
      </c>
      <c r="P69" s="108">
        <v>0</v>
      </c>
      <c r="Q69" s="108">
        <v>0</v>
      </c>
      <c r="R69" s="108">
        <v>0</v>
      </c>
      <c r="S69" s="108">
        <v>0</v>
      </c>
      <c r="T69" s="108">
        <v>0</v>
      </c>
      <c r="U69" s="108">
        <v>0</v>
      </c>
      <c r="V69" s="108">
        <v>0</v>
      </c>
      <c r="W69" s="108">
        <v>0</v>
      </c>
      <c r="X69" s="108">
        <v>0</v>
      </c>
      <c r="Y69" s="108">
        <v>0</v>
      </c>
      <c r="Z69" s="108"/>
      <c r="AA69" s="108">
        <v>0</v>
      </c>
      <c r="AB69" s="108">
        <v>0</v>
      </c>
      <c r="AC69" s="108">
        <v>0</v>
      </c>
      <c r="AD69" s="108">
        <v>0</v>
      </c>
      <c r="AE69" s="108">
        <v>0</v>
      </c>
      <c r="AF69" s="108">
        <v>0</v>
      </c>
      <c r="AG69" s="108">
        <v>0</v>
      </c>
      <c r="AH69" s="108">
        <v>0</v>
      </c>
      <c r="AI69" s="108">
        <v>0</v>
      </c>
      <c r="AJ69" s="108">
        <v>0</v>
      </c>
      <c r="AK69" s="108">
        <v>0</v>
      </c>
      <c r="AL69" s="108">
        <v>0</v>
      </c>
      <c r="AM69" s="45"/>
      <c r="AN69" s="45"/>
      <c r="AO69" s="45"/>
      <c r="AP69" s="45"/>
      <c r="AQ69" s="45"/>
      <c r="AR69" s="45"/>
      <c r="AS69" s="45"/>
      <c r="AT69" s="45"/>
      <c r="AU69" s="45"/>
      <c r="AV69" s="45"/>
      <c r="AW69" s="45"/>
      <c r="AX69" s="45"/>
      <c r="AY69" s="45"/>
      <c r="AZ69" s="45"/>
      <c r="BA69" s="45"/>
      <c r="BB69" s="45"/>
      <c r="BC69" s="45"/>
      <c r="BD69" s="45"/>
      <c r="BE69" s="45"/>
      <c r="BF69" s="45"/>
      <c r="BG69" s="45"/>
      <c r="BH69" s="45"/>
      <c r="BI69" s="45"/>
      <c r="BJ69" s="45"/>
      <c r="BK69" s="45"/>
      <c r="BL69" s="45"/>
      <c r="BM69" s="45"/>
      <c r="BN69" s="45"/>
      <c r="BO69" s="45"/>
      <c r="BP69" s="45"/>
      <c r="BQ69" s="45"/>
      <c r="BR69" s="45"/>
      <c r="BS69" s="45"/>
      <c r="BT69" s="45"/>
      <c r="BU69" s="45"/>
      <c r="BV69" s="45"/>
      <c r="BW69" s="45"/>
      <c r="BX69" s="45"/>
      <c r="BY69" s="45"/>
      <c r="BZ69" s="45"/>
      <c r="CA69" s="45"/>
      <c r="CB69" s="45"/>
      <c r="CC69" s="45"/>
      <c r="CD69" s="45"/>
      <c r="CE69" s="45"/>
      <c r="CF69" s="45"/>
      <c r="CG69" s="45"/>
      <c r="CH69" s="45"/>
      <c r="CI69" s="45"/>
      <c r="CJ69" s="45"/>
      <c r="CK69" s="45"/>
      <c r="CL69" s="45"/>
      <c r="CM69" s="45"/>
      <c r="CN69" s="45"/>
      <c r="CO69" s="45"/>
      <c r="CP69" s="45"/>
      <c r="CQ69" s="45"/>
      <c r="CR69" s="45"/>
      <c r="CS69" s="45"/>
      <c r="CT69" s="45"/>
      <c r="CU69" s="45"/>
      <c r="CV69" s="45"/>
      <c r="CW69" s="45"/>
    </row>
    <row r="70" spans="2:101" s="25" customFormat="1">
      <c r="B70" s="25" t="s">
        <v>86</v>
      </c>
      <c r="C70" s="108">
        <v>0</v>
      </c>
      <c r="D70" s="108">
        <v>0</v>
      </c>
      <c r="E70" s="108">
        <v>0</v>
      </c>
      <c r="F70" s="108">
        <v>0</v>
      </c>
      <c r="G70" s="108">
        <v>0</v>
      </c>
      <c r="H70" s="108">
        <v>0</v>
      </c>
      <c r="I70" s="108">
        <v>0</v>
      </c>
      <c r="J70" s="108">
        <v>0</v>
      </c>
      <c r="K70" s="108">
        <v>0</v>
      </c>
      <c r="L70" s="109">
        <v>0</v>
      </c>
      <c r="M70" s="108">
        <v>0</v>
      </c>
      <c r="N70" s="108">
        <v>0</v>
      </c>
      <c r="O70" s="108">
        <v>0</v>
      </c>
      <c r="P70" s="108">
        <v>0</v>
      </c>
      <c r="Q70" s="108">
        <v>0</v>
      </c>
      <c r="R70" s="108">
        <v>0</v>
      </c>
      <c r="S70" s="108">
        <v>0</v>
      </c>
      <c r="T70" s="108">
        <v>0</v>
      </c>
      <c r="U70" s="108">
        <v>0</v>
      </c>
      <c r="V70" s="108">
        <v>0</v>
      </c>
      <c r="W70" s="108">
        <v>0</v>
      </c>
      <c r="X70" s="108">
        <v>0</v>
      </c>
      <c r="Y70" s="108">
        <v>0</v>
      </c>
      <c r="Z70" s="108"/>
      <c r="AA70" s="108">
        <v>0</v>
      </c>
      <c r="AB70" s="108">
        <v>0</v>
      </c>
      <c r="AC70" s="108">
        <v>0</v>
      </c>
      <c r="AD70" s="108">
        <v>0</v>
      </c>
      <c r="AE70" s="108">
        <v>0</v>
      </c>
      <c r="AF70" s="108">
        <v>0</v>
      </c>
      <c r="AG70" s="108">
        <v>0</v>
      </c>
      <c r="AH70" s="108">
        <v>0</v>
      </c>
      <c r="AI70" s="108">
        <v>0</v>
      </c>
      <c r="AJ70" s="108">
        <v>0</v>
      </c>
      <c r="AK70" s="108">
        <v>0</v>
      </c>
      <c r="AL70" s="108">
        <v>0</v>
      </c>
      <c r="AM70" s="45"/>
      <c r="AN70" s="45"/>
      <c r="AO70" s="45"/>
      <c r="AP70" s="45"/>
      <c r="AQ70" s="45"/>
      <c r="AR70" s="45"/>
      <c r="AS70" s="45"/>
      <c r="AT70" s="45"/>
      <c r="AU70" s="45"/>
      <c r="AV70" s="45"/>
      <c r="AW70" s="45"/>
      <c r="AX70" s="45"/>
      <c r="AY70" s="45"/>
      <c r="AZ70" s="45"/>
      <c r="BA70" s="45"/>
      <c r="BB70" s="45"/>
      <c r="BC70" s="45"/>
      <c r="BD70" s="45"/>
      <c r="BE70" s="45"/>
      <c r="BF70" s="45"/>
      <c r="BG70" s="45"/>
      <c r="BH70" s="45"/>
      <c r="BI70" s="45"/>
      <c r="BJ70" s="45"/>
      <c r="BK70" s="45"/>
      <c r="BL70" s="45"/>
      <c r="BM70" s="45"/>
      <c r="BN70" s="45"/>
      <c r="BO70" s="45"/>
      <c r="BP70" s="45"/>
      <c r="BQ70" s="45"/>
      <c r="BR70" s="45"/>
      <c r="BS70" s="45"/>
      <c r="BT70" s="45"/>
      <c r="BU70" s="45"/>
      <c r="BV70" s="45"/>
      <c r="BW70" s="45"/>
      <c r="BX70" s="45"/>
      <c r="BY70" s="45"/>
      <c r="BZ70" s="45"/>
      <c r="CA70" s="45"/>
      <c r="CB70" s="45"/>
      <c r="CC70" s="45"/>
      <c r="CD70" s="45"/>
      <c r="CE70" s="45"/>
      <c r="CF70" s="45"/>
      <c r="CG70" s="45"/>
      <c r="CH70" s="45"/>
      <c r="CI70" s="45"/>
      <c r="CJ70" s="45"/>
      <c r="CK70" s="45"/>
      <c r="CL70" s="45"/>
      <c r="CM70" s="45"/>
      <c r="CN70" s="45"/>
      <c r="CO70" s="45"/>
      <c r="CP70" s="45"/>
      <c r="CQ70" s="45"/>
      <c r="CR70" s="45"/>
      <c r="CS70" s="45"/>
      <c r="CT70" s="45"/>
      <c r="CU70" s="45"/>
      <c r="CV70" s="45"/>
      <c r="CW70" s="45"/>
    </row>
    <row r="71" spans="2:101" s="25" customFormat="1">
      <c r="B71" s="25" t="s">
        <v>87</v>
      </c>
      <c r="C71" s="108">
        <v>0</v>
      </c>
      <c r="D71" s="108">
        <v>0</v>
      </c>
      <c r="E71" s="108">
        <v>0</v>
      </c>
      <c r="F71" s="108">
        <v>0</v>
      </c>
      <c r="G71" s="108">
        <v>0</v>
      </c>
      <c r="H71" s="108">
        <v>0</v>
      </c>
      <c r="I71" s="108">
        <v>0</v>
      </c>
      <c r="J71" s="108">
        <v>0</v>
      </c>
      <c r="K71" s="108">
        <v>0</v>
      </c>
      <c r="L71" s="109">
        <v>0</v>
      </c>
      <c r="M71" s="108">
        <v>0</v>
      </c>
      <c r="N71" s="108">
        <v>0</v>
      </c>
      <c r="O71" s="108">
        <v>0</v>
      </c>
      <c r="P71" s="108">
        <v>0</v>
      </c>
      <c r="Q71" s="108">
        <v>0</v>
      </c>
      <c r="R71" s="108">
        <v>0</v>
      </c>
      <c r="S71" s="108">
        <v>0</v>
      </c>
      <c r="T71" s="108">
        <v>0</v>
      </c>
      <c r="U71" s="108">
        <v>0</v>
      </c>
      <c r="V71" s="108">
        <v>0</v>
      </c>
      <c r="W71" s="108">
        <v>0</v>
      </c>
      <c r="X71" s="108">
        <v>0</v>
      </c>
      <c r="Y71" s="108">
        <v>0</v>
      </c>
      <c r="Z71" s="108"/>
      <c r="AA71" s="108">
        <v>0</v>
      </c>
      <c r="AB71" s="108">
        <v>0</v>
      </c>
      <c r="AC71" s="108">
        <v>0</v>
      </c>
      <c r="AD71" s="108">
        <v>0</v>
      </c>
      <c r="AE71" s="108">
        <v>0</v>
      </c>
      <c r="AF71" s="108">
        <v>0</v>
      </c>
      <c r="AG71" s="108">
        <v>0</v>
      </c>
      <c r="AH71" s="108">
        <v>0</v>
      </c>
      <c r="AI71" s="108">
        <v>0</v>
      </c>
      <c r="AJ71" s="108">
        <v>0</v>
      </c>
      <c r="AK71" s="108">
        <v>0</v>
      </c>
      <c r="AL71" s="108">
        <v>0</v>
      </c>
      <c r="AM71" s="45"/>
      <c r="AN71" s="45"/>
      <c r="AO71" s="45"/>
      <c r="AP71" s="45"/>
      <c r="AQ71" s="45"/>
      <c r="AR71" s="45"/>
      <c r="AS71" s="45"/>
      <c r="AT71" s="45"/>
      <c r="AU71" s="45"/>
      <c r="AV71" s="45"/>
      <c r="AW71" s="45"/>
      <c r="AX71" s="45"/>
      <c r="AY71" s="45"/>
      <c r="AZ71" s="45"/>
      <c r="BA71" s="45"/>
      <c r="BB71" s="45"/>
      <c r="BC71" s="45"/>
      <c r="BD71" s="45"/>
      <c r="BE71" s="45"/>
      <c r="BF71" s="45"/>
      <c r="BG71" s="45"/>
      <c r="BH71" s="45"/>
      <c r="BI71" s="45"/>
      <c r="BJ71" s="45"/>
      <c r="BK71" s="45"/>
      <c r="BL71" s="45"/>
      <c r="BM71" s="45"/>
      <c r="BN71" s="45"/>
      <c r="BO71" s="45"/>
      <c r="BP71" s="45"/>
      <c r="BQ71" s="45"/>
      <c r="BR71" s="45"/>
      <c r="BS71" s="45"/>
      <c r="BT71" s="45"/>
      <c r="BU71" s="45"/>
      <c r="BV71" s="45"/>
      <c r="BW71" s="45"/>
      <c r="BX71" s="45"/>
      <c r="BY71" s="45"/>
      <c r="BZ71" s="45"/>
      <c r="CA71" s="45"/>
      <c r="CB71" s="45"/>
      <c r="CC71" s="45"/>
      <c r="CD71" s="45"/>
      <c r="CE71" s="45"/>
      <c r="CF71" s="45"/>
      <c r="CG71" s="45"/>
      <c r="CH71" s="45"/>
      <c r="CI71" s="45"/>
      <c r="CJ71" s="45"/>
      <c r="CK71" s="45"/>
      <c r="CL71" s="45"/>
      <c r="CM71" s="45"/>
      <c r="CN71" s="45"/>
      <c r="CO71" s="45"/>
      <c r="CP71" s="45"/>
      <c r="CQ71" s="45"/>
      <c r="CR71" s="45"/>
      <c r="CS71" s="45"/>
      <c r="CT71" s="45"/>
      <c r="CU71" s="45"/>
      <c r="CV71" s="45"/>
      <c r="CW71" s="45"/>
    </row>
    <row r="72" spans="2:101" s="25" customFormat="1">
      <c r="B72" s="25" t="s">
        <v>88</v>
      </c>
      <c r="C72" s="108">
        <v>0</v>
      </c>
      <c r="D72" s="108">
        <v>0</v>
      </c>
      <c r="E72" s="108">
        <v>0</v>
      </c>
      <c r="F72" s="108">
        <v>0</v>
      </c>
      <c r="G72" s="108">
        <v>0</v>
      </c>
      <c r="H72" s="108">
        <v>0</v>
      </c>
      <c r="I72" s="108">
        <v>0</v>
      </c>
      <c r="J72" s="108">
        <v>0</v>
      </c>
      <c r="K72" s="108">
        <v>0</v>
      </c>
      <c r="L72" s="109">
        <v>0</v>
      </c>
      <c r="M72" s="108">
        <v>0</v>
      </c>
      <c r="N72" s="108">
        <v>0</v>
      </c>
      <c r="O72" s="108">
        <v>0</v>
      </c>
      <c r="P72" s="108">
        <v>0</v>
      </c>
      <c r="Q72" s="108">
        <v>0</v>
      </c>
      <c r="R72" s="108">
        <v>0</v>
      </c>
      <c r="S72" s="108">
        <v>0</v>
      </c>
      <c r="T72" s="108">
        <v>0</v>
      </c>
      <c r="U72" s="108">
        <v>0</v>
      </c>
      <c r="V72" s="108">
        <v>0</v>
      </c>
      <c r="W72" s="108">
        <v>0</v>
      </c>
      <c r="X72" s="108">
        <v>0</v>
      </c>
      <c r="Y72" s="108">
        <v>0</v>
      </c>
      <c r="Z72" s="108"/>
      <c r="AA72" s="108">
        <v>0</v>
      </c>
      <c r="AB72" s="108">
        <v>0</v>
      </c>
      <c r="AC72" s="108">
        <v>0</v>
      </c>
      <c r="AD72" s="108">
        <v>0</v>
      </c>
      <c r="AE72" s="108">
        <v>0</v>
      </c>
      <c r="AF72" s="108">
        <v>0</v>
      </c>
      <c r="AG72" s="108">
        <v>0</v>
      </c>
      <c r="AH72" s="108">
        <v>0</v>
      </c>
      <c r="AI72" s="108">
        <v>0</v>
      </c>
      <c r="AJ72" s="108">
        <v>0</v>
      </c>
      <c r="AK72" s="108">
        <v>0</v>
      </c>
      <c r="AL72" s="108">
        <v>0</v>
      </c>
      <c r="AM72" s="45"/>
      <c r="AN72" s="45"/>
      <c r="AO72" s="45"/>
      <c r="AP72" s="45"/>
      <c r="AQ72" s="45"/>
      <c r="AR72" s="45"/>
      <c r="AS72" s="45"/>
      <c r="AT72" s="45"/>
      <c r="AU72" s="45"/>
      <c r="AV72" s="45"/>
      <c r="AW72" s="45"/>
      <c r="AX72" s="45"/>
      <c r="AY72" s="45"/>
      <c r="AZ72" s="45"/>
      <c r="BA72" s="45"/>
      <c r="BB72" s="45"/>
      <c r="BC72" s="45"/>
      <c r="BD72" s="45"/>
      <c r="BE72" s="45"/>
      <c r="BF72" s="45"/>
      <c r="BG72" s="45"/>
      <c r="BH72" s="45"/>
      <c r="BI72" s="45"/>
      <c r="BJ72" s="45"/>
      <c r="BK72" s="45"/>
      <c r="BL72" s="45"/>
      <c r="BM72" s="45"/>
      <c r="BN72" s="45"/>
      <c r="BO72" s="45"/>
      <c r="BP72" s="45"/>
      <c r="BQ72" s="45"/>
      <c r="BR72" s="45"/>
      <c r="BS72" s="45"/>
      <c r="BT72" s="45"/>
      <c r="BU72" s="45"/>
      <c r="BV72" s="45"/>
      <c r="BW72" s="45"/>
      <c r="BX72" s="45"/>
      <c r="BY72" s="45"/>
      <c r="BZ72" s="45"/>
      <c r="CA72" s="45"/>
      <c r="CB72" s="45"/>
      <c r="CC72" s="45"/>
      <c r="CD72" s="45"/>
      <c r="CE72" s="45"/>
      <c r="CF72" s="45"/>
      <c r="CG72" s="45"/>
      <c r="CH72" s="45"/>
      <c r="CI72" s="45"/>
      <c r="CJ72" s="45"/>
      <c r="CK72" s="45"/>
      <c r="CL72" s="45"/>
      <c r="CM72" s="45"/>
      <c r="CN72" s="45"/>
      <c r="CO72" s="45"/>
      <c r="CP72" s="45"/>
      <c r="CQ72" s="45"/>
      <c r="CR72" s="45"/>
      <c r="CS72" s="45"/>
      <c r="CT72" s="45"/>
      <c r="CU72" s="45"/>
      <c r="CV72" s="45"/>
      <c r="CW72" s="45"/>
    </row>
    <row r="73" spans="2:101" s="25" customFormat="1">
      <c r="B73" s="25" t="s">
        <v>89</v>
      </c>
      <c r="C73" s="45">
        <v>2632.1775809500482</v>
      </c>
      <c r="D73" s="45">
        <v>761.70168289454261</v>
      </c>
      <c r="E73" s="45">
        <v>152.34033657890853</v>
      </c>
      <c r="F73" s="45">
        <v>914.04201947345109</v>
      </c>
      <c r="G73" s="45">
        <v>1873.9484087849617</v>
      </c>
      <c r="H73" s="45">
        <v>1723.4804626715877</v>
      </c>
      <c r="I73" s="45">
        <v>3041.9710845259201</v>
      </c>
      <c r="J73" s="45">
        <v>8.5445887300432037</v>
      </c>
      <c r="K73" s="45">
        <v>42.613319516920477</v>
      </c>
      <c r="L73" s="107">
        <v>0.9197053956192236</v>
      </c>
      <c r="M73" s="45">
        <v>25.005955822714757</v>
      </c>
      <c r="N73" s="66">
        <v>165.80624323232519</v>
      </c>
      <c r="O73" s="66">
        <v>152.82907210220546</v>
      </c>
      <c r="P73" s="66">
        <v>175.9222953415123</v>
      </c>
      <c r="Q73" s="66">
        <v>160.63725939656348</v>
      </c>
      <c r="R73" s="66">
        <v>165.99027797951612</v>
      </c>
      <c r="S73" s="66">
        <v>165.22431983156218</v>
      </c>
      <c r="T73" s="66">
        <v>158.29872509897422</v>
      </c>
      <c r="U73" s="66">
        <v>171.82462654226765</v>
      </c>
      <c r="V73" s="66">
        <v>153.32049895688561</v>
      </c>
      <c r="W73" s="66">
        <v>172.97423593911233</v>
      </c>
      <c r="X73" s="66">
        <v>155.67538288332329</v>
      </c>
      <c r="Y73" s="66">
        <v>161.83712557197694</v>
      </c>
      <c r="Z73" s="66"/>
      <c r="AA73" s="66">
        <v>60.610214189361365</v>
      </c>
      <c r="AB73" s="66">
        <v>52.672317103061161</v>
      </c>
      <c r="AC73" s="66">
        <v>48.987962679923839</v>
      </c>
      <c r="AD73" s="66">
        <v>55.818657094580104</v>
      </c>
      <c r="AE73" s="66">
        <v>57.08949436315303</v>
      </c>
      <c r="AF73" s="66">
        <v>50.80880853480312</v>
      </c>
      <c r="AG73" s="66">
        <v>62.292704395145293</v>
      </c>
      <c r="AH73" s="66">
        <v>51.641826243511197</v>
      </c>
      <c r="AI73" s="66">
        <v>62.156096797078746</v>
      </c>
      <c r="AJ73" s="66">
        <v>51.179105294108837</v>
      </c>
      <c r="AK73" s="66">
        <v>58.953822438859561</v>
      </c>
      <c r="AL73" s="66">
        <v>59.626508940236754</v>
      </c>
      <c r="AM73" s="45"/>
      <c r="AN73" s="45"/>
      <c r="AO73" s="45"/>
      <c r="AP73" s="45"/>
      <c r="AQ73" s="45"/>
      <c r="AR73" s="45"/>
      <c r="AS73" s="45"/>
      <c r="AT73" s="45"/>
      <c r="AU73" s="45"/>
      <c r="AV73" s="45"/>
      <c r="AW73" s="45"/>
      <c r="AX73" s="45"/>
      <c r="AY73" s="45"/>
      <c r="AZ73" s="45"/>
      <c r="BA73" s="45"/>
      <c r="BB73" s="45"/>
      <c r="BC73" s="45"/>
      <c r="BD73" s="45"/>
      <c r="BE73" s="45"/>
      <c r="BF73" s="45"/>
      <c r="BG73" s="45"/>
      <c r="BH73" s="45"/>
      <c r="BI73" s="45"/>
      <c r="BJ73" s="45"/>
      <c r="BK73" s="45"/>
      <c r="BL73" s="45"/>
      <c r="BM73" s="45"/>
      <c r="BN73" s="45"/>
      <c r="BO73" s="45"/>
      <c r="BP73" s="45"/>
      <c r="BQ73" s="45"/>
      <c r="BR73" s="45"/>
      <c r="BS73" s="45"/>
      <c r="BT73" s="45"/>
      <c r="BU73" s="45"/>
      <c r="BV73" s="45"/>
      <c r="BW73" s="45"/>
      <c r="BX73" s="45"/>
      <c r="BY73" s="45"/>
      <c r="BZ73" s="45"/>
      <c r="CA73" s="45"/>
      <c r="CB73" s="45"/>
      <c r="CC73" s="45"/>
      <c r="CD73" s="45"/>
      <c r="CE73" s="45"/>
      <c r="CF73" s="45"/>
      <c r="CG73" s="45"/>
      <c r="CH73" s="45"/>
      <c r="CI73" s="45"/>
      <c r="CJ73" s="45"/>
      <c r="CK73" s="45"/>
      <c r="CL73" s="45"/>
      <c r="CM73" s="45"/>
      <c r="CN73" s="45"/>
      <c r="CO73" s="45"/>
      <c r="CP73" s="45"/>
      <c r="CQ73" s="45"/>
      <c r="CR73" s="45"/>
      <c r="CS73" s="45"/>
      <c r="CT73" s="45"/>
      <c r="CU73" s="45"/>
      <c r="CV73" s="45"/>
      <c r="CW73" s="45"/>
    </row>
    <row r="74" spans="2:101" s="25" customFormat="1">
      <c r="B74" s="25" t="s">
        <v>90</v>
      </c>
      <c r="C74" s="108">
        <v>0</v>
      </c>
      <c r="D74" s="108">
        <v>0</v>
      </c>
      <c r="E74" s="108">
        <v>0</v>
      </c>
      <c r="F74" s="108">
        <v>0</v>
      </c>
      <c r="G74" s="108">
        <v>0</v>
      </c>
      <c r="H74" s="108">
        <v>0</v>
      </c>
      <c r="I74" s="108">
        <v>0</v>
      </c>
      <c r="J74" s="108">
        <v>0</v>
      </c>
      <c r="K74" s="108">
        <v>0</v>
      </c>
      <c r="L74" s="109">
        <v>0</v>
      </c>
      <c r="M74" s="108">
        <v>0</v>
      </c>
      <c r="N74" s="108">
        <v>0</v>
      </c>
      <c r="O74" s="108">
        <v>0</v>
      </c>
      <c r="P74" s="108">
        <v>0</v>
      </c>
      <c r="Q74" s="108">
        <v>0</v>
      </c>
      <c r="R74" s="108">
        <v>0</v>
      </c>
      <c r="S74" s="108">
        <v>0</v>
      </c>
      <c r="T74" s="108">
        <v>0</v>
      </c>
      <c r="U74" s="108">
        <v>0</v>
      </c>
      <c r="V74" s="108">
        <v>0</v>
      </c>
      <c r="W74" s="108">
        <v>0</v>
      </c>
      <c r="X74" s="108">
        <v>0</v>
      </c>
      <c r="Y74" s="108">
        <v>0</v>
      </c>
      <c r="Z74" s="108"/>
      <c r="AA74" s="108">
        <v>0</v>
      </c>
      <c r="AB74" s="108">
        <v>0</v>
      </c>
      <c r="AC74" s="108">
        <v>0</v>
      </c>
      <c r="AD74" s="108">
        <v>0</v>
      </c>
      <c r="AE74" s="108">
        <v>0</v>
      </c>
      <c r="AF74" s="108">
        <v>0</v>
      </c>
      <c r="AG74" s="108">
        <v>0</v>
      </c>
      <c r="AH74" s="108">
        <v>0</v>
      </c>
      <c r="AI74" s="108">
        <v>0</v>
      </c>
      <c r="AJ74" s="108">
        <v>0</v>
      </c>
      <c r="AK74" s="108">
        <v>0</v>
      </c>
      <c r="AL74" s="108">
        <v>0</v>
      </c>
      <c r="AM74" s="45"/>
      <c r="AN74" s="45"/>
      <c r="AO74" s="45"/>
      <c r="AP74" s="45"/>
      <c r="AQ74" s="45"/>
      <c r="AR74" s="45"/>
      <c r="AS74" s="45"/>
      <c r="AT74" s="45"/>
      <c r="AU74" s="45"/>
      <c r="AV74" s="45"/>
      <c r="AW74" s="45"/>
      <c r="AX74" s="45"/>
      <c r="AY74" s="45"/>
      <c r="AZ74" s="45"/>
      <c r="BA74" s="45"/>
      <c r="BB74" s="45"/>
      <c r="BC74" s="45"/>
      <c r="BD74" s="45"/>
      <c r="BE74" s="45"/>
      <c r="BF74" s="45"/>
      <c r="BG74" s="45"/>
      <c r="BH74" s="45"/>
      <c r="BI74" s="45"/>
      <c r="BJ74" s="45"/>
      <c r="BK74" s="45"/>
      <c r="BL74" s="45"/>
      <c r="BM74" s="45"/>
      <c r="BN74" s="45"/>
      <c r="BO74" s="45"/>
      <c r="BP74" s="45"/>
      <c r="BQ74" s="45"/>
      <c r="BR74" s="45"/>
      <c r="BS74" s="45"/>
      <c r="BT74" s="45"/>
      <c r="BU74" s="45"/>
      <c r="BV74" s="45"/>
      <c r="BW74" s="45"/>
      <c r="BX74" s="45"/>
      <c r="BY74" s="45"/>
      <c r="BZ74" s="45"/>
      <c r="CA74" s="45"/>
      <c r="CB74" s="45"/>
      <c r="CC74" s="45"/>
      <c r="CD74" s="45"/>
      <c r="CE74" s="45"/>
      <c r="CF74" s="45"/>
      <c r="CG74" s="45"/>
      <c r="CH74" s="45"/>
      <c r="CI74" s="45"/>
      <c r="CJ74" s="45"/>
      <c r="CK74" s="45"/>
      <c r="CL74" s="45"/>
      <c r="CM74" s="45"/>
      <c r="CN74" s="45"/>
      <c r="CO74" s="45"/>
      <c r="CP74" s="45"/>
      <c r="CQ74" s="45"/>
      <c r="CR74" s="45"/>
      <c r="CS74" s="45"/>
      <c r="CT74" s="45"/>
      <c r="CU74" s="45"/>
      <c r="CV74" s="45"/>
      <c r="CW74" s="45"/>
    </row>
    <row r="75" spans="2:101" s="25" customFormat="1">
      <c r="B75" s="25" t="s">
        <v>91</v>
      </c>
      <c r="C75" s="45">
        <v>1793.3771286178865</v>
      </c>
      <c r="D75" s="45">
        <v>923.75718443129779</v>
      </c>
      <c r="E75" s="45">
        <v>184.75143688625957</v>
      </c>
      <c r="F75" s="45">
        <v>1108.5086213175573</v>
      </c>
      <c r="G75" s="45">
        <v>1902.2304211498317</v>
      </c>
      <c r="H75" s="45">
        <v>1174.2560478231101</v>
      </c>
      <c r="I75" s="45">
        <v>5414.6645274914836</v>
      </c>
      <c r="J75" s="45">
        <v>22.831541633284047</v>
      </c>
      <c r="K75" s="45">
        <v>68.275612519602518</v>
      </c>
      <c r="L75" s="107">
        <v>0.61730484107877603</v>
      </c>
      <c r="M75" s="45">
        <v>17.037265865435891</v>
      </c>
      <c r="N75" s="66">
        <v>112.96848911219003</v>
      </c>
      <c r="O75" s="66">
        <v>104.12677491047685</v>
      </c>
      <c r="P75" s="66">
        <v>119.86084189865166</v>
      </c>
      <c r="Q75" s="66">
        <v>109.44671404034827</v>
      </c>
      <c r="R75" s="66">
        <v>113.09387719727663</v>
      </c>
      <c r="S75" s="66">
        <v>112.57200821930162</v>
      </c>
      <c r="T75" s="66">
        <v>107.85340439660024</v>
      </c>
      <c r="U75" s="66">
        <v>117.06898410060595</v>
      </c>
      <c r="V75" s="66">
        <v>104.46159794367583</v>
      </c>
      <c r="W75" s="66">
        <v>117.85224553937304</v>
      </c>
      <c r="X75" s="66">
        <v>106.06604705257634</v>
      </c>
      <c r="Y75" s="66">
        <v>110.26421684561571</v>
      </c>
      <c r="Z75" s="66"/>
      <c r="AA75" s="66">
        <v>41.295455395756115</v>
      </c>
      <c r="AB75" s="66">
        <v>35.887141311280409</v>
      </c>
      <c r="AC75" s="66">
        <v>33.376886302653006</v>
      </c>
      <c r="AD75" s="66">
        <v>38.030831851190435</v>
      </c>
      <c r="AE75" s="66">
        <v>38.896689272113875</v>
      </c>
      <c r="AF75" s="66">
        <v>34.617480149554687</v>
      </c>
      <c r="AG75" s="66">
        <v>42.441783620726198</v>
      </c>
      <c r="AH75" s="66">
        <v>35.185038705384173</v>
      </c>
      <c r="AI75" s="66">
        <v>42.348708995464946</v>
      </c>
      <c r="AJ75" s="66">
        <v>34.869773818396176</v>
      </c>
      <c r="AK75" s="66">
        <v>40.166908787472529</v>
      </c>
      <c r="AL75" s="66">
        <v>40.625229151201339</v>
      </c>
      <c r="AM75" s="45"/>
      <c r="AN75" s="45"/>
      <c r="AO75" s="45"/>
      <c r="AP75" s="45"/>
      <c r="AQ75" s="45"/>
      <c r="AR75" s="45"/>
      <c r="AS75" s="45"/>
      <c r="AT75" s="45"/>
      <c r="AU75" s="45"/>
      <c r="AV75" s="45"/>
      <c r="AW75" s="45"/>
      <c r="AX75" s="45"/>
      <c r="AY75" s="45"/>
      <c r="AZ75" s="45"/>
      <c r="BA75" s="45"/>
      <c r="BB75" s="45"/>
      <c r="BC75" s="45"/>
      <c r="BD75" s="45"/>
      <c r="BE75" s="45"/>
      <c r="BF75" s="45"/>
      <c r="BG75" s="45"/>
      <c r="BH75" s="45"/>
      <c r="BI75" s="45"/>
      <c r="BJ75" s="45"/>
      <c r="BK75" s="45"/>
      <c r="BL75" s="45"/>
      <c r="BM75" s="45"/>
      <c r="BN75" s="45"/>
      <c r="BO75" s="45"/>
      <c r="BP75" s="45"/>
      <c r="BQ75" s="45"/>
      <c r="BR75" s="45"/>
      <c r="BS75" s="45"/>
      <c r="BT75" s="45"/>
      <c r="BU75" s="45"/>
      <c r="BV75" s="45"/>
      <c r="BW75" s="45"/>
      <c r="BX75" s="45"/>
      <c r="BY75" s="45"/>
      <c r="BZ75" s="45"/>
      <c r="CA75" s="45"/>
      <c r="CB75" s="45"/>
      <c r="CC75" s="45"/>
      <c r="CD75" s="45"/>
      <c r="CE75" s="45"/>
      <c r="CF75" s="45"/>
      <c r="CG75" s="45"/>
      <c r="CH75" s="45"/>
      <c r="CI75" s="45"/>
      <c r="CJ75" s="45"/>
      <c r="CK75" s="45"/>
      <c r="CL75" s="45"/>
      <c r="CM75" s="45"/>
      <c r="CN75" s="45"/>
      <c r="CO75" s="45"/>
      <c r="CP75" s="45"/>
      <c r="CQ75" s="45"/>
      <c r="CR75" s="45"/>
      <c r="CS75" s="45"/>
      <c r="CT75" s="45"/>
      <c r="CU75" s="45"/>
      <c r="CV75" s="45"/>
      <c r="CW75" s="45"/>
    </row>
    <row r="76" spans="2:101" s="25" customFormat="1">
      <c r="B76" s="25" t="s">
        <v>92</v>
      </c>
      <c r="C76" s="108">
        <v>0</v>
      </c>
      <c r="D76" s="108">
        <v>0</v>
      </c>
      <c r="E76" s="108">
        <v>0</v>
      </c>
      <c r="F76" s="108">
        <v>0</v>
      </c>
      <c r="G76" s="108">
        <v>0</v>
      </c>
      <c r="H76" s="108">
        <v>0</v>
      </c>
      <c r="I76" s="108">
        <v>0</v>
      </c>
      <c r="J76" s="108">
        <v>0</v>
      </c>
      <c r="K76" s="108">
        <v>0</v>
      </c>
      <c r="L76" s="109">
        <v>0</v>
      </c>
      <c r="M76" s="108">
        <v>0</v>
      </c>
      <c r="N76" s="108">
        <v>0</v>
      </c>
      <c r="O76" s="108">
        <v>0</v>
      </c>
      <c r="P76" s="108">
        <v>0</v>
      </c>
      <c r="Q76" s="108">
        <v>0</v>
      </c>
      <c r="R76" s="108">
        <v>0</v>
      </c>
      <c r="S76" s="108">
        <v>0</v>
      </c>
      <c r="T76" s="108">
        <v>0</v>
      </c>
      <c r="U76" s="108">
        <v>0</v>
      </c>
      <c r="V76" s="108">
        <v>0</v>
      </c>
      <c r="W76" s="108">
        <v>0</v>
      </c>
      <c r="X76" s="108">
        <v>0</v>
      </c>
      <c r="Y76" s="108">
        <v>0</v>
      </c>
      <c r="Z76" s="108"/>
      <c r="AA76" s="108">
        <v>0</v>
      </c>
      <c r="AB76" s="108">
        <v>0</v>
      </c>
      <c r="AC76" s="108">
        <v>0</v>
      </c>
      <c r="AD76" s="108">
        <v>0</v>
      </c>
      <c r="AE76" s="108">
        <v>0</v>
      </c>
      <c r="AF76" s="108">
        <v>0</v>
      </c>
      <c r="AG76" s="108">
        <v>0</v>
      </c>
      <c r="AH76" s="108">
        <v>0</v>
      </c>
      <c r="AI76" s="108">
        <v>0</v>
      </c>
      <c r="AJ76" s="108">
        <v>0</v>
      </c>
      <c r="AK76" s="108">
        <v>0</v>
      </c>
      <c r="AL76" s="108">
        <v>0</v>
      </c>
      <c r="AM76" s="45"/>
      <c r="AN76" s="45"/>
      <c r="AO76" s="45"/>
      <c r="AP76" s="45"/>
      <c r="AQ76" s="45"/>
      <c r="AR76" s="45"/>
      <c r="AS76" s="45"/>
      <c r="AT76" s="45"/>
      <c r="AU76" s="45"/>
      <c r="AV76" s="45"/>
      <c r="AW76" s="45"/>
      <c r="AX76" s="45"/>
      <c r="AY76" s="45"/>
      <c r="AZ76" s="45"/>
      <c r="BA76" s="45"/>
      <c r="BB76" s="45"/>
      <c r="BC76" s="45"/>
      <c r="BD76" s="45"/>
      <c r="BE76" s="45"/>
      <c r="BF76" s="45"/>
      <c r="BG76" s="45"/>
      <c r="BH76" s="45"/>
      <c r="BI76" s="45"/>
      <c r="BJ76" s="45"/>
      <c r="BK76" s="45"/>
      <c r="BL76" s="45"/>
      <c r="BM76" s="45"/>
      <c r="BN76" s="45"/>
      <c r="BO76" s="45"/>
      <c r="BP76" s="45"/>
      <c r="BQ76" s="45"/>
      <c r="BR76" s="45"/>
      <c r="BS76" s="45"/>
      <c r="BT76" s="45"/>
      <c r="BU76" s="45"/>
      <c r="BV76" s="45"/>
      <c r="BW76" s="45"/>
      <c r="BX76" s="45"/>
      <c r="BY76" s="45"/>
      <c r="BZ76" s="45"/>
      <c r="CA76" s="45"/>
      <c r="CB76" s="45"/>
      <c r="CC76" s="45"/>
      <c r="CD76" s="45"/>
      <c r="CE76" s="45"/>
      <c r="CF76" s="45"/>
      <c r="CG76" s="45"/>
      <c r="CH76" s="45"/>
      <c r="CI76" s="45"/>
      <c r="CJ76" s="45"/>
      <c r="CK76" s="45"/>
      <c r="CL76" s="45"/>
      <c r="CM76" s="45"/>
      <c r="CN76" s="45"/>
      <c r="CO76" s="45"/>
      <c r="CP76" s="45"/>
      <c r="CQ76" s="45"/>
      <c r="CR76" s="45"/>
      <c r="CS76" s="45"/>
      <c r="CT76" s="45"/>
      <c r="CU76" s="45"/>
      <c r="CV76" s="45"/>
      <c r="CW76" s="45"/>
    </row>
    <row r="77" spans="2:101" s="25" customFormat="1">
      <c r="B77" s="25" t="s">
        <v>93</v>
      </c>
      <c r="C77" s="45">
        <v>690.70949549977809</v>
      </c>
      <c r="D77" s="45">
        <v>667.18747511257516</v>
      </c>
      <c r="E77" s="45">
        <v>133.43749502251504</v>
      </c>
      <c r="F77" s="45">
        <v>800.62497013509017</v>
      </c>
      <c r="G77" s="45">
        <v>846.94001781105101</v>
      </c>
      <c r="H77" s="45">
        <v>452.25836185640208</v>
      </c>
      <c r="I77" s="45">
        <v>10154.015232277407</v>
      </c>
      <c r="J77" s="45">
        <v>51.369101136372585</v>
      </c>
      <c r="K77" s="45">
        <v>80.452736427153098</v>
      </c>
      <c r="L77" s="107">
        <v>0.53399101748112121</v>
      </c>
      <c r="M77" s="45">
        <v>6.5618107440011819</v>
      </c>
      <c r="N77" s="66">
        <v>43.509202206781573</v>
      </c>
      <c r="O77" s="66">
        <v>40.103863832512751</v>
      </c>
      <c r="P77" s="66">
        <v>46.163754581725875</v>
      </c>
      <c r="Q77" s="66">
        <v>42.152809597375324</v>
      </c>
      <c r="R77" s="66">
        <v>43.557494749164221</v>
      </c>
      <c r="S77" s="66">
        <v>43.3564997366027</v>
      </c>
      <c r="T77" s="66">
        <v>41.539155010926862</v>
      </c>
      <c r="U77" s="66">
        <v>45.088485660078916</v>
      </c>
      <c r="V77" s="66">
        <v>40.232819111718747</v>
      </c>
      <c r="W77" s="66">
        <v>45.390154564283243</v>
      </c>
      <c r="X77" s="66">
        <v>40.850764002884951</v>
      </c>
      <c r="Y77" s="66">
        <v>42.467666378576212</v>
      </c>
      <c r="Z77" s="66"/>
      <c r="AA77" s="66">
        <v>15.904721158576628</v>
      </c>
      <c r="AB77" s="66">
        <v>13.821738258225112</v>
      </c>
      <c r="AC77" s="66">
        <v>12.854927126914951</v>
      </c>
      <c r="AD77" s="66">
        <v>14.647369068221007</v>
      </c>
      <c r="AE77" s="66">
        <v>14.980849367951201</v>
      </c>
      <c r="AF77" s="66">
        <v>13.332735133072573</v>
      </c>
      <c r="AG77" s="66">
        <v>16.346223270603922</v>
      </c>
      <c r="AH77" s="66">
        <v>13.551327239277073</v>
      </c>
      <c r="AI77" s="66">
        <v>16.310376082395621</v>
      </c>
      <c r="AJ77" s="66">
        <v>13.429904674237397</v>
      </c>
      <c r="AK77" s="66">
        <v>15.47006753998371</v>
      </c>
      <c r="AL77" s="66">
        <v>15.6465871476874</v>
      </c>
      <c r="AM77" s="45"/>
      <c r="AN77" s="45"/>
      <c r="AO77" s="45"/>
      <c r="AP77" s="45"/>
      <c r="AQ77" s="45"/>
      <c r="AR77" s="45"/>
      <c r="AS77" s="45"/>
      <c r="AT77" s="45"/>
      <c r="AU77" s="45"/>
      <c r="AV77" s="45"/>
      <c r="AW77" s="45"/>
      <c r="AX77" s="45"/>
      <c r="AY77" s="45"/>
      <c r="AZ77" s="45"/>
      <c r="BA77" s="45"/>
      <c r="BB77" s="45"/>
      <c r="BC77" s="45"/>
      <c r="BD77" s="45"/>
      <c r="BE77" s="45"/>
      <c r="BF77" s="45"/>
      <c r="BG77" s="45"/>
      <c r="BH77" s="45"/>
      <c r="BI77" s="45"/>
      <c r="BJ77" s="45"/>
      <c r="BK77" s="45"/>
      <c r="BL77" s="45"/>
      <c r="BM77" s="45"/>
      <c r="BN77" s="45"/>
      <c r="BO77" s="45"/>
      <c r="BP77" s="45"/>
      <c r="BQ77" s="45"/>
      <c r="BR77" s="45"/>
      <c r="BS77" s="45"/>
      <c r="BT77" s="45"/>
      <c r="BU77" s="45"/>
      <c r="BV77" s="45"/>
      <c r="BW77" s="45"/>
      <c r="BX77" s="45"/>
      <c r="BY77" s="45"/>
      <c r="BZ77" s="45"/>
      <c r="CA77" s="45"/>
      <c r="CB77" s="45"/>
      <c r="CC77" s="45"/>
      <c r="CD77" s="45"/>
      <c r="CE77" s="45"/>
      <c r="CF77" s="45"/>
      <c r="CG77" s="45"/>
      <c r="CH77" s="45"/>
      <c r="CI77" s="45"/>
      <c r="CJ77" s="45"/>
      <c r="CK77" s="45"/>
      <c r="CL77" s="45"/>
      <c r="CM77" s="45"/>
      <c r="CN77" s="45"/>
      <c r="CO77" s="45"/>
      <c r="CP77" s="45"/>
      <c r="CQ77" s="45"/>
      <c r="CR77" s="45"/>
      <c r="CS77" s="45"/>
      <c r="CT77" s="45"/>
      <c r="CU77" s="45"/>
      <c r="CV77" s="45"/>
      <c r="CW77" s="45"/>
    </row>
    <row r="78" spans="2:101" s="25" customFormat="1">
      <c r="B78" s="25" t="s">
        <v>94</v>
      </c>
      <c r="C78" s="108">
        <v>0</v>
      </c>
      <c r="D78" s="108">
        <v>0</v>
      </c>
      <c r="E78" s="108">
        <v>0</v>
      </c>
      <c r="F78" s="108">
        <v>0</v>
      </c>
      <c r="G78" s="108">
        <v>0</v>
      </c>
      <c r="H78" s="108">
        <v>0</v>
      </c>
      <c r="I78" s="108">
        <v>0</v>
      </c>
      <c r="J78" s="108">
        <v>0</v>
      </c>
      <c r="K78" s="108">
        <v>0</v>
      </c>
      <c r="L78" s="109">
        <v>0</v>
      </c>
      <c r="M78" s="108">
        <v>0</v>
      </c>
      <c r="N78" s="108">
        <v>0</v>
      </c>
      <c r="O78" s="108">
        <v>0</v>
      </c>
      <c r="P78" s="108">
        <v>0</v>
      </c>
      <c r="Q78" s="108">
        <v>0</v>
      </c>
      <c r="R78" s="108">
        <v>0</v>
      </c>
      <c r="S78" s="108">
        <v>0</v>
      </c>
      <c r="T78" s="108">
        <v>0</v>
      </c>
      <c r="U78" s="108">
        <v>0</v>
      </c>
      <c r="V78" s="108">
        <v>0</v>
      </c>
      <c r="W78" s="108">
        <v>0</v>
      </c>
      <c r="X78" s="108">
        <v>0</v>
      </c>
      <c r="Y78" s="108">
        <v>0</v>
      </c>
      <c r="Z78" s="108"/>
      <c r="AA78" s="108">
        <v>0</v>
      </c>
      <c r="AB78" s="108">
        <v>0</v>
      </c>
      <c r="AC78" s="108">
        <v>0</v>
      </c>
      <c r="AD78" s="108">
        <v>0</v>
      </c>
      <c r="AE78" s="108">
        <v>0</v>
      </c>
      <c r="AF78" s="108">
        <v>0</v>
      </c>
      <c r="AG78" s="108">
        <v>0</v>
      </c>
      <c r="AH78" s="108">
        <v>0</v>
      </c>
      <c r="AI78" s="108">
        <v>0</v>
      </c>
      <c r="AJ78" s="108">
        <v>0</v>
      </c>
      <c r="AK78" s="108">
        <v>0</v>
      </c>
      <c r="AL78" s="108">
        <v>0</v>
      </c>
      <c r="AM78" s="45"/>
      <c r="AN78" s="45"/>
      <c r="AO78" s="45"/>
      <c r="AP78" s="45"/>
      <c r="AQ78" s="45"/>
      <c r="AR78" s="45"/>
      <c r="AS78" s="45"/>
      <c r="AT78" s="45"/>
      <c r="AU78" s="45"/>
      <c r="AV78" s="45"/>
      <c r="AW78" s="45"/>
      <c r="AX78" s="45"/>
      <c r="AY78" s="45"/>
      <c r="AZ78" s="45"/>
      <c r="BA78" s="45"/>
      <c r="BB78" s="45"/>
      <c r="BC78" s="45"/>
      <c r="BD78" s="45"/>
      <c r="BE78" s="45"/>
      <c r="BF78" s="45"/>
      <c r="BG78" s="45"/>
      <c r="BH78" s="45"/>
      <c r="BI78" s="45"/>
      <c r="BJ78" s="45"/>
      <c r="BK78" s="45"/>
      <c r="BL78" s="45"/>
      <c r="BM78" s="45"/>
      <c r="BN78" s="45"/>
      <c r="BO78" s="45"/>
      <c r="BP78" s="45"/>
      <c r="BQ78" s="45"/>
      <c r="BR78" s="45"/>
      <c r="BS78" s="45"/>
      <c r="BT78" s="45"/>
      <c r="BU78" s="45"/>
      <c r="BV78" s="45"/>
      <c r="BW78" s="45"/>
      <c r="BX78" s="45"/>
      <c r="BY78" s="45"/>
      <c r="BZ78" s="45"/>
      <c r="CA78" s="45"/>
      <c r="CB78" s="45"/>
      <c r="CC78" s="45"/>
      <c r="CD78" s="45"/>
      <c r="CE78" s="45"/>
      <c r="CF78" s="45"/>
      <c r="CG78" s="45"/>
      <c r="CH78" s="45"/>
      <c r="CI78" s="45"/>
      <c r="CJ78" s="45"/>
      <c r="CK78" s="45"/>
      <c r="CL78" s="45"/>
      <c r="CM78" s="45"/>
      <c r="CN78" s="45"/>
      <c r="CO78" s="45"/>
      <c r="CP78" s="45"/>
      <c r="CQ78" s="45"/>
      <c r="CR78" s="45"/>
      <c r="CS78" s="45"/>
      <c r="CT78" s="45"/>
      <c r="CU78" s="45"/>
      <c r="CV78" s="45"/>
      <c r="CW78" s="45"/>
    </row>
    <row r="79" spans="2:101" s="25" customFormat="1">
      <c r="B79" s="25" t="s">
        <v>95</v>
      </c>
      <c r="C79" s="108">
        <v>0</v>
      </c>
      <c r="D79" s="108">
        <v>0</v>
      </c>
      <c r="E79" s="108">
        <v>0</v>
      </c>
      <c r="F79" s="108">
        <v>0</v>
      </c>
      <c r="G79" s="108">
        <v>0</v>
      </c>
      <c r="H79" s="108">
        <v>0</v>
      </c>
      <c r="I79" s="108">
        <v>0</v>
      </c>
      <c r="J79" s="108">
        <v>0</v>
      </c>
      <c r="K79" s="108">
        <v>0</v>
      </c>
      <c r="L79" s="109">
        <v>0</v>
      </c>
      <c r="M79" s="108">
        <v>0</v>
      </c>
      <c r="N79" s="108">
        <v>0</v>
      </c>
      <c r="O79" s="108">
        <v>0</v>
      </c>
      <c r="P79" s="108">
        <v>0</v>
      </c>
      <c r="Q79" s="108">
        <v>0</v>
      </c>
      <c r="R79" s="108">
        <v>0</v>
      </c>
      <c r="S79" s="108">
        <v>0</v>
      </c>
      <c r="T79" s="108">
        <v>0</v>
      </c>
      <c r="U79" s="108">
        <v>0</v>
      </c>
      <c r="V79" s="108">
        <v>0</v>
      </c>
      <c r="W79" s="108">
        <v>0</v>
      </c>
      <c r="X79" s="108">
        <v>0</v>
      </c>
      <c r="Y79" s="108">
        <v>0</v>
      </c>
      <c r="Z79" s="108"/>
      <c r="AA79" s="108">
        <v>0</v>
      </c>
      <c r="AB79" s="108">
        <v>0</v>
      </c>
      <c r="AC79" s="108">
        <v>0</v>
      </c>
      <c r="AD79" s="108">
        <v>0</v>
      </c>
      <c r="AE79" s="108">
        <v>0</v>
      </c>
      <c r="AF79" s="108">
        <v>0</v>
      </c>
      <c r="AG79" s="108">
        <v>0</v>
      </c>
      <c r="AH79" s="108">
        <v>0</v>
      </c>
      <c r="AI79" s="108">
        <v>0</v>
      </c>
      <c r="AJ79" s="108">
        <v>0</v>
      </c>
      <c r="AK79" s="108">
        <v>0</v>
      </c>
      <c r="AL79" s="108">
        <v>0</v>
      </c>
      <c r="AM79" s="45"/>
      <c r="AN79" s="45"/>
      <c r="AO79" s="45"/>
      <c r="AP79" s="45"/>
      <c r="AQ79" s="45"/>
      <c r="AR79" s="45"/>
      <c r="AS79" s="45"/>
      <c r="AT79" s="45"/>
      <c r="AU79" s="45"/>
      <c r="AV79" s="45"/>
      <c r="AW79" s="45"/>
      <c r="AX79" s="45"/>
      <c r="AY79" s="45"/>
      <c r="AZ79" s="45"/>
      <c r="BA79" s="45"/>
      <c r="BB79" s="45"/>
      <c r="BC79" s="45"/>
      <c r="BD79" s="45"/>
      <c r="BE79" s="45"/>
      <c r="BF79" s="45"/>
      <c r="BG79" s="45"/>
      <c r="BH79" s="45"/>
      <c r="BI79" s="45"/>
      <c r="BJ79" s="45"/>
      <c r="BK79" s="45"/>
      <c r="BL79" s="45"/>
      <c r="BM79" s="45"/>
      <c r="BN79" s="45"/>
      <c r="BO79" s="45"/>
      <c r="BP79" s="45"/>
      <c r="BQ79" s="45"/>
      <c r="BR79" s="45"/>
      <c r="BS79" s="45"/>
      <c r="BT79" s="45"/>
      <c r="BU79" s="45"/>
      <c r="BV79" s="45"/>
      <c r="BW79" s="45"/>
      <c r="BX79" s="45"/>
      <c r="BY79" s="45"/>
      <c r="BZ79" s="45"/>
      <c r="CA79" s="45"/>
      <c r="CB79" s="45"/>
      <c r="CC79" s="45"/>
      <c r="CD79" s="45"/>
      <c r="CE79" s="45"/>
      <c r="CF79" s="45"/>
      <c r="CG79" s="45"/>
      <c r="CH79" s="45"/>
      <c r="CI79" s="45"/>
      <c r="CJ79" s="45"/>
      <c r="CK79" s="45"/>
      <c r="CL79" s="45"/>
      <c r="CM79" s="45"/>
      <c r="CN79" s="45"/>
      <c r="CO79" s="45"/>
      <c r="CP79" s="45"/>
      <c r="CQ79" s="45"/>
      <c r="CR79" s="45"/>
      <c r="CS79" s="45"/>
      <c r="CT79" s="45"/>
      <c r="CU79" s="45"/>
      <c r="CV79" s="45"/>
      <c r="CW79" s="45"/>
    </row>
    <row r="80" spans="2:101" s="25" customFormat="1">
      <c r="B80" s="25" t="s">
        <v>96</v>
      </c>
      <c r="C80" s="108">
        <v>0</v>
      </c>
      <c r="D80" s="108">
        <v>0</v>
      </c>
      <c r="E80" s="108">
        <v>0</v>
      </c>
      <c r="F80" s="108">
        <v>0</v>
      </c>
      <c r="G80" s="108">
        <v>0</v>
      </c>
      <c r="H80" s="108">
        <v>0</v>
      </c>
      <c r="I80" s="108">
        <v>0</v>
      </c>
      <c r="J80" s="108">
        <v>0</v>
      </c>
      <c r="K80" s="108">
        <v>0</v>
      </c>
      <c r="L80" s="109">
        <v>0</v>
      </c>
      <c r="M80" s="108">
        <v>0</v>
      </c>
      <c r="N80" s="108">
        <v>0</v>
      </c>
      <c r="O80" s="108">
        <v>0</v>
      </c>
      <c r="P80" s="108">
        <v>0</v>
      </c>
      <c r="Q80" s="108">
        <v>0</v>
      </c>
      <c r="R80" s="108">
        <v>0</v>
      </c>
      <c r="S80" s="108">
        <v>0</v>
      </c>
      <c r="T80" s="108">
        <v>0</v>
      </c>
      <c r="U80" s="108">
        <v>0</v>
      </c>
      <c r="V80" s="108">
        <v>0</v>
      </c>
      <c r="W80" s="108">
        <v>0</v>
      </c>
      <c r="X80" s="108">
        <v>0</v>
      </c>
      <c r="Y80" s="108">
        <v>0</v>
      </c>
      <c r="Z80" s="108"/>
      <c r="AA80" s="108">
        <v>0</v>
      </c>
      <c r="AB80" s="108">
        <v>0</v>
      </c>
      <c r="AC80" s="108">
        <v>0</v>
      </c>
      <c r="AD80" s="108">
        <v>0</v>
      </c>
      <c r="AE80" s="108">
        <v>0</v>
      </c>
      <c r="AF80" s="108">
        <v>0</v>
      </c>
      <c r="AG80" s="108">
        <v>0</v>
      </c>
      <c r="AH80" s="108">
        <v>0</v>
      </c>
      <c r="AI80" s="108">
        <v>0</v>
      </c>
      <c r="AJ80" s="108">
        <v>0</v>
      </c>
      <c r="AK80" s="108">
        <v>0</v>
      </c>
      <c r="AL80" s="108">
        <v>0</v>
      </c>
      <c r="AM80" s="45"/>
      <c r="AN80" s="45"/>
      <c r="AO80" s="45"/>
      <c r="AP80" s="45"/>
      <c r="AQ80" s="45"/>
      <c r="AR80" s="45"/>
      <c r="AS80" s="45"/>
      <c r="AT80" s="45"/>
      <c r="AU80" s="45"/>
      <c r="AV80" s="45"/>
      <c r="AW80" s="45"/>
      <c r="AX80" s="45"/>
      <c r="AY80" s="45"/>
      <c r="AZ80" s="45"/>
      <c r="BA80" s="45"/>
      <c r="BB80" s="45"/>
      <c r="BC80" s="45"/>
      <c r="BD80" s="45"/>
      <c r="BE80" s="45"/>
      <c r="BF80" s="45"/>
      <c r="BG80" s="45"/>
      <c r="BH80" s="45"/>
      <c r="BI80" s="45"/>
      <c r="BJ80" s="45"/>
      <c r="BK80" s="45"/>
      <c r="BL80" s="45"/>
      <c r="BM80" s="45"/>
      <c r="BN80" s="45"/>
      <c r="BO80" s="45"/>
      <c r="BP80" s="45"/>
      <c r="BQ80" s="45"/>
      <c r="BR80" s="45"/>
      <c r="BS80" s="45"/>
      <c r="BT80" s="45"/>
      <c r="BU80" s="45"/>
      <c r="BV80" s="45"/>
      <c r="BW80" s="45"/>
      <c r="BX80" s="45"/>
      <c r="BY80" s="45"/>
      <c r="BZ80" s="45"/>
      <c r="CA80" s="45"/>
      <c r="CB80" s="45"/>
      <c r="CC80" s="45"/>
      <c r="CD80" s="45"/>
      <c r="CE80" s="45"/>
      <c r="CF80" s="45"/>
      <c r="CG80" s="45"/>
      <c r="CH80" s="45"/>
      <c r="CI80" s="45"/>
      <c r="CJ80" s="45"/>
      <c r="CK80" s="45"/>
      <c r="CL80" s="45"/>
      <c r="CM80" s="45"/>
      <c r="CN80" s="45"/>
      <c r="CO80" s="45"/>
      <c r="CP80" s="45"/>
      <c r="CQ80" s="45"/>
      <c r="CR80" s="45"/>
      <c r="CS80" s="45"/>
      <c r="CT80" s="45"/>
      <c r="CU80" s="45"/>
      <c r="CV80" s="45"/>
      <c r="CW80" s="45"/>
    </row>
    <row r="81" spans="1:101" s="25" customFormat="1">
      <c r="B81" s="25" t="s">
        <v>97</v>
      </c>
      <c r="C81" s="108">
        <v>0</v>
      </c>
      <c r="D81" s="108">
        <v>0</v>
      </c>
      <c r="E81" s="108">
        <v>0</v>
      </c>
      <c r="F81" s="108">
        <v>0</v>
      </c>
      <c r="G81" s="108">
        <v>0</v>
      </c>
      <c r="H81" s="108">
        <v>0</v>
      </c>
      <c r="I81" s="108">
        <v>0</v>
      </c>
      <c r="J81" s="108">
        <v>0</v>
      </c>
      <c r="K81" s="108">
        <v>0</v>
      </c>
      <c r="L81" s="109">
        <v>0</v>
      </c>
      <c r="M81" s="108">
        <v>0</v>
      </c>
      <c r="N81" s="108">
        <v>0</v>
      </c>
      <c r="O81" s="108">
        <v>0</v>
      </c>
      <c r="P81" s="108">
        <v>0</v>
      </c>
      <c r="Q81" s="108">
        <v>0</v>
      </c>
      <c r="R81" s="108">
        <v>0</v>
      </c>
      <c r="S81" s="108">
        <v>0</v>
      </c>
      <c r="T81" s="108">
        <v>0</v>
      </c>
      <c r="U81" s="108">
        <v>0</v>
      </c>
      <c r="V81" s="108">
        <v>0</v>
      </c>
      <c r="W81" s="108">
        <v>0</v>
      </c>
      <c r="X81" s="108">
        <v>0</v>
      </c>
      <c r="Y81" s="108">
        <v>0</v>
      </c>
      <c r="Z81" s="108"/>
      <c r="AA81" s="108">
        <v>0</v>
      </c>
      <c r="AB81" s="108">
        <v>0</v>
      </c>
      <c r="AC81" s="108">
        <v>0</v>
      </c>
      <c r="AD81" s="108">
        <v>0</v>
      </c>
      <c r="AE81" s="108">
        <v>0</v>
      </c>
      <c r="AF81" s="108">
        <v>0</v>
      </c>
      <c r="AG81" s="108">
        <v>0</v>
      </c>
      <c r="AH81" s="108">
        <v>0</v>
      </c>
      <c r="AI81" s="108">
        <v>0</v>
      </c>
      <c r="AJ81" s="108">
        <v>0</v>
      </c>
      <c r="AK81" s="108">
        <v>0</v>
      </c>
      <c r="AL81" s="108">
        <v>0</v>
      </c>
      <c r="AM81" s="45"/>
      <c r="AN81" s="45"/>
      <c r="AO81" s="45"/>
      <c r="AP81" s="45"/>
      <c r="AQ81" s="45"/>
      <c r="AR81" s="45"/>
      <c r="AS81" s="45"/>
      <c r="AT81" s="45"/>
      <c r="AU81" s="45"/>
      <c r="AV81" s="45"/>
      <c r="AW81" s="45"/>
      <c r="AX81" s="45"/>
      <c r="AY81" s="45"/>
      <c r="AZ81" s="45"/>
      <c r="BA81" s="45"/>
      <c r="BB81" s="45"/>
      <c r="BC81" s="45"/>
      <c r="BD81" s="45"/>
      <c r="BE81" s="45"/>
      <c r="BF81" s="45"/>
      <c r="BG81" s="45"/>
      <c r="BH81" s="45"/>
      <c r="BI81" s="45"/>
      <c r="BJ81" s="45"/>
      <c r="BK81" s="45"/>
      <c r="BL81" s="45"/>
      <c r="BM81" s="45"/>
      <c r="BN81" s="45"/>
      <c r="BO81" s="45"/>
      <c r="BP81" s="45"/>
      <c r="BQ81" s="45"/>
      <c r="BR81" s="45"/>
      <c r="BS81" s="45"/>
      <c r="BT81" s="45"/>
      <c r="BU81" s="45"/>
      <c r="BV81" s="45"/>
      <c r="BW81" s="45"/>
      <c r="BX81" s="45"/>
      <c r="BY81" s="45"/>
      <c r="BZ81" s="45"/>
      <c r="CA81" s="45"/>
      <c r="CB81" s="45"/>
      <c r="CC81" s="45"/>
      <c r="CD81" s="45"/>
      <c r="CE81" s="45"/>
      <c r="CF81" s="45"/>
      <c r="CG81" s="45"/>
      <c r="CH81" s="45"/>
      <c r="CI81" s="45"/>
      <c r="CJ81" s="45"/>
      <c r="CK81" s="45"/>
      <c r="CL81" s="45"/>
      <c r="CM81" s="45"/>
      <c r="CN81" s="45"/>
      <c r="CO81" s="45"/>
      <c r="CP81" s="45"/>
      <c r="CQ81" s="45"/>
      <c r="CR81" s="45"/>
      <c r="CS81" s="45"/>
      <c r="CT81" s="45"/>
      <c r="CU81" s="45"/>
      <c r="CV81" s="45"/>
      <c r="CW81" s="45"/>
    </row>
    <row r="82" spans="1:101" s="25" customFormat="1">
      <c r="B82" s="25" t="s">
        <v>98</v>
      </c>
      <c r="C82" s="108">
        <v>0</v>
      </c>
      <c r="D82" s="108">
        <v>0</v>
      </c>
      <c r="E82" s="108">
        <v>0</v>
      </c>
      <c r="F82" s="108">
        <v>0</v>
      </c>
      <c r="G82" s="108">
        <v>0</v>
      </c>
      <c r="H82" s="108">
        <v>0</v>
      </c>
      <c r="I82" s="108">
        <v>0</v>
      </c>
      <c r="J82" s="108">
        <v>0</v>
      </c>
      <c r="K82" s="108">
        <v>0</v>
      </c>
      <c r="L82" s="109">
        <v>0</v>
      </c>
      <c r="M82" s="108">
        <v>0</v>
      </c>
      <c r="N82" s="108">
        <v>0</v>
      </c>
      <c r="O82" s="108">
        <v>0</v>
      </c>
      <c r="P82" s="108">
        <v>0</v>
      </c>
      <c r="Q82" s="108">
        <v>0</v>
      </c>
      <c r="R82" s="108">
        <v>0</v>
      </c>
      <c r="S82" s="108">
        <v>0</v>
      </c>
      <c r="T82" s="108">
        <v>0</v>
      </c>
      <c r="U82" s="108">
        <v>0</v>
      </c>
      <c r="V82" s="108">
        <v>0</v>
      </c>
      <c r="W82" s="108">
        <v>0</v>
      </c>
      <c r="X82" s="108">
        <v>0</v>
      </c>
      <c r="Y82" s="108">
        <v>0</v>
      </c>
      <c r="Z82" s="108"/>
      <c r="AA82" s="108">
        <v>0</v>
      </c>
      <c r="AB82" s="108">
        <v>0</v>
      </c>
      <c r="AC82" s="108">
        <v>0</v>
      </c>
      <c r="AD82" s="108">
        <v>0</v>
      </c>
      <c r="AE82" s="108">
        <v>0</v>
      </c>
      <c r="AF82" s="108">
        <v>0</v>
      </c>
      <c r="AG82" s="108">
        <v>0</v>
      </c>
      <c r="AH82" s="108">
        <v>0</v>
      </c>
      <c r="AI82" s="108">
        <v>0</v>
      </c>
      <c r="AJ82" s="108">
        <v>0</v>
      </c>
      <c r="AK82" s="108">
        <v>0</v>
      </c>
      <c r="AL82" s="108">
        <v>0</v>
      </c>
      <c r="AM82" s="45"/>
      <c r="AN82" s="45"/>
      <c r="AO82" s="45"/>
      <c r="AP82" s="45"/>
      <c r="AQ82" s="45"/>
      <c r="AR82" s="45"/>
      <c r="AS82" s="45"/>
      <c r="AT82" s="45"/>
      <c r="AU82" s="45"/>
      <c r="AV82" s="45"/>
      <c r="AW82" s="45"/>
      <c r="AX82" s="45"/>
      <c r="AY82" s="45"/>
      <c r="AZ82" s="45"/>
      <c r="BA82" s="45"/>
      <c r="BB82" s="45"/>
      <c r="BC82" s="45"/>
      <c r="BD82" s="45"/>
      <c r="BE82" s="45"/>
      <c r="BF82" s="45"/>
      <c r="BG82" s="45"/>
      <c r="BH82" s="45"/>
      <c r="BI82" s="45"/>
      <c r="BJ82" s="45"/>
      <c r="BK82" s="45"/>
      <c r="BL82" s="45"/>
      <c r="BM82" s="45"/>
      <c r="BN82" s="45"/>
      <c r="BO82" s="45"/>
      <c r="BP82" s="45"/>
      <c r="BQ82" s="45"/>
      <c r="BR82" s="45"/>
      <c r="BS82" s="45"/>
      <c r="BT82" s="45"/>
      <c r="BU82" s="45"/>
      <c r="BV82" s="45"/>
      <c r="BW82" s="45"/>
      <c r="BX82" s="45"/>
      <c r="BY82" s="45"/>
      <c r="BZ82" s="45"/>
      <c r="CA82" s="45"/>
      <c r="CB82" s="45"/>
      <c r="CC82" s="45"/>
      <c r="CD82" s="45"/>
      <c r="CE82" s="45"/>
      <c r="CF82" s="45"/>
      <c r="CG82" s="45"/>
      <c r="CH82" s="45"/>
      <c r="CI82" s="45"/>
      <c r="CJ82" s="45"/>
      <c r="CK82" s="45"/>
      <c r="CL82" s="45"/>
      <c r="CM82" s="45"/>
      <c r="CN82" s="45"/>
      <c r="CO82" s="45"/>
      <c r="CP82" s="45"/>
      <c r="CQ82" s="45"/>
      <c r="CR82" s="45"/>
      <c r="CS82" s="45"/>
      <c r="CT82" s="45"/>
      <c r="CU82" s="45"/>
      <c r="CV82" s="45"/>
      <c r="CW82" s="45"/>
    </row>
    <row r="83" spans="1:101" s="25" customFormat="1">
      <c r="B83" s="25" t="s">
        <v>99</v>
      </c>
      <c r="C83" s="108">
        <v>0</v>
      </c>
      <c r="D83" s="108">
        <v>0</v>
      </c>
      <c r="E83" s="108">
        <v>0</v>
      </c>
      <c r="F83" s="108">
        <v>0</v>
      </c>
      <c r="G83" s="108">
        <v>0</v>
      </c>
      <c r="H83" s="108">
        <v>0</v>
      </c>
      <c r="I83" s="108">
        <v>0</v>
      </c>
      <c r="J83" s="108">
        <v>0</v>
      </c>
      <c r="K83" s="108">
        <v>0</v>
      </c>
      <c r="L83" s="109">
        <v>0</v>
      </c>
      <c r="M83" s="108">
        <v>0</v>
      </c>
      <c r="N83" s="108">
        <v>0</v>
      </c>
      <c r="O83" s="108">
        <v>0</v>
      </c>
      <c r="P83" s="108">
        <v>0</v>
      </c>
      <c r="Q83" s="108">
        <v>0</v>
      </c>
      <c r="R83" s="108">
        <v>0</v>
      </c>
      <c r="S83" s="108">
        <v>0</v>
      </c>
      <c r="T83" s="108">
        <v>0</v>
      </c>
      <c r="U83" s="108">
        <v>0</v>
      </c>
      <c r="V83" s="108">
        <v>0</v>
      </c>
      <c r="W83" s="108">
        <v>0</v>
      </c>
      <c r="X83" s="108">
        <v>0</v>
      </c>
      <c r="Y83" s="108">
        <v>0</v>
      </c>
      <c r="Z83" s="108"/>
      <c r="AA83" s="108">
        <v>0</v>
      </c>
      <c r="AB83" s="108">
        <v>0</v>
      </c>
      <c r="AC83" s="108">
        <v>0</v>
      </c>
      <c r="AD83" s="108">
        <v>0</v>
      </c>
      <c r="AE83" s="108">
        <v>0</v>
      </c>
      <c r="AF83" s="108">
        <v>0</v>
      </c>
      <c r="AG83" s="108">
        <v>0</v>
      </c>
      <c r="AH83" s="108">
        <v>0</v>
      </c>
      <c r="AI83" s="108">
        <v>0</v>
      </c>
      <c r="AJ83" s="108">
        <v>0</v>
      </c>
      <c r="AK83" s="108">
        <v>0</v>
      </c>
      <c r="AL83" s="108">
        <v>0</v>
      </c>
      <c r="AM83" s="45"/>
      <c r="AN83" s="45"/>
      <c r="AO83" s="45"/>
      <c r="AP83" s="45"/>
      <c r="AQ83" s="45"/>
      <c r="AR83" s="45"/>
      <c r="AS83" s="45"/>
      <c r="AT83" s="45"/>
      <c r="AU83" s="45"/>
      <c r="AV83" s="45"/>
      <c r="AW83" s="45"/>
      <c r="AX83" s="45"/>
      <c r="AY83" s="45"/>
      <c r="AZ83" s="45"/>
      <c r="BA83" s="45"/>
      <c r="BB83" s="45"/>
      <c r="BC83" s="45"/>
      <c r="BD83" s="45"/>
      <c r="BE83" s="45"/>
      <c r="BF83" s="45"/>
      <c r="BG83" s="45"/>
      <c r="BH83" s="45"/>
      <c r="BI83" s="45"/>
      <c r="BJ83" s="45"/>
      <c r="BK83" s="45"/>
      <c r="BL83" s="45"/>
      <c r="BM83" s="45"/>
      <c r="BN83" s="45"/>
      <c r="BO83" s="45"/>
      <c r="BP83" s="45"/>
      <c r="BQ83" s="45"/>
      <c r="BR83" s="45"/>
      <c r="BS83" s="45"/>
      <c r="BT83" s="45"/>
      <c r="BU83" s="45"/>
      <c r="BV83" s="45"/>
      <c r="BW83" s="45"/>
      <c r="BX83" s="45"/>
      <c r="BY83" s="45"/>
      <c r="BZ83" s="45"/>
      <c r="CA83" s="45"/>
      <c r="CB83" s="45"/>
      <c r="CC83" s="45"/>
      <c r="CD83" s="45"/>
      <c r="CE83" s="45"/>
      <c r="CF83" s="45"/>
      <c r="CG83" s="45"/>
      <c r="CH83" s="45"/>
      <c r="CI83" s="45"/>
      <c r="CJ83" s="45"/>
      <c r="CK83" s="45"/>
      <c r="CL83" s="45"/>
      <c r="CM83" s="45"/>
      <c r="CN83" s="45"/>
      <c r="CO83" s="45"/>
      <c r="CP83" s="45"/>
      <c r="CQ83" s="45"/>
      <c r="CR83" s="45"/>
      <c r="CS83" s="45"/>
      <c r="CT83" s="45"/>
      <c r="CU83" s="45"/>
      <c r="CV83" s="45"/>
      <c r="CW83" s="45"/>
    </row>
    <row r="84" spans="1:101" s="25" customFormat="1">
      <c r="B84" s="25" t="s">
        <v>100</v>
      </c>
      <c r="C84" s="108">
        <v>0</v>
      </c>
      <c r="D84" s="108">
        <v>0</v>
      </c>
      <c r="E84" s="108">
        <v>0</v>
      </c>
      <c r="F84" s="108">
        <v>0</v>
      </c>
      <c r="G84" s="108">
        <v>0</v>
      </c>
      <c r="H84" s="108">
        <v>0</v>
      </c>
      <c r="I84" s="108">
        <v>0</v>
      </c>
      <c r="J84" s="108">
        <v>0</v>
      </c>
      <c r="K84" s="108">
        <v>0</v>
      </c>
      <c r="L84" s="109">
        <v>0</v>
      </c>
      <c r="M84" s="108">
        <v>0</v>
      </c>
      <c r="N84" s="108">
        <v>0</v>
      </c>
      <c r="O84" s="108">
        <v>0</v>
      </c>
      <c r="P84" s="108">
        <v>0</v>
      </c>
      <c r="Q84" s="108">
        <v>0</v>
      </c>
      <c r="R84" s="108">
        <v>0</v>
      </c>
      <c r="S84" s="108">
        <v>0</v>
      </c>
      <c r="T84" s="108">
        <v>0</v>
      </c>
      <c r="U84" s="108">
        <v>0</v>
      </c>
      <c r="V84" s="108">
        <v>0</v>
      </c>
      <c r="W84" s="108">
        <v>0</v>
      </c>
      <c r="X84" s="108">
        <v>0</v>
      </c>
      <c r="Y84" s="108">
        <v>0</v>
      </c>
      <c r="Z84" s="108"/>
      <c r="AA84" s="108">
        <v>0</v>
      </c>
      <c r="AB84" s="108">
        <v>0</v>
      </c>
      <c r="AC84" s="108">
        <v>0</v>
      </c>
      <c r="AD84" s="108">
        <v>0</v>
      </c>
      <c r="AE84" s="108">
        <v>0</v>
      </c>
      <c r="AF84" s="108">
        <v>0</v>
      </c>
      <c r="AG84" s="108">
        <v>0</v>
      </c>
      <c r="AH84" s="108">
        <v>0</v>
      </c>
      <c r="AI84" s="108">
        <v>0</v>
      </c>
      <c r="AJ84" s="108">
        <v>0</v>
      </c>
      <c r="AK84" s="108">
        <v>0</v>
      </c>
      <c r="AL84" s="108">
        <v>0</v>
      </c>
      <c r="AM84" s="45"/>
      <c r="AN84" s="45"/>
      <c r="AO84" s="45"/>
      <c r="AP84" s="45"/>
      <c r="AQ84" s="45"/>
      <c r="AR84" s="45"/>
      <c r="AS84" s="45"/>
      <c r="AT84" s="45"/>
      <c r="AU84" s="45"/>
      <c r="AV84" s="45"/>
      <c r="AW84" s="45"/>
      <c r="AX84" s="45"/>
      <c r="AY84" s="45"/>
      <c r="AZ84" s="45"/>
      <c r="BA84" s="45"/>
      <c r="BB84" s="45"/>
      <c r="BC84" s="45"/>
      <c r="BD84" s="45"/>
      <c r="BE84" s="45"/>
      <c r="BF84" s="45"/>
      <c r="BG84" s="45"/>
      <c r="BH84" s="45"/>
      <c r="BI84" s="45"/>
      <c r="BJ84" s="45"/>
      <c r="BK84" s="45"/>
      <c r="BL84" s="45"/>
      <c r="BM84" s="45"/>
      <c r="BN84" s="45"/>
      <c r="BO84" s="45"/>
      <c r="BP84" s="45"/>
      <c r="BQ84" s="45"/>
      <c r="BR84" s="45"/>
      <c r="BS84" s="45"/>
      <c r="BT84" s="45"/>
      <c r="BU84" s="45"/>
      <c r="BV84" s="45"/>
      <c r="BW84" s="45"/>
      <c r="BX84" s="45"/>
      <c r="BY84" s="45"/>
      <c r="BZ84" s="45"/>
      <c r="CA84" s="45"/>
      <c r="CB84" s="45"/>
      <c r="CC84" s="45"/>
      <c r="CD84" s="45"/>
      <c r="CE84" s="45"/>
      <c r="CF84" s="45"/>
      <c r="CG84" s="45"/>
      <c r="CH84" s="45"/>
      <c r="CI84" s="45"/>
      <c r="CJ84" s="45"/>
      <c r="CK84" s="45"/>
      <c r="CL84" s="45"/>
      <c r="CM84" s="45"/>
      <c r="CN84" s="45"/>
      <c r="CO84" s="45"/>
      <c r="CP84" s="45"/>
      <c r="CQ84" s="45"/>
      <c r="CR84" s="45"/>
      <c r="CS84" s="45"/>
      <c r="CT84" s="45"/>
      <c r="CU84" s="45"/>
      <c r="CV84" s="45"/>
      <c r="CW84" s="45"/>
    </row>
    <row r="85" spans="1:101" s="25" customFormat="1">
      <c r="B85" s="25" t="s">
        <v>101</v>
      </c>
      <c r="C85" s="108">
        <v>0</v>
      </c>
      <c r="D85" s="108">
        <v>0</v>
      </c>
      <c r="E85" s="108">
        <v>0</v>
      </c>
      <c r="F85" s="108">
        <v>0</v>
      </c>
      <c r="G85" s="108">
        <v>0</v>
      </c>
      <c r="H85" s="108">
        <v>0</v>
      </c>
      <c r="I85" s="108">
        <v>0</v>
      </c>
      <c r="J85" s="108">
        <v>0</v>
      </c>
      <c r="K85" s="108">
        <v>0</v>
      </c>
      <c r="L85" s="109">
        <v>0</v>
      </c>
      <c r="M85" s="108">
        <v>0</v>
      </c>
      <c r="N85" s="108">
        <v>0</v>
      </c>
      <c r="O85" s="108">
        <v>0</v>
      </c>
      <c r="P85" s="108">
        <v>0</v>
      </c>
      <c r="Q85" s="108">
        <v>0</v>
      </c>
      <c r="R85" s="108">
        <v>0</v>
      </c>
      <c r="S85" s="108">
        <v>0</v>
      </c>
      <c r="T85" s="108">
        <v>0</v>
      </c>
      <c r="U85" s="108">
        <v>0</v>
      </c>
      <c r="V85" s="108">
        <v>0</v>
      </c>
      <c r="W85" s="108">
        <v>0</v>
      </c>
      <c r="X85" s="108">
        <v>0</v>
      </c>
      <c r="Y85" s="108">
        <v>0</v>
      </c>
      <c r="Z85" s="108"/>
      <c r="AA85" s="108">
        <v>0</v>
      </c>
      <c r="AB85" s="108">
        <v>0</v>
      </c>
      <c r="AC85" s="108">
        <v>0</v>
      </c>
      <c r="AD85" s="108">
        <v>0</v>
      </c>
      <c r="AE85" s="108">
        <v>0</v>
      </c>
      <c r="AF85" s="108">
        <v>0</v>
      </c>
      <c r="AG85" s="108">
        <v>0</v>
      </c>
      <c r="AH85" s="108">
        <v>0</v>
      </c>
      <c r="AI85" s="108">
        <v>0</v>
      </c>
      <c r="AJ85" s="108">
        <v>0</v>
      </c>
      <c r="AK85" s="108">
        <v>0</v>
      </c>
      <c r="AL85" s="108">
        <v>0</v>
      </c>
      <c r="AM85" s="45"/>
      <c r="AN85" s="45"/>
      <c r="AO85" s="45"/>
      <c r="AP85" s="45"/>
      <c r="AQ85" s="45"/>
      <c r="AR85" s="45"/>
      <c r="AS85" s="45"/>
      <c r="AT85" s="45"/>
      <c r="AU85" s="45"/>
      <c r="AV85" s="45"/>
      <c r="AW85" s="45"/>
      <c r="AX85" s="45"/>
      <c r="AY85" s="45"/>
      <c r="AZ85" s="45"/>
      <c r="BA85" s="45"/>
      <c r="BB85" s="45"/>
      <c r="BC85" s="45"/>
      <c r="BD85" s="45"/>
      <c r="BE85" s="45"/>
      <c r="BF85" s="45"/>
      <c r="BG85" s="45"/>
      <c r="BH85" s="45"/>
      <c r="BI85" s="45"/>
      <c r="BJ85" s="45"/>
      <c r="BK85" s="45"/>
      <c r="BL85" s="45"/>
      <c r="BM85" s="45"/>
      <c r="BN85" s="45"/>
      <c r="BO85" s="45"/>
      <c r="BP85" s="45"/>
      <c r="BQ85" s="45"/>
      <c r="BR85" s="45"/>
      <c r="BS85" s="45"/>
      <c r="BT85" s="45"/>
      <c r="BU85" s="45"/>
      <c r="BV85" s="45"/>
      <c r="BW85" s="45"/>
      <c r="BX85" s="45"/>
      <c r="BY85" s="45"/>
      <c r="BZ85" s="45"/>
      <c r="CA85" s="45"/>
      <c r="CB85" s="45"/>
      <c r="CC85" s="45"/>
      <c r="CD85" s="45"/>
      <c r="CE85" s="45"/>
      <c r="CF85" s="45"/>
      <c r="CG85" s="45"/>
      <c r="CH85" s="45"/>
      <c r="CI85" s="45"/>
      <c r="CJ85" s="45"/>
      <c r="CK85" s="45"/>
      <c r="CL85" s="45"/>
      <c r="CM85" s="45"/>
      <c r="CN85" s="45"/>
      <c r="CO85" s="45"/>
      <c r="CP85" s="45"/>
      <c r="CQ85" s="45"/>
      <c r="CR85" s="45"/>
      <c r="CS85" s="45"/>
      <c r="CT85" s="45"/>
      <c r="CU85" s="45"/>
      <c r="CV85" s="45"/>
      <c r="CW85" s="45"/>
    </row>
    <row r="86" spans="1:101" s="25" customFormat="1">
      <c r="B86" s="25" t="s">
        <v>102</v>
      </c>
      <c r="C86" s="108">
        <v>0</v>
      </c>
      <c r="D86" s="108">
        <v>0</v>
      </c>
      <c r="E86" s="108">
        <v>0</v>
      </c>
      <c r="F86" s="108">
        <v>0</v>
      </c>
      <c r="G86" s="108">
        <v>0</v>
      </c>
      <c r="H86" s="108">
        <v>0</v>
      </c>
      <c r="I86" s="108">
        <v>0</v>
      </c>
      <c r="J86" s="108">
        <v>0</v>
      </c>
      <c r="K86" s="108">
        <v>0</v>
      </c>
      <c r="L86" s="109">
        <v>0</v>
      </c>
      <c r="M86" s="108">
        <v>0</v>
      </c>
      <c r="N86" s="108">
        <v>0</v>
      </c>
      <c r="O86" s="108">
        <v>0</v>
      </c>
      <c r="P86" s="108">
        <v>0</v>
      </c>
      <c r="Q86" s="108">
        <v>0</v>
      </c>
      <c r="R86" s="108">
        <v>0</v>
      </c>
      <c r="S86" s="108">
        <v>0</v>
      </c>
      <c r="T86" s="108">
        <v>0</v>
      </c>
      <c r="U86" s="108">
        <v>0</v>
      </c>
      <c r="V86" s="108">
        <v>0</v>
      </c>
      <c r="W86" s="108">
        <v>0</v>
      </c>
      <c r="X86" s="108">
        <v>0</v>
      </c>
      <c r="Y86" s="108">
        <v>0</v>
      </c>
      <c r="Z86" s="108"/>
      <c r="AA86" s="108">
        <v>0</v>
      </c>
      <c r="AB86" s="108">
        <v>0</v>
      </c>
      <c r="AC86" s="108">
        <v>0</v>
      </c>
      <c r="AD86" s="108">
        <v>0</v>
      </c>
      <c r="AE86" s="108">
        <v>0</v>
      </c>
      <c r="AF86" s="108">
        <v>0</v>
      </c>
      <c r="AG86" s="108">
        <v>0</v>
      </c>
      <c r="AH86" s="108">
        <v>0</v>
      </c>
      <c r="AI86" s="108">
        <v>0</v>
      </c>
      <c r="AJ86" s="108">
        <v>0</v>
      </c>
      <c r="AK86" s="108">
        <v>0</v>
      </c>
      <c r="AL86" s="108">
        <v>0</v>
      </c>
      <c r="AM86" s="45"/>
      <c r="AN86" s="45"/>
      <c r="AO86" s="45"/>
      <c r="AP86" s="45"/>
      <c r="AQ86" s="45"/>
      <c r="AR86" s="45"/>
      <c r="AS86" s="45"/>
      <c r="AT86" s="45"/>
      <c r="AU86" s="45"/>
      <c r="AV86" s="45"/>
      <c r="AW86" s="45"/>
      <c r="AX86" s="45"/>
      <c r="AY86" s="45"/>
      <c r="AZ86" s="45"/>
      <c r="BA86" s="45"/>
      <c r="BB86" s="45"/>
      <c r="BC86" s="45"/>
      <c r="BD86" s="45"/>
      <c r="BE86" s="45"/>
      <c r="BF86" s="45"/>
      <c r="BG86" s="45"/>
      <c r="BH86" s="45"/>
      <c r="BI86" s="45"/>
      <c r="BJ86" s="45"/>
      <c r="BK86" s="45"/>
      <c r="BL86" s="45"/>
      <c r="BM86" s="45"/>
      <c r="BN86" s="45"/>
      <c r="BO86" s="45"/>
      <c r="BP86" s="45"/>
      <c r="BQ86" s="45"/>
      <c r="BR86" s="45"/>
      <c r="BS86" s="45"/>
      <c r="BT86" s="45"/>
      <c r="BU86" s="45"/>
      <c r="BV86" s="45"/>
      <c r="BW86" s="45"/>
      <c r="BX86" s="45"/>
      <c r="BY86" s="45"/>
      <c r="BZ86" s="45"/>
      <c r="CA86" s="45"/>
      <c r="CB86" s="45"/>
      <c r="CC86" s="45"/>
      <c r="CD86" s="45"/>
      <c r="CE86" s="45"/>
      <c r="CF86" s="45"/>
      <c r="CG86" s="45"/>
      <c r="CH86" s="45"/>
      <c r="CI86" s="45"/>
      <c r="CJ86" s="45"/>
      <c r="CK86" s="45"/>
      <c r="CL86" s="45"/>
      <c r="CM86" s="45"/>
      <c r="CN86" s="45"/>
      <c r="CO86" s="45"/>
      <c r="CP86" s="45"/>
      <c r="CQ86" s="45"/>
      <c r="CR86" s="45"/>
      <c r="CS86" s="45"/>
      <c r="CT86" s="45"/>
      <c r="CU86" s="45"/>
      <c r="CV86" s="45"/>
      <c r="CW86" s="45"/>
    </row>
    <row r="87" spans="1:101" s="25" customFormat="1">
      <c r="B87" s="25" t="s">
        <v>103</v>
      </c>
      <c r="C87" s="108">
        <v>0</v>
      </c>
      <c r="D87" s="108">
        <v>0</v>
      </c>
      <c r="E87" s="108">
        <v>0</v>
      </c>
      <c r="F87" s="108">
        <v>0</v>
      </c>
      <c r="G87" s="108">
        <v>0</v>
      </c>
      <c r="H87" s="108">
        <v>0</v>
      </c>
      <c r="I87" s="108">
        <v>0</v>
      </c>
      <c r="J87" s="108">
        <v>0</v>
      </c>
      <c r="K87" s="108">
        <v>0</v>
      </c>
      <c r="L87" s="109">
        <v>0</v>
      </c>
      <c r="M87" s="108">
        <v>0</v>
      </c>
      <c r="N87" s="108">
        <v>0</v>
      </c>
      <c r="O87" s="108">
        <v>0</v>
      </c>
      <c r="P87" s="108">
        <v>0</v>
      </c>
      <c r="Q87" s="108">
        <v>0</v>
      </c>
      <c r="R87" s="108">
        <v>0</v>
      </c>
      <c r="S87" s="108">
        <v>0</v>
      </c>
      <c r="T87" s="108">
        <v>0</v>
      </c>
      <c r="U87" s="108">
        <v>0</v>
      </c>
      <c r="V87" s="108">
        <v>0</v>
      </c>
      <c r="W87" s="108">
        <v>0</v>
      </c>
      <c r="X87" s="108">
        <v>0</v>
      </c>
      <c r="Y87" s="108">
        <v>0</v>
      </c>
      <c r="Z87" s="108"/>
      <c r="AA87" s="108">
        <v>0</v>
      </c>
      <c r="AB87" s="108">
        <v>0</v>
      </c>
      <c r="AC87" s="108">
        <v>0</v>
      </c>
      <c r="AD87" s="108">
        <v>0</v>
      </c>
      <c r="AE87" s="108">
        <v>0</v>
      </c>
      <c r="AF87" s="108">
        <v>0</v>
      </c>
      <c r="AG87" s="108">
        <v>0</v>
      </c>
      <c r="AH87" s="108">
        <v>0</v>
      </c>
      <c r="AI87" s="108">
        <v>0</v>
      </c>
      <c r="AJ87" s="108">
        <v>0</v>
      </c>
      <c r="AK87" s="108">
        <v>0</v>
      </c>
      <c r="AL87" s="108">
        <v>0</v>
      </c>
      <c r="AM87" s="45"/>
      <c r="AN87" s="45"/>
      <c r="AO87" s="45"/>
      <c r="AP87" s="45"/>
      <c r="AQ87" s="45"/>
      <c r="AR87" s="45"/>
      <c r="AS87" s="45"/>
      <c r="AT87" s="45"/>
      <c r="AU87" s="45"/>
      <c r="AV87" s="45"/>
      <c r="AW87" s="45"/>
      <c r="AX87" s="45"/>
      <c r="AY87" s="45"/>
      <c r="AZ87" s="45"/>
      <c r="BA87" s="45"/>
      <c r="BB87" s="45"/>
      <c r="BC87" s="45"/>
      <c r="BD87" s="45"/>
      <c r="BE87" s="45"/>
      <c r="BF87" s="45"/>
      <c r="BG87" s="45"/>
      <c r="BH87" s="45"/>
      <c r="BI87" s="45"/>
      <c r="BJ87" s="45"/>
      <c r="BK87" s="45"/>
      <c r="BL87" s="45"/>
      <c r="BM87" s="45"/>
      <c r="BN87" s="45"/>
      <c r="BO87" s="45"/>
      <c r="BP87" s="45"/>
      <c r="BQ87" s="45"/>
      <c r="BR87" s="45"/>
      <c r="BS87" s="45"/>
      <c r="BT87" s="45"/>
      <c r="BU87" s="45"/>
      <c r="BV87" s="45"/>
      <c r="BW87" s="45"/>
      <c r="BX87" s="45"/>
      <c r="BY87" s="45"/>
      <c r="BZ87" s="45"/>
      <c r="CA87" s="45"/>
      <c r="CB87" s="45"/>
      <c r="CC87" s="45"/>
      <c r="CD87" s="45"/>
      <c r="CE87" s="45"/>
      <c r="CF87" s="45"/>
      <c r="CG87" s="45"/>
      <c r="CH87" s="45"/>
      <c r="CI87" s="45"/>
      <c r="CJ87" s="45"/>
      <c r="CK87" s="45"/>
      <c r="CL87" s="45"/>
      <c r="CM87" s="45"/>
      <c r="CN87" s="45"/>
      <c r="CO87" s="45"/>
      <c r="CP87" s="45"/>
      <c r="CQ87" s="45"/>
      <c r="CR87" s="45"/>
      <c r="CS87" s="45"/>
      <c r="CT87" s="45"/>
      <c r="CU87" s="45"/>
      <c r="CV87" s="45"/>
      <c r="CW87" s="45"/>
    </row>
    <row r="88" spans="1:101" s="25" customFormat="1">
      <c r="B88" s="25" t="s">
        <v>104</v>
      </c>
      <c r="C88" s="108">
        <v>0</v>
      </c>
      <c r="D88" s="108">
        <v>0</v>
      </c>
      <c r="E88" s="108">
        <v>0</v>
      </c>
      <c r="F88" s="108">
        <v>0</v>
      </c>
      <c r="G88" s="108">
        <v>0</v>
      </c>
      <c r="H88" s="108">
        <v>0</v>
      </c>
      <c r="I88" s="108">
        <v>0</v>
      </c>
      <c r="J88" s="108">
        <v>0</v>
      </c>
      <c r="K88" s="108">
        <v>0</v>
      </c>
      <c r="L88" s="109">
        <v>0</v>
      </c>
      <c r="M88" s="108">
        <v>0</v>
      </c>
      <c r="N88" s="108">
        <v>0</v>
      </c>
      <c r="O88" s="108">
        <v>0</v>
      </c>
      <c r="P88" s="108">
        <v>0</v>
      </c>
      <c r="Q88" s="108">
        <v>0</v>
      </c>
      <c r="R88" s="108">
        <v>0</v>
      </c>
      <c r="S88" s="108">
        <v>0</v>
      </c>
      <c r="T88" s="108">
        <v>0</v>
      </c>
      <c r="U88" s="108">
        <v>0</v>
      </c>
      <c r="V88" s="108">
        <v>0</v>
      </c>
      <c r="W88" s="108">
        <v>0</v>
      </c>
      <c r="X88" s="108">
        <v>0</v>
      </c>
      <c r="Y88" s="108">
        <v>0</v>
      </c>
      <c r="Z88" s="108"/>
      <c r="AA88" s="108">
        <v>0</v>
      </c>
      <c r="AB88" s="108">
        <v>0</v>
      </c>
      <c r="AC88" s="108">
        <v>0</v>
      </c>
      <c r="AD88" s="108">
        <v>0</v>
      </c>
      <c r="AE88" s="108">
        <v>0</v>
      </c>
      <c r="AF88" s="108">
        <v>0</v>
      </c>
      <c r="AG88" s="108">
        <v>0</v>
      </c>
      <c r="AH88" s="108">
        <v>0</v>
      </c>
      <c r="AI88" s="108">
        <v>0</v>
      </c>
      <c r="AJ88" s="108">
        <v>0</v>
      </c>
      <c r="AK88" s="108">
        <v>0</v>
      </c>
      <c r="AL88" s="108">
        <v>0</v>
      </c>
      <c r="AM88" s="45"/>
      <c r="AN88" s="45"/>
      <c r="AO88" s="45"/>
      <c r="AP88" s="45"/>
      <c r="AQ88" s="45"/>
      <c r="AR88" s="45"/>
      <c r="AS88" s="45"/>
      <c r="AT88" s="45"/>
      <c r="AU88" s="45"/>
      <c r="AV88" s="45"/>
      <c r="AW88" s="45"/>
      <c r="AX88" s="45"/>
      <c r="AY88" s="45"/>
      <c r="AZ88" s="45"/>
      <c r="BA88" s="45"/>
      <c r="BB88" s="45"/>
      <c r="BC88" s="45"/>
      <c r="BD88" s="45"/>
      <c r="BE88" s="45"/>
      <c r="BF88" s="45"/>
      <c r="BG88" s="45"/>
      <c r="BH88" s="45"/>
      <c r="BI88" s="45"/>
      <c r="BJ88" s="45"/>
      <c r="BK88" s="45"/>
      <c r="BL88" s="45"/>
      <c r="BM88" s="45"/>
      <c r="BN88" s="45"/>
      <c r="BO88" s="45"/>
      <c r="BP88" s="45"/>
      <c r="BQ88" s="45"/>
      <c r="BR88" s="45"/>
      <c r="BS88" s="45"/>
      <c r="BT88" s="45"/>
      <c r="BU88" s="45"/>
      <c r="BV88" s="45"/>
      <c r="BW88" s="45"/>
      <c r="BX88" s="45"/>
      <c r="BY88" s="45"/>
      <c r="BZ88" s="45"/>
      <c r="CA88" s="45"/>
      <c r="CB88" s="45"/>
      <c r="CC88" s="45"/>
      <c r="CD88" s="45"/>
      <c r="CE88" s="45"/>
      <c r="CF88" s="45"/>
      <c r="CG88" s="45"/>
      <c r="CH88" s="45"/>
      <c r="CI88" s="45"/>
      <c r="CJ88" s="45"/>
      <c r="CK88" s="45"/>
      <c r="CL88" s="45"/>
      <c r="CM88" s="45"/>
      <c r="CN88" s="45"/>
      <c r="CO88" s="45"/>
      <c r="CP88" s="45"/>
      <c r="CQ88" s="45"/>
      <c r="CR88" s="45"/>
      <c r="CS88" s="45"/>
      <c r="CT88" s="45"/>
      <c r="CU88" s="45"/>
      <c r="CV88" s="45"/>
      <c r="CW88" s="45"/>
    </row>
    <row r="89" spans="1:101" s="25" customFormat="1">
      <c r="B89" s="25" t="s">
        <v>105</v>
      </c>
      <c r="C89" s="108">
        <v>0</v>
      </c>
      <c r="D89" s="108">
        <v>0</v>
      </c>
      <c r="E89" s="108">
        <v>0</v>
      </c>
      <c r="F89" s="108">
        <v>0</v>
      </c>
      <c r="G89" s="108">
        <v>0</v>
      </c>
      <c r="H89" s="108">
        <v>0</v>
      </c>
      <c r="I89" s="108">
        <v>0</v>
      </c>
      <c r="J89" s="108">
        <v>0</v>
      </c>
      <c r="K89" s="108">
        <v>0</v>
      </c>
      <c r="L89" s="109">
        <v>0</v>
      </c>
      <c r="M89" s="108">
        <v>0</v>
      </c>
      <c r="N89" s="108">
        <v>0</v>
      </c>
      <c r="O89" s="108">
        <v>0</v>
      </c>
      <c r="P89" s="108">
        <v>0</v>
      </c>
      <c r="Q89" s="108">
        <v>0</v>
      </c>
      <c r="R89" s="108">
        <v>0</v>
      </c>
      <c r="S89" s="108">
        <v>0</v>
      </c>
      <c r="T89" s="108">
        <v>0</v>
      </c>
      <c r="U89" s="108">
        <v>0</v>
      </c>
      <c r="V89" s="108">
        <v>0</v>
      </c>
      <c r="W89" s="108">
        <v>0</v>
      </c>
      <c r="X89" s="108">
        <v>0</v>
      </c>
      <c r="Y89" s="108">
        <v>0</v>
      </c>
      <c r="Z89" s="108"/>
      <c r="AA89" s="108">
        <v>0</v>
      </c>
      <c r="AB89" s="108">
        <v>0</v>
      </c>
      <c r="AC89" s="108">
        <v>0</v>
      </c>
      <c r="AD89" s="108">
        <v>0</v>
      </c>
      <c r="AE89" s="108">
        <v>0</v>
      </c>
      <c r="AF89" s="108">
        <v>0</v>
      </c>
      <c r="AG89" s="108">
        <v>0</v>
      </c>
      <c r="AH89" s="108">
        <v>0</v>
      </c>
      <c r="AI89" s="108">
        <v>0</v>
      </c>
      <c r="AJ89" s="108">
        <v>0</v>
      </c>
      <c r="AK89" s="108">
        <v>0</v>
      </c>
      <c r="AL89" s="108">
        <v>0</v>
      </c>
      <c r="AM89" s="45"/>
      <c r="AN89" s="45"/>
      <c r="AO89" s="45"/>
      <c r="AP89" s="45"/>
      <c r="AQ89" s="45"/>
      <c r="AR89" s="45"/>
      <c r="AS89" s="45"/>
      <c r="AT89" s="45"/>
      <c r="AU89" s="45"/>
      <c r="AV89" s="45"/>
      <c r="AW89" s="45"/>
      <c r="AX89" s="45"/>
      <c r="AY89" s="45"/>
      <c r="AZ89" s="45"/>
      <c r="BA89" s="45"/>
      <c r="BB89" s="45"/>
      <c r="BC89" s="45"/>
      <c r="BD89" s="45"/>
      <c r="BE89" s="45"/>
      <c r="BF89" s="45"/>
      <c r="BG89" s="45"/>
      <c r="BH89" s="45"/>
      <c r="BI89" s="45"/>
      <c r="BJ89" s="45"/>
      <c r="BK89" s="45"/>
      <c r="BL89" s="45"/>
      <c r="BM89" s="45"/>
      <c r="BN89" s="45"/>
      <c r="BO89" s="45"/>
      <c r="BP89" s="45"/>
      <c r="BQ89" s="45"/>
      <c r="BR89" s="45"/>
      <c r="BS89" s="45"/>
      <c r="BT89" s="45"/>
      <c r="BU89" s="45"/>
      <c r="BV89" s="45"/>
      <c r="BW89" s="45"/>
      <c r="BX89" s="45"/>
      <c r="BY89" s="45"/>
      <c r="BZ89" s="45"/>
      <c r="CA89" s="45"/>
      <c r="CB89" s="45"/>
      <c r="CC89" s="45"/>
      <c r="CD89" s="45"/>
      <c r="CE89" s="45"/>
      <c r="CF89" s="45"/>
      <c r="CG89" s="45"/>
      <c r="CH89" s="45"/>
      <c r="CI89" s="45"/>
      <c r="CJ89" s="45"/>
      <c r="CK89" s="45"/>
      <c r="CL89" s="45"/>
      <c r="CM89" s="45"/>
      <c r="CN89" s="45"/>
      <c r="CO89" s="45"/>
      <c r="CP89" s="45"/>
      <c r="CQ89" s="45"/>
      <c r="CR89" s="45"/>
      <c r="CS89" s="45"/>
      <c r="CT89" s="45"/>
      <c r="CU89" s="45"/>
      <c r="CV89" s="45"/>
      <c r="CW89" s="45"/>
    </row>
    <row r="90" spans="1:101" s="25" customFormat="1">
      <c r="C90" s="45"/>
      <c r="D90" s="45"/>
      <c r="E90" s="45"/>
      <c r="F90" s="45"/>
      <c r="G90" s="45"/>
      <c r="H90" s="45"/>
      <c r="I90" s="45"/>
      <c r="J90" s="45"/>
      <c r="K90" s="45"/>
      <c r="L90" s="45"/>
      <c r="M90" s="45"/>
      <c r="N90" s="45"/>
      <c r="O90" s="45"/>
      <c r="P90" s="45"/>
      <c r="Q90" s="45"/>
      <c r="R90" s="45"/>
      <c r="S90" s="45"/>
      <c r="T90" s="45"/>
      <c r="U90" s="45"/>
      <c r="V90" s="45"/>
      <c r="W90" s="45"/>
      <c r="X90" s="45"/>
      <c r="Y90" s="45"/>
      <c r="Z90" s="45"/>
      <c r="AA90" s="45"/>
      <c r="AB90" s="45"/>
      <c r="AC90" s="45"/>
      <c r="AD90" s="45"/>
      <c r="AE90" s="45"/>
      <c r="AF90" s="45"/>
      <c r="AG90" s="45"/>
      <c r="AH90" s="45"/>
      <c r="AI90" s="45"/>
      <c r="AJ90" s="45"/>
      <c r="AK90" s="45"/>
      <c r="AL90" s="45"/>
      <c r="AM90" s="45"/>
      <c r="AN90" s="45"/>
      <c r="AO90" s="45"/>
      <c r="AP90" s="45"/>
      <c r="AQ90" s="45"/>
      <c r="AR90" s="45"/>
      <c r="AS90" s="45"/>
      <c r="AT90" s="45"/>
      <c r="AU90" s="45"/>
      <c r="AV90" s="45"/>
      <c r="AW90" s="45"/>
      <c r="AX90" s="45"/>
      <c r="AY90" s="45"/>
      <c r="AZ90" s="45"/>
      <c r="BA90" s="45"/>
      <c r="BB90" s="45"/>
      <c r="BC90" s="45"/>
      <c r="BD90" s="45"/>
      <c r="BE90" s="45"/>
      <c r="BF90" s="45"/>
      <c r="BG90" s="45"/>
      <c r="BH90" s="45"/>
      <c r="BI90" s="45"/>
      <c r="BJ90" s="45"/>
      <c r="BK90" s="45"/>
      <c r="BL90" s="45"/>
      <c r="BM90" s="45"/>
      <c r="BN90" s="45"/>
      <c r="BO90" s="45"/>
      <c r="BP90" s="45"/>
      <c r="BQ90" s="45"/>
      <c r="BR90" s="45"/>
      <c r="BS90" s="45"/>
      <c r="BT90" s="45"/>
      <c r="BU90" s="45"/>
      <c r="BV90" s="45"/>
      <c r="BW90" s="45"/>
      <c r="BX90" s="45"/>
      <c r="BY90" s="45"/>
      <c r="BZ90" s="45"/>
      <c r="CA90" s="45"/>
      <c r="CB90" s="45"/>
      <c r="CC90" s="45"/>
      <c r="CD90" s="45"/>
      <c r="CE90" s="45"/>
      <c r="CF90" s="45"/>
      <c r="CG90" s="45"/>
      <c r="CH90" s="45"/>
      <c r="CI90" s="45"/>
      <c r="CJ90" s="45"/>
      <c r="CK90" s="45"/>
      <c r="CL90" s="45"/>
      <c r="CM90" s="45"/>
      <c r="CN90" s="45"/>
      <c r="CO90" s="45"/>
      <c r="CP90" s="45"/>
      <c r="CQ90" s="45"/>
      <c r="CR90" s="45"/>
      <c r="CS90" s="45"/>
      <c r="CT90" s="45"/>
      <c r="CU90" s="45"/>
      <c r="CV90" s="45"/>
      <c r="CW90" s="45"/>
    </row>
    <row r="91" spans="1:101" s="25" customFormat="1">
      <c r="C91" s="45"/>
      <c r="D91" s="45"/>
      <c r="E91" s="45"/>
      <c r="F91" s="45"/>
      <c r="G91" s="45"/>
      <c r="H91" s="45"/>
      <c r="I91" s="45"/>
      <c r="J91" s="45"/>
      <c r="K91" s="45"/>
      <c r="L91" s="45"/>
      <c r="M91" s="45"/>
      <c r="N91" s="45"/>
      <c r="O91" s="45"/>
      <c r="P91" s="45"/>
      <c r="Q91" s="45"/>
      <c r="R91" s="45"/>
      <c r="S91" s="45"/>
      <c r="T91" s="45"/>
      <c r="U91" s="45"/>
      <c r="V91" s="45"/>
      <c r="W91" s="45"/>
      <c r="X91" s="45"/>
      <c r="Y91" s="45"/>
      <c r="Z91" s="45"/>
      <c r="AA91" s="45"/>
      <c r="AB91" s="45"/>
      <c r="AC91" s="45"/>
      <c r="AD91" s="45"/>
      <c r="AE91" s="45"/>
      <c r="AF91" s="45"/>
      <c r="AG91" s="45"/>
      <c r="AH91" s="45"/>
      <c r="AI91" s="45"/>
      <c r="AJ91" s="45"/>
      <c r="AK91" s="45"/>
      <c r="AL91" s="45"/>
      <c r="AM91" s="45"/>
      <c r="AN91" s="45"/>
      <c r="AO91" s="45"/>
      <c r="AP91" s="45"/>
      <c r="AQ91" s="45"/>
      <c r="AR91" s="45"/>
      <c r="AS91" s="45"/>
      <c r="AT91" s="45"/>
      <c r="AU91" s="45"/>
      <c r="AV91" s="45"/>
      <c r="AW91" s="45"/>
      <c r="AX91" s="45"/>
      <c r="AY91" s="45"/>
      <c r="AZ91" s="45"/>
      <c r="BA91" s="45"/>
      <c r="BB91" s="45"/>
      <c r="BC91" s="45"/>
      <c r="BD91" s="45"/>
      <c r="BE91" s="45"/>
      <c r="BF91" s="45"/>
      <c r="BG91" s="45"/>
      <c r="BH91" s="45"/>
      <c r="BI91" s="45"/>
      <c r="BJ91" s="45"/>
      <c r="BK91" s="45"/>
      <c r="BL91" s="45"/>
      <c r="BM91" s="45"/>
      <c r="BN91" s="45"/>
      <c r="BO91" s="45"/>
      <c r="BP91" s="45"/>
      <c r="BQ91" s="45"/>
      <c r="BR91" s="45"/>
      <c r="BS91" s="45"/>
      <c r="BT91" s="45"/>
      <c r="BU91" s="45"/>
      <c r="BV91" s="45"/>
      <c r="BW91" s="45"/>
      <c r="BX91" s="45"/>
      <c r="BY91" s="45"/>
      <c r="BZ91" s="45"/>
      <c r="CA91" s="45"/>
      <c r="CB91" s="45"/>
      <c r="CC91" s="45"/>
      <c r="CD91" s="45"/>
      <c r="CE91" s="45"/>
      <c r="CF91" s="45"/>
      <c r="CG91" s="45"/>
      <c r="CH91" s="45"/>
      <c r="CI91" s="45"/>
      <c r="CJ91" s="45"/>
      <c r="CK91" s="45"/>
      <c r="CL91" s="45"/>
      <c r="CM91" s="45"/>
      <c r="CN91" s="45"/>
      <c r="CO91" s="45"/>
      <c r="CP91" s="45"/>
      <c r="CQ91" s="45"/>
      <c r="CR91" s="45"/>
      <c r="CS91" s="45"/>
      <c r="CT91" s="45"/>
      <c r="CU91" s="45"/>
      <c r="CV91" s="45"/>
      <c r="CW91" s="45"/>
    </row>
    <row r="92" spans="1:101" s="25" customFormat="1" ht="13.5" thickBot="1">
      <c r="A92" s="76" t="s">
        <v>288</v>
      </c>
      <c r="B92" s="78"/>
      <c r="C92" s="45"/>
      <c r="D92" s="45"/>
      <c r="E92" s="45"/>
      <c r="F92" s="45"/>
      <c r="G92" s="45"/>
      <c r="H92" s="45"/>
      <c r="I92" s="45"/>
      <c r="J92" s="45"/>
      <c r="K92" s="45"/>
      <c r="L92" s="45"/>
      <c r="M92" s="45"/>
      <c r="N92" s="45"/>
      <c r="O92" s="45"/>
      <c r="P92" s="45"/>
      <c r="Q92" s="45"/>
      <c r="R92" s="45"/>
      <c r="S92" s="45"/>
      <c r="T92" s="45"/>
      <c r="U92" s="45"/>
      <c r="V92" s="45"/>
      <c r="W92" s="45"/>
      <c r="X92" s="45"/>
      <c r="Y92" s="45"/>
      <c r="Z92" s="45"/>
      <c r="AA92" s="45"/>
      <c r="AB92" s="45"/>
      <c r="AC92" s="45"/>
      <c r="AD92" s="45"/>
      <c r="AE92" s="45"/>
      <c r="AF92" s="45"/>
      <c r="AG92" s="45"/>
      <c r="AH92" s="45"/>
      <c r="AI92" s="45"/>
      <c r="AJ92" s="45"/>
      <c r="AK92" s="45"/>
      <c r="AL92" s="45"/>
      <c r="AM92" s="45"/>
      <c r="AN92" s="45"/>
      <c r="AO92" s="45"/>
      <c r="AP92" s="45"/>
      <c r="AQ92" s="45"/>
      <c r="AR92" s="45"/>
      <c r="AS92" s="45"/>
      <c r="AT92" s="45"/>
      <c r="AU92" s="45"/>
      <c r="AV92" s="45"/>
      <c r="AW92" s="45"/>
      <c r="AX92" s="45"/>
      <c r="AY92" s="45"/>
      <c r="AZ92" s="45"/>
      <c r="BA92" s="45"/>
      <c r="BB92" s="45"/>
      <c r="BC92" s="45"/>
      <c r="BD92" s="45"/>
      <c r="BE92" s="45"/>
      <c r="BF92" s="45"/>
      <c r="BG92" s="45"/>
      <c r="BH92" s="45"/>
      <c r="BI92" s="45"/>
      <c r="BJ92" s="45"/>
      <c r="BK92" s="45"/>
      <c r="BL92" s="45"/>
      <c r="BM92" s="45"/>
      <c r="BN92" s="45"/>
      <c r="BO92" s="45"/>
      <c r="BP92" s="45"/>
      <c r="BQ92" s="45"/>
      <c r="BR92" s="45"/>
      <c r="BS92" s="45"/>
      <c r="BT92" s="45"/>
      <c r="BU92" s="45"/>
      <c r="BV92" s="45"/>
      <c r="BW92" s="45"/>
      <c r="BX92" s="45"/>
      <c r="BY92" s="45"/>
      <c r="BZ92" s="45"/>
      <c r="CA92" s="45"/>
      <c r="CB92" s="45"/>
      <c r="CC92" s="45"/>
      <c r="CD92" s="45"/>
      <c r="CE92" s="45"/>
      <c r="CF92" s="45"/>
      <c r="CG92" s="45"/>
      <c r="CH92" s="45"/>
      <c r="CI92" s="45"/>
      <c r="CJ92" s="45"/>
      <c r="CK92" s="45"/>
      <c r="CL92" s="45"/>
      <c r="CM92" s="45"/>
      <c r="CN92" s="45"/>
      <c r="CO92" s="45"/>
      <c r="CP92" s="45"/>
      <c r="CQ92" s="45"/>
      <c r="CR92" s="45"/>
      <c r="CS92" s="45"/>
      <c r="CT92" s="45"/>
      <c r="CU92" s="45"/>
      <c r="CV92" s="45"/>
      <c r="CW92" s="45"/>
    </row>
    <row r="93" spans="1:101" s="25" customFormat="1" ht="13.5" thickBot="1">
      <c r="A93" s="110"/>
      <c r="B93" s="111"/>
      <c r="C93" s="112"/>
      <c r="D93" s="112"/>
      <c r="E93" s="112"/>
      <c r="F93" s="112"/>
      <c r="G93" s="112"/>
      <c r="H93" s="112"/>
      <c r="I93" s="112"/>
      <c r="J93" s="112"/>
      <c r="K93" s="112"/>
      <c r="L93" s="112"/>
      <c r="M93" s="112"/>
      <c r="N93" s="112"/>
      <c r="O93" s="113" t="s">
        <v>1117</v>
      </c>
      <c r="P93" s="114"/>
      <c r="Q93" s="114"/>
      <c r="R93" s="114"/>
      <c r="S93" s="114"/>
      <c r="T93" s="114"/>
      <c r="U93" s="114"/>
      <c r="V93" s="114"/>
      <c r="W93" s="114"/>
      <c r="X93" s="114"/>
      <c r="Y93" s="114"/>
      <c r="Z93" s="102"/>
      <c r="AA93" s="112"/>
      <c r="AB93" s="113" t="s">
        <v>1118</v>
      </c>
      <c r="AC93" s="114"/>
      <c r="AD93" s="114"/>
      <c r="AE93" s="114"/>
      <c r="AF93" s="114"/>
      <c r="AG93" s="114"/>
      <c r="AH93" s="114"/>
      <c r="AI93" s="114"/>
      <c r="AJ93" s="114"/>
      <c r="AK93" s="114"/>
      <c r="AL93" s="114"/>
      <c r="AM93" s="102"/>
      <c r="AN93" s="45"/>
      <c r="AO93" s="45"/>
      <c r="AP93" s="45"/>
      <c r="AQ93" s="45"/>
      <c r="AR93" s="45"/>
      <c r="AS93" s="45"/>
      <c r="AT93" s="45"/>
      <c r="AU93" s="45"/>
      <c r="AV93" s="45"/>
      <c r="AW93" s="45"/>
      <c r="AX93" s="45"/>
      <c r="AY93" s="45"/>
      <c r="AZ93" s="45"/>
      <c r="BA93" s="45"/>
      <c r="BB93" s="45"/>
      <c r="BC93" s="45"/>
      <c r="BD93" s="45"/>
      <c r="BE93" s="45"/>
      <c r="BF93" s="45"/>
      <c r="BG93" s="45"/>
      <c r="BH93" s="45"/>
      <c r="BI93" s="45"/>
      <c r="BJ93" s="45"/>
      <c r="BK93" s="45"/>
      <c r="BL93" s="45"/>
      <c r="BM93" s="45"/>
      <c r="BN93" s="45"/>
      <c r="BO93" s="45"/>
      <c r="BP93" s="45"/>
      <c r="BQ93" s="45"/>
      <c r="BR93" s="45"/>
      <c r="BS93" s="45"/>
      <c r="BT93" s="45"/>
      <c r="BU93" s="45"/>
      <c r="BV93" s="45"/>
      <c r="BW93" s="45"/>
      <c r="BX93" s="45"/>
      <c r="BY93" s="45"/>
      <c r="BZ93" s="45"/>
      <c r="CA93" s="45"/>
      <c r="CB93" s="45"/>
      <c r="CC93" s="45"/>
      <c r="CD93" s="45"/>
      <c r="CE93" s="45"/>
      <c r="CF93" s="45"/>
      <c r="CG93" s="45"/>
      <c r="CH93" s="45"/>
      <c r="CI93" s="45"/>
      <c r="CJ93" s="45"/>
      <c r="CK93" s="45"/>
      <c r="CL93" s="45"/>
      <c r="CM93" s="45"/>
      <c r="CN93" s="45"/>
      <c r="CO93" s="45"/>
      <c r="CP93" s="45"/>
      <c r="CQ93" s="45"/>
      <c r="CR93" s="45"/>
      <c r="CS93" s="45"/>
      <c r="CT93" s="45"/>
      <c r="CU93" s="45"/>
      <c r="CV93" s="45"/>
      <c r="CW93" s="45"/>
    </row>
    <row r="94" spans="1:101" s="25" customFormat="1" ht="102">
      <c r="A94" s="94" t="s">
        <v>181</v>
      </c>
      <c r="B94" s="95" t="s">
        <v>182</v>
      </c>
      <c r="C94" s="96" t="s">
        <v>83</v>
      </c>
      <c r="D94" s="96" t="s">
        <v>265</v>
      </c>
      <c r="E94" s="96" t="s">
        <v>266</v>
      </c>
      <c r="F94" s="96" t="s">
        <v>267</v>
      </c>
      <c r="G94" s="96" t="s">
        <v>268</v>
      </c>
      <c r="H94" s="96" t="s">
        <v>269</v>
      </c>
      <c r="I94" s="96" t="s">
        <v>270</v>
      </c>
      <c r="J94" s="96" t="s">
        <v>271</v>
      </c>
      <c r="K94" s="96" t="s">
        <v>82</v>
      </c>
      <c r="L94" s="96" t="s">
        <v>244</v>
      </c>
      <c r="M94" s="96" t="s">
        <v>272</v>
      </c>
      <c r="N94" s="96" t="s">
        <v>1119</v>
      </c>
      <c r="O94" s="96" t="s">
        <v>273</v>
      </c>
      <c r="P94" s="96" t="s">
        <v>274</v>
      </c>
      <c r="Q94" s="96" t="s">
        <v>275</v>
      </c>
      <c r="R94" s="96" t="s">
        <v>276</v>
      </c>
      <c r="S94" s="96" t="s">
        <v>277</v>
      </c>
      <c r="T94" s="96" t="s">
        <v>278</v>
      </c>
      <c r="U94" s="96" t="s">
        <v>279</v>
      </c>
      <c r="V94" s="96" t="s">
        <v>280</v>
      </c>
      <c r="W94" s="96" t="s">
        <v>281</v>
      </c>
      <c r="X94" s="96" t="s">
        <v>282</v>
      </c>
      <c r="Y94" s="96" t="s">
        <v>283</v>
      </c>
      <c r="Z94" s="96" t="s">
        <v>284</v>
      </c>
      <c r="AA94" s="96"/>
      <c r="AB94" s="96" t="s">
        <v>273</v>
      </c>
      <c r="AC94" s="96" t="s">
        <v>274</v>
      </c>
      <c r="AD94" s="96" t="s">
        <v>275</v>
      </c>
      <c r="AE94" s="96" t="s">
        <v>276</v>
      </c>
      <c r="AF94" s="96" t="s">
        <v>277</v>
      </c>
      <c r="AG94" s="96" t="s">
        <v>278</v>
      </c>
      <c r="AH94" s="96" t="s">
        <v>279</v>
      </c>
      <c r="AI94" s="96" t="s">
        <v>280</v>
      </c>
      <c r="AJ94" s="96" t="s">
        <v>281</v>
      </c>
      <c r="AK94" s="96" t="s">
        <v>282</v>
      </c>
      <c r="AL94" s="96" t="s">
        <v>283</v>
      </c>
      <c r="AM94" s="96" t="s">
        <v>284</v>
      </c>
      <c r="AN94" s="45"/>
      <c r="AO94" s="45"/>
      <c r="AP94" s="45"/>
      <c r="AQ94" s="45"/>
      <c r="AR94" s="45"/>
      <c r="AS94" s="45"/>
      <c r="AT94" s="45"/>
      <c r="AU94" s="45"/>
      <c r="AV94" s="45"/>
      <c r="AW94" s="45"/>
      <c r="AX94" s="45"/>
      <c r="AY94" s="45"/>
      <c r="AZ94" s="45"/>
      <c r="BA94" s="45"/>
      <c r="BB94" s="45"/>
      <c r="BC94" s="45"/>
      <c r="BD94" s="45"/>
      <c r="BE94" s="45"/>
      <c r="BF94" s="45"/>
      <c r="BG94" s="45"/>
      <c r="BH94" s="45"/>
      <c r="BI94" s="45"/>
      <c r="BJ94" s="45"/>
      <c r="BK94" s="45"/>
      <c r="BL94" s="45"/>
      <c r="BM94" s="45"/>
      <c r="BN94" s="45"/>
      <c r="BO94" s="45"/>
      <c r="BP94" s="45"/>
      <c r="BQ94" s="45"/>
      <c r="BR94" s="45"/>
      <c r="BS94" s="45"/>
      <c r="BT94" s="45"/>
      <c r="BU94" s="45"/>
      <c r="BV94" s="45"/>
      <c r="BW94" s="45"/>
      <c r="BX94" s="45"/>
      <c r="BY94" s="45"/>
      <c r="BZ94" s="45"/>
      <c r="CA94" s="45"/>
      <c r="CB94" s="45"/>
      <c r="CC94" s="45"/>
      <c r="CD94" s="45"/>
      <c r="CE94" s="45"/>
      <c r="CF94" s="45"/>
      <c r="CG94" s="45"/>
      <c r="CH94" s="45"/>
      <c r="CI94" s="45"/>
      <c r="CJ94" s="45"/>
      <c r="CK94" s="45"/>
      <c r="CL94" s="45"/>
      <c r="CM94" s="45"/>
      <c r="CN94" s="45"/>
      <c r="CO94" s="45"/>
      <c r="CP94" s="45"/>
      <c r="CQ94" s="45"/>
      <c r="CR94" s="45"/>
      <c r="CS94" s="45"/>
      <c r="CT94" s="45"/>
      <c r="CU94" s="45"/>
      <c r="CV94" s="45"/>
      <c r="CW94" s="45"/>
    </row>
    <row r="95" spans="1:101" s="25" customFormat="1">
      <c r="A95" s="25" t="s">
        <v>398</v>
      </c>
      <c r="C95" s="66">
        <v>44756.623064801512</v>
      </c>
      <c r="D95" s="66">
        <v>815.68908279261188</v>
      </c>
      <c r="E95" s="66">
        <v>163.13781655852239</v>
      </c>
      <c r="F95" s="66">
        <v>978.82689935113422</v>
      </c>
      <c r="G95" s="66">
        <v>1824.8742099210231</v>
      </c>
      <c r="H95" s="66">
        <v>51919.837664922146</v>
      </c>
      <c r="I95" s="66">
        <v>191.58111249593586</v>
      </c>
      <c r="J95" s="66">
        <v>-8.6187693965605323</v>
      </c>
      <c r="K95" s="66">
        <v>-43.951171695279832</v>
      </c>
      <c r="L95" s="98">
        <v>28.451187146301518</v>
      </c>
      <c r="M95" s="66">
        <v>425.19248975913337</v>
      </c>
      <c r="N95" s="66">
        <v>7.7035320991831515</v>
      </c>
      <c r="O95" s="66">
        <v>2819.3111224135159</v>
      </c>
      <c r="P95" s="66">
        <v>2598.6518625969516</v>
      </c>
      <c r="Q95" s="66">
        <v>2991.3209193328262</v>
      </c>
      <c r="R95" s="66">
        <v>2731.4195368155042</v>
      </c>
      <c r="S95" s="66">
        <v>2822.4403846146924</v>
      </c>
      <c r="T95" s="66">
        <v>2809.4163013007492</v>
      </c>
      <c r="U95" s="66">
        <v>2691.6559210021919</v>
      </c>
      <c r="V95" s="66">
        <v>2921.6455983288397</v>
      </c>
      <c r="W95" s="66">
        <v>2607.0079122259826</v>
      </c>
      <c r="X95" s="66">
        <v>2941.1931527258953</v>
      </c>
      <c r="Y95" s="66">
        <v>2647.0495313856172</v>
      </c>
      <c r="Z95" s="66">
        <v>2751.8216398232362</v>
      </c>
      <c r="AA95" s="66"/>
      <c r="AB95" s="66">
        <v>1030.5947934451351</v>
      </c>
      <c r="AC95" s="66">
        <v>895.62157948344895</v>
      </c>
      <c r="AD95" s="66">
        <v>832.97411095893801</v>
      </c>
      <c r="AE95" s="66">
        <v>949.12083958401456</v>
      </c>
      <c r="AF95" s="66">
        <v>970.7297101320612</v>
      </c>
      <c r="AG95" s="66">
        <v>863.93513432443751</v>
      </c>
      <c r="AH95" s="66">
        <v>1059.2032659492252</v>
      </c>
      <c r="AI95" s="66">
        <v>878.09947485555597</v>
      </c>
      <c r="AJ95" s="66">
        <v>1056.8804383335271</v>
      </c>
      <c r="AK95" s="66">
        <v>870.23153035725454</v>
      </c>
      <c r="AL95" s="66">
        <v>1002.4300899078844</v>
      </c>
      <c r="AM95" s="45">
        <v>1013.868214904015</v>
      </c>
      <c r="AN95" s="45"/>
      <c r="AO95" s="45"/>
      <c r="AP95" s="45"/>
      <c r="AQ95" s="45"/>
      <c r="AR95" s="45"/>
      <c r="AS95" s="45"/>
      <c r="AT95" s="45"/>
      <c r="AU95" s="45"/>
      <c r="AV95" s="45"/>
      <c r="AW95" s="45"/>
      <c r="AX95" s="45"/>
      <c r="AY95" s="45"/>
      <c r="AZ95" s="45"/>
      <c r="BA95" s="45"/>
      <c r="BB95" s="45"/>
      <c r="BC95" s="45"/>
      <c r="BD95" s="45"/>
      <c r="BE95" s="45"/>
      <c r="BF95" s="45"/>
      <c r="BG95" s="45"/>
      <c r="BH95" s="45"/>
      <c r="BI95" s="45"/>
      <c r="BJ95" s="45"/>
      <c r="BK95" s="45"/>
      <c r="BL95" s="45"/>
      <c r="BM95" s="45"/>
      <c r="BN95" s="45"/>
      <c r="BO95" s="45"/>
      <c r="BP95" s="45"/>
      <c r="BQ95" s="45"/>
      <c r="BR95" s="45"/>
      <c r="BS95" s="45"/>
      <c r="BT95" s="45"/>
      <c r="BU95" s="45"/>
      <c r="BV95" s="45"/>
      <c r="BW95" s="45"/>
      <c r="BX95" s="45"/>
      <c r="BY95" s="45"/>
      <c r="BZ95" s="45"/>
      <c r="CA95" s="45"/>
      <c r="CB95" s="45"/>
      <c r="CC95" s="45"/>
      <c r="CD95" s="45"/>
      <c r="CE95" s="45"/>
      <c r="CF95" s="45"/>
      <c r="CG95" s="45"/>
      <c r="CH95" s="45"/>
      <c r="CI95" s="45"/>
      <c r="CJ95" s="45"/>
      <c r="CK95" s="45"/>
      <c r="CL95" s="45"/>
      <c r="CM95" s="45"/>
      <c r="CN95" s="45"/>
      <c r="CO95" s="45"/>
      <c r="CP95" s="45"/>
      <c r="CQ95" s="45"/>
      <c r="CR95" s="45"/>
      <c r="CS95" s="45"/>
      <c r="CT95" s="45"/>
      <c r="CU95" s="45"/>
      <c r="CV95" s="45"/>
      <c r="CW95" s="45"/>
    </row>
    <row r="96" spans="1:101" s="25" customFormat="1">
      <c r="A96" s="25" t="s">
        <v>399</v>
      </c>
      <c r="C96" s="66">
        <v>16424.192594809676</v>
      </c>
      <c r="D96" s="66">
        <v>1040.2452032377576</v>
      </c>
      <c r="E96" s="66">
        <v>208.04904064755152</v>
      </c>
      <c r="F96" s="66">
        <v>1248.294243885309</v>
      </c>
      <c r="G96" s="66">
        <v>2142.1062855086452</v>
      </c>
      <c r="H96" s="66">
        <v>15379.428220790252</v>
      </c>
      <c r="I96" s="66">
        <v>665.78965835379768</v>
      </c>
      <c r="J96" s="66">
        <v>-5.7633667396889638</v>
      </c>
      <c r="K96" s="66">
        <v>-20.897272104274599</v>
      </c>
      <c r="L96" s="98">
        <v>7.1795822293376039</v>
      </c>
      <c r="M96" s="66">
        <v>156.03150692489848</v>
      </c>
      <c r="N96" s="66">
        <v>2.8269401530605327</v>
      </c>
      <c r="O96" s="66">
        <v>1034.593445358141</v>
      </c>
      <c r="P96" s="66">
        <v>953.61883349325274</v>
      </c>
      <c r="Q96" s="66">
        <v>1097.7153218390017</v>
      </c>
      <c r="R96" s="66">
        <v>1002.3401556665822</v>
      </c>
      <c r="S96" s="66">
        <v>1035.7417805441394</v>
      </c>
      <c r="T96" s="66">
        <v>1030.9623749931588</v>
      </c>
      <c r="U96" s="66">
        <v>987.7482307253664</v>
      </c>
      <c r="V96" s="66">
        <v>1072.1467955983651</v>
      </c>
      <c r="W96" s="66">
        <v>956.6852258848387</v>
      </c>
      <c r="X96" s="66">
        <v>1079.3200981442233</v>
      </c>
      <c r="Y96" s="66">
        <v>971.37916881108845</v>
      </c>
      <c r="Z96" s="66">
        <v>1009.8270491404925</v>
      </c>
      <c r="AA96" s="66"/>
      <c r="AB96" s="66">
        <v>378.19402393794218</v>
      </c>
      <c r="AC96" s="66">
        <v>328.66334200875542</v>
      </c>
      <c r="AD96" s="66">
        <v>305.67380396576925</v>
      </c>
      <c r="AE96" s="66">
        <v>348.29579172014877</v>
      </c>
      <c r="AF96" s="66">
        <v>356.22552875869997</v>
      </c>
      <c r="AG96" s="66">
        <v>317.03547014757913</v>
      </c>
      <c r="AH96" s="66">
        <v>388.69238217131874</v>
      </c>
      <c r="AI96" s="66">
        <v>322.23331218594581</v>
      </c>
      <c r="AJ96" s="66">
        <v>387.83998166582188</v>
      </c>
      <c r="AK96" s="66">
        <v>319.34603814879881</v>
      </c>
      <c r="AL96" s="66">
        <v>367.85851416094744</v>
      </c>
      <c r="AM96" s="45">
        <v>372.05592573929545</v>
      </c>
      <c r="AN96" s="45"/>
      <c r="AO96" s="45"/>
      <c r="AP96" s="45"/>
      <c r="AQ96" s="45"/>
      <c r="AR96" s="45"/>
      <c r="AS96" s="45"/>
      <c r="AT96" s="45"/>
      <c r="AU96" s="45"/>
      <c r="AV96" s="45"/>
      <c r="AW96" s="45"/>
      <c r="AX96" s="45"/>
      <c r="AY96" s="45"/>
      <c r="AZ96" s="45"/>
      <c r="BA96" s="45"/>
      <c r="BB96" s="45"/>
      <c r="BC96" s="45"/>
      <c r="BD96" s="45"/>
      <c r="BE96" s="45"/>
      <c r="BF96" s="45"/>
      <c r="BG96" s="45"/>
      <c r="BH96" s="45"/>
      <c r="BI96" s="45"/>
      <c r="BJ96" s="45"/>
      <c r="BK96" s="45"/>
      <c r="BL96" s="45"/>
      <c r="BM96" s="45"/>
      <c r="BN96" s="45"/>
      <c r="BO96" s="45"/>
      <c r="BP96" s="45"/>
      <c r="BQ96" s="45"/>
      <c r="BR96" s="45"/>
      <c r="BS96" s="45"/>
      <c r="BT96" s="45"/>
      <c r="BU96" s="45"/>
      <c r="BV96" s="45"/>
      <c r="BW96" s="45"/>
      <c r="BX96" s="45"/>
      <c r="BY96" s="45"/>
      <c r="BZ96" s="45"/>
      <c r="CA96" s="45"/>
      <c r="CB96" s="45"/>
      <c r="CC96" s="45"/>
      <c r="CD96" s="45"/>
      <c r="CE96" s="45"/>
      <c r="CF96" s="45"/>
      <c r="CG96" s="45"/>
      <c r="CH96" s="45"/>
      <c r="CI96" s="45"/>
      <c r="CJ96" s="45"/>
      <c r="CK96" s="45"/>
      <c r="CL96" s="45"/>
      <c r="CM96" s="45"/>
      <c r="CN96" s="45"/>
      <c r="CO96" s="45"/>
      <c r="CP96" s="45"/>
      <c r="CQ96" s="45"/>
      <c r="CR96" s="45"/>
      <c r="CS96" s="45"/>
      <c r="CT96" s="45"/>
      <c r="CU96" s="45"/>
      <c r="CV96" s="45"/>
      <c r="CW96" s="45"/>
    </row>
    <row r="97" spans="1:131" s="25" customFormat="1">
      <c r="A97" s="25" t="s">
        <v>396</v>
      </c>
      <c r="C97" s="66">
        <v>2632.1775809500482</v>
      </c>
      <c r="D97" s="66">
        <v>761.70168289454261</v>
      </c>
      <c r="E97" s="66">
        <v>152.34033657890853</v>
      </c>
      <c r="F97" s="66">
        <v>914.04201947345109</v>
      </c>
      <c r="G97" s="66">
        <v>1873.9484087849617</v>
      </c>
      <c r="H97" s="66">
        <v>1723.4804626715877</v>
      </c>
      <c r="I97" s="66">
        <v>3041.9710845259206</v>
      </c>
      <c r="J97" s="66">
        <v>8.5445887300432037</v>
      </c>
      <c r="K97" s="66">
        <v>42.613319516920477</v>
      </c>
      <c r="L97" s="107">
        <v>0.9197053956192236</v>
      </c>
      <c r="M97" s="66">
        <v>25.005955822714757</v>
      </c>
      <c r="N97" s="66">
        <v>0.45305170714601323</v>
      </c>
      <c r="O97" s="66">
        <v>165.80624323232519</v>
      </c>
      <c r="P97" s="66">
        <v>152.82907210220546</v>
      </c>
      <c r="Q97" s="66">
        <v>175.9222953415123</v>
      </c>
      <c r="R97" s="66">
        <v>160.63725939656348</v>
      </c>
      <c r="S97" s="66">
        <v>165.99027797951612</v>
      </c>
      <c r="T97" s="66">
        <v>165.22431983156218</v>
      </c>
      <c r="U97" s="66">
        <v>158.29872509897422</v>
      </c>
      <c r="V97" s="66">
        <v>171.82462654226765</v>
      </c>
      <c r="W97" s="66">
        <v>153.32049895688561</v>
      </c>
      <c r="X97" s="66">
        <v>172.97423593911233</v>
      </c>
      <c r="Y97" s="66">
        <v>155.67538288332329</v>
      </c>
      <c r="Z97" s="66">
        <v>161.83712557197694</v>
      </c>
      <c r="AA97" s="66"/>
      <c r="AB97" s="66">
        <v>60.610214189361365</v>
      </c>
      <c r="AC97" s="66">
        <v>52.672317103061161</v>
      </c>
      <c r="AD97" s="66">
        <v>48.987962679923839</v>
      </c>
      <c r="AE97" s="66">
        <v>55.818657094580104</v>
      </c>
      <c r="AF97" s="66">
        <v>57.08949436315303</v>
      </c>
      <c r="AG97" s="66">
        <v>50.80880853480312</v>
      </c>
      <c r="AH97" s="66">
        <v>62.292704395145293</v>
      </c>
      <c r="AI97" s="66">
        <v>51.641826243511197</v>
      </c>
      <c r="AJ97" s="66">
        <v>62.156096797078746</v>
      </c>
      <c r="AK97" s="66">
        <v>51.179105294108837</v>
      </c>
      <c r="AL97" s="66">
        <v>58.953822438859561</v>
      </c>
      <c r="AM97" s="45">
        <v>59.626508940236754</v>
      </c>
      <c r="AN97" s="45"/>
      <c r="AO97" s="45"/>
      <c r="AP97" s="45"/>
      <c r="AQ97" s="45"/>
      <c r="AR97" s="45"/>
      <c r="AS97" s="45"/>
      <c r="AT97" s="45"/>
      <c r="AU97" s="45"/>
      <c r="AV97" s="45"/>
      <c r="AW97" s="45"/>
      <c r="AX97" s="45"/>
      <c r="AY97" s="45"/>
      <c r="AZ97" s="45"/>
      <c r="BA97" s="45"/>
      <c r="BB97" s="45"/>
      <c r="BC97" s="45"/>
      <c r="BD97" s="45"/>
      <c r="BE97" s="45"/>
      <c r="BF97" s="45"/>
      <c r="BG97" s="45"/>
      <c r="BH97" s="45"/>
      <c r="BI97" s="45"/>
      <c r="BJ97" s="45"/>
      <c r="BK97" s="45"/>
      <c r="BL97" s="45"/>
      <c r="BM97" s="45"/>
      <c r="BN97" s="45"/>
      <c r="BO97" s="45"/>
      <c r="BP97" s="45"/>
      <c r="BQ97" s="45"/>
      <c r="BR97" s="45"/>
      <c r="BS97" s="45"/>
      <c r="BT97" s="45"/>
      <c r="BU97" s="45"/>
      <c r="BV97" s="45"/>
      <c r="BW97" s="45"/>
      <c r="BX97" s="45"/>
      <c r="BY97" s="45"/>
      <c r="BZ97" s="45"/>
      <c r="CA97" s="45"/>
      <c r="CB97" s="45"/>
      <c r="CC97" s="45"/>
      <c r="CD97" s="45"/>
      <c r="CE97" s="45"/>
      <c r="CF97" s="45"/>
      <c r="CG97" s="45"/>
      <c r="CH97" s="45"/>
      <c r="CI97" s="45"/>
      <c r="CJ97" s="45"/>
      <c r="CK97" s="45"/>
      <c r="CL97" s="45"/>
      <c r="CM97" s="45"/>
      <c r="CN97" s="45"/>
      <c r="CO97" s="45"/>
      <c r="CP97" s="45"/>
      <c r="CQ97" s="45"/>
      <c r="CR97" s="45"/>
      <c r="CS97" s="45"/>
      <c r="CT97" s="45"/>
      <c r="CU97" s="45"/>
      <c r="CV97" s="45"/>
      <c r="CW97" s="45"/>
    </row>
    <row r="98" spans="1:131" s="25" customFormat="1">
      <c r="A98" s="25" t="s">
        <v>400</v>
      </c>
      <c r="C98" s="66">
        <v>1793.3771286178865</v>
      </c>
      <c r="D98" s="66">
        <v>923.75718443129779</v>
      </c>
      <c r="E98" s="66">
        <v>184.75143688625957</v>
      </c>
      <c r="F98" s="66">
        <v>1108.5086213175573</v>
      </c>
      <c r="G98" s="66">
        <v>1902.2304211498317</v>
      </c>
      <c r="H98" s="66">
        <v>1174.2560478231101</v>
      </c>
      <c r="I98" s="66">
        <v>5414.6645274914836</v>
      </c>
      <c r="J98" s="66">
        <v>22.831541633284047</v>
      </c>
      <c r="K98" s="66">
        <v>68.275612519602518</v>
      </c>
      <c r="L98" s="107">
        <v>0.61730484107877603</v>
      </c>
      <c r="M98" s="66">
        <v>17.037265865435891</v>
      </c>
      <c r="N98" s="66">
        <v>0.3086769584078331</v>
      </c>
      <c r="O98" s="66">
        <v>112.96848911219003</v>
      </c>
      <c r="P98" s="66">
        <v>104.12677491047685</v>
      </c>
      <c r="Q98" s="66">
        <v>119.86084189865166</v>
      </c>
      <c r="R98" s="66">
        <v>109.44671404034827</v>
      </c>
      <c r="S98" s="66">
        <v>113.09387719727663</v>
      </c>
      <c r="T98" s="66">
        <v>112.57200821930162</v>
      </c>
      <c r="U98" s="66">
        <v>107.85340439660024</v>
      </c>
      <c r="V98" s="66">
        <v>117.06898410060595</v>
      </c>
      <c r="W98" s="66">
        <v>104.46159794367583</v>
      </c>
      <c r="X98" s="66">
        <v>117.85224553937304</v>
      </c>
      <c r="Y98" s="66">
        <v>106.06604705257634</v>
      </c>
      <c r="Z98" s="66">
        <v>110.26421684561571</v>
      </c>
      <c r="AA98" s="66"/>
      <c r="AB98" s="66">
        <v>41.295455395756115</v>
      </c>
      <c r="AC98" s="66">
        <v>35.887141311280409</v>
      </c>
      <c r="AD98" s="66">
        <v>33.376886302653006</v>
      </c>
      <c r="AE98" s="66">
        <v>38.030831851190435</v>
      </c>
      <c r="AF98" s="66">
        <v>38.896689272113875</v>
      </c>
      <c r="AG98" s="66">
        <v>34.617480149554687</v>
      </c>
      <c r="AH98" s="66">
        <v>42.441783620726198</v>
      </c>
      <c r="AI98" s="66">
        <v>35.185038705384173</v>
      </c>
      <c r="AJ98" s="66">
        <v>42.348708995464946</v>
      </c>
      <c r="AK98" s="66">
        <v>34.869773818396176</v>
      </c>
      <c r="AL98" s="66">
        <v>40.166908787472529</v>
      </c>
      <c r="AM98" s="45">
        <v>40.625229151201339</v>
      </c>
      <c r="AN98" s="45"/>
      <c r="AO98" s="45"/>
      <c r="AP98" s="45"/>
      <c r="AQ98" s="45"/>
      <c r="AR98" s="45"/>
      <c r="AS98" s="45"/>
      <c r="AT98" s="45"/>
      <c r="AU98" s="45"/>
      <c r="AV98" s="45"/>
      <c r="AW98" s="45"/>
      <c r="AX98" s="45"/>
      <c r="AY98" s="45"/>
      <c r="AZ98" s="45"/>
      <c r="BA98" s="45"/>
      <c r="BB98" s="45"/>
      <c r="BC98" s="45"/>
      <c r="BD98" s="45"/>
      <c r="BE98" s="45"/>
      <c r="BF98" s="45"/>
      <c r="BG98" s="45"/>
      <c r="BH98" s="45"/>
      <c r="BI98" s="45"/>
      <c r="BJ98" s="45"/>
      <c r="BK98" s="45"/>
      <c r="BL98" s="45"/>
      <c r="BM98" s="45"/>
      <c r="BN98" s="45"/>
      <c r="BO98" s="45"/>
      <c r="BP98" s="45"/>
      <c r="BQ98" s="45"/>
      <c r="BR98" s="45"/>
      <c r="BS98" s="45"/>
      <c r="BT98" s="45"/>
      <c r="BU98" s="45"/>
      <c r="BV98" s="45"/>
      <c r="BW98" s="45"/>
      <c r="BX98" s="45"/>
      <c r="BY98" s="45"/>
      <c r="BZ98" s="45"/>
      <c r="CA98" s="45"/>
      <c r="CB98" s="45"/>
      <c r="CC98" s="45"/>
      <c r="CD98" s="45"/>
      <c r="CE98" s="45"/>
      <c r="CF98" s="45"/>
      <c r="CG98" s="45"/>
      <c r="CH98" s="45"/>
      <c r="CI98" s="45"/>
      <c r="CJ98" s="45"/>
      <c r="CK98" s="45"/>
      <c r="CL98" s="45"/>
      <c r="CM98" s="45"/>
      <c r="CN98" s="45"/>
      <c r="CO98" s="45"/>
      <c r="CP98" s="45"/>
      <c r="CQ98" s="45"/>
      <c r="CR98" s="45"/>
      <c r="CS98" s="45"/>
      <c r="CT98" s="45"/>
      <c r="CU98" s="45"/>
      <c r="CV98" s="45"/>
      <c r="CW98" s="45"/>
    </row>
    <row r="99" spans="1:131" s="25" customFormat="1">
      <c r="A99" s="25" t="s">
        <v>397</v>
      </c>
      <c r="C99" s="66">
        <v>690.70949549977809</v>
      </c>
      <c r="D99" s="66">
        <v>667.18747511257516</v>
      </c>
      <c r="E99" s="66">
        <v>133.43749502251504</v>
      </c>
      <c r="F99" s="66">
        <v>800.62497013509017</v>
      </c>
      <c r="G99" s="66">
        <v>846.94001781105101</v>
      </c>
      <c r="H99" s="66">
        <v>452.25836185640208</v>
      </c>
      <c r="I99" s="66">
        <v>10154.015232277408</v>
      </c>
      <c r="J99" s="66">
        <v>51.369101136372585</v>
      </c>
      <c r="K99" s="66">
        <v>80.452736427153098</v>
      </c>
      <c r="L99" s="107">
        <v>0.53399101748112121</v>
      </c>
      <c r="M99" s="66">
        <v>6.5618107440011819</v>
      </c>
      <c r="N99" s="66">
        <v>0.11888526000027295</v>
      </c>
      <c r="O99" s="66">
        <v>43.509202206781573</v>
      </c>
      <c r="P99" s="66">
        <v>40.103863832512751</v>
      </c>
      <c r="Q99" s="66">
        <v>46.163754581725875</v>
      </c>
      <c r="R99" s="66">
        <v>42.152809597375324</v>
      </c>
      <c r="S99" s="66">
        <v>43.557494749164221</v>
      </c>
      <c r="T99" s="66">
        <v>43.3564997366027</v>
      </c>
      <c r="U99" s="66">
        <v>41.539155010926862</v>
      </c>
      <c r="V99" s="66">
        <v>45.088485660078916</v>
      </c>
      <c r="W99" s="66">
        <v>40.232819111718747</v>
      </c>
      <c r="X99" s="66">
        <v>45.390154564283243</v>
      </c>
      <c r="Y99" s="66">
        <v>40.850764002884951</v>
      </c>
      <c r="Z99" s="66">
        <v>42.467666378576212</v>
      </c>
      <c r="AA99" s="66"/>
      <c r="AB99" s="66">
        <v>15.904721158576628</v>
      </c>
      <c r="AC99" s="66">
        <v>13.821738258225112</v>
      </c>
      <c r="AD99" s="66">
        <v>12.854927126914951</v>
      </c>
      <c r="AE99" s="66">
        <v>14.647369068221007</v>
      </c>
      <c r="AF99" s="66">
        <v>14.980849367951201</v>
      </c>
      <c r="AG99" s="66">
        <v>13.332735133072573</v>
      </c>
      <c r="AH99" s="66">
        <v>16.346223270603922</v>
      </c>
      <c r="AI99" s="66">
        <v>13.551327239277073</v>
      </c>
      <c r="AJ99" s="66">
        <v>16.310376082395621</v>
      </c>
      <c r="AK99" s="66">
        <v>13.429904674237397</v>
      </c>
      <c r="AL99" s="66">
        <v>15.47006753998371</v>
      </c>
      <c r="AM99" s="45">
        <v>15.6465871476874</v>
      </c>
      <c r="AN99" s="45"/>
      <c r="AO99" s="45"/>
      <c r="AP99" s="45"/>
      <c r="AQ99" s="45"/>
      <c r="AR99" s="45"/>
      <c r="AS99" s="45"/>
      <c r="AT99" s="45"/>
      <c r="AU99" s="45"/>
      <c r="AV99" s="45"/>
      <c r="AW99" s="45"/>
      <c r="AX99" s="45"/>
      <c r="AY99" s="45"/>
      <c r="AZ99" s="45"/>
      <c r="BA99" s="45"/>
      <c r="BB99" s="45"/>
      <c r="BC99" s="45"/>
      <c r="BD99" s="45"/>
      <c r="BE99" s="45"/>
      <c r="BF99" s="45"/>
      <c r="BG99" s="45"/>
      <c r="BH99" s="45"/>
      <c r="BI99" s="45"/>
      <c r="BJ99" s="45"/>
      <c r="BK99" s="45"/>
      <c r="BL99" s="45"/>
      <c r="BM99" s="45"/>
      <c r="BN99" s="45"/>
      <c r="BO99" s="45"/>
      <c r="BP99" s="45"/>
      <c r="BQ99" s="45"/>
      <c r="BR99" s="45"/>
      <c r="BS99" s="45"/>
      <c r="BT99" s="45"/>
      <c r="BU99" s="45"/>
      <c r="BV99" s="45"/>
      <c r="BW99" s="45"/>
      <c r="BX99" s="45"/>
      <c r="BY99" s="45"/>
      <c r="BZ99" s="45"/>
      <c r="CA99" s="45"/>
      <c r="CB99" s="45"/>
      <c r="CC99" s="45"/>
      <c r="CD99" s="45"/>
      <c r="CE99" s="45"/>
      <c r="CF99" s="45"/>
      <c r="CG99" s="45"/>
      <c r="CH99" s="45"/>
      <c r="CI99" s="45"/>
      <c r="CJ99" s="45"/>
      <c r="CK99" s="45"/>
      <c r="CL99" s="45"/>
      <c r="CM99" s="45"/>
      <c r="CN99" s="45"/>
      <c r="CO99" s="45"/>
      <c r="CP99" s="45"/>
      <c r="CQ99" s="45"/>
      <c r="CR99" s="45"/>
      <c r="CS99" s="45"/>
      <c r="CT99" s="45"/>
      <c r="CU99" s="45"/>
      <c r="CV99" s="45"/>
      <c r="CW99" s="45"/>
    </row>
    <row r="100" spans="1:131" s="25" customFormat="1">
      <c r="C100" s="45"/>
      <c r="D100" s="45"/>
      <c r="E100" s="45"/>
      <c r="F100" s="45"/>
      <c r="G100" s="45"/>
      <c r="H100" s="45"/>
      <c r="I100" s="45"/>
      <c r="J100" s="45"/>
      <c r="K100" s="45"/>
      <c r="L100" s="45"/>
      <c r="M100" s="45"/>
      <c r="N100" s="45"/>
      <c r="O100" s="45"/>
      <c r="P100" s="45"/>
      <c r="Q100" s="45"/>
      <c r="R100" s="45"/>
      <c r="S100" s="45"/>
      <c r="T100" s="45"/>
      <c r="U100" s="45"/>
      <c r="V100" s="45"/>
      <c r="W100" s="45"/>
      <c r="X100" s="45"/>
      <c r="Y100" s="45"/>
      <c r="Z100" s="45"/>
      <c r="AA100" s="45"/>
      <c r="AB100" s="45"/>
      <c r="AC100" s="45"/>
      <c r="AD100" s="45"/>
      <c r="AE100" s="45"/>
      <c r="AF100" s="45"/>
      <c r="AG100" s="45"/>
      <c r="AH100" s="45"/>
      <c r="AI100" s="45"/>
      <c r="AJ100" s="45"/>
      <c r="AK100" s="45"/>
      <c r="AL100" s="45"/>
      <c r="AM100" s="45"/>
      <c r="AN100" s="45"/>
      <c r="AO100" s="45"/>
      <c r="AP100" s="45"/>
      <c r="AQ100" s="45"/>
      <c r="AR100" s="45"/>
      <c r="AS100" s="45"/>
      <c r="AT100" s="45"/>
      <c r="AU100" s="45"/>
      <c r="AV100" s="45"/>
      <c r="AW100" s="45"/>
      <c r="AX100" s="45"/>
      <c r="AY100" s="45"/>
      <c r="AZ100" s="45"/>
      <c r="BA100" s="45"/>
      <c r="BB100" s="45"/>
      <c r="BC100" s="45"/>
      <c r="BD100" s="45"/>
      <c r="BE100" s="45"/>
      <c r="BF100" s="45"/>
      <c r="BG100" s="45"/>
      <c r="BH100" s="45"/>
      <c r="BI100" s="45"/>
      <c r="BJ100" s="45"/>
      <c r="BK100" s="45"/>
      <c r="BL100" s="45"/>
      <c r="BM100" s="45"/>
      <c r="BN100" s="45"/>
      <c r="BO100" s="45"/>
      <c r="BP100" s="45"/>
      <c r="BQ100" s="45"/>
      <c r="BR100" s="45"/>
      <c r="BS100" s="45"/>
      <c r="BT100" s="45"/>
      <c r="BU100" s="45"/>
      <c r="BV100" s="45"/>
      <c r="BW100" s="45"/>
      <c r="BX100" s="45"/>
      <c r="BY100" s="45"/>
      <c r="BZ100" s="45"/>
      <c r="CA100" s="45"/>
      <c r="CB100" s="45"/>
      <c r="CC100" s="45"/>
      <c r="CD100" s="45"/>
      <c r="CE100" s="45"/>
      <c r="CF100" s="45"/>
      <c r="CG100" s="45"/>
      <c r="CH100" s="45"/>
      <c r="CI100" s="45"/>
      <c r="CJ100" s="45"/>
      <c r="CK100" s="45"/>
      <c r="CL100" s="45"/>
      <c r="CM100" s="45"/>
      <c r="CN100" s="45"/>
      <c r="CO100" s="45"/>
      <c r="CP100" s="45"/>
      <c r="CQ100" s="45"/>
      <c r="CR100" s="45"/>
      <c r="CS100" s="45"/>
      <c r="CT100" s="45"/>
      <c r="CU100" s="45"/>
      <c r="CV100" s="45"/>
      <c r="CW100" s="45"/>
    </row>
    <row r="101" spans="1:131" s="25" customFormat="1">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row>
    <row r="102" spans="1:131" s="25" customFormat="1">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row>
    <row r="103" spans="1:131" s="25" customFormat="1">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row>
    <row r="104" spans="1:131" s="25" customFormat="1">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row>
    <row r="105" spans="1:131" s="25" customFormat="1">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row>
    <row r="106" spans="1:131" s="25" customFormat="1">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row>
    <row r="107" spans="1:131" s="25" customFormat="1">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row>
    <row r="108" spans="1:131" s="25" customFormat="1">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row>
    <row r="109" spans="1:131" s="25" customFormat="1">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row>
    <row r="110" spans="1:131" s="25" customFormat="1">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row>
    <row r="111" spans="1:131" s="25" customFormat="1">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row>
    <row r="112" spans="1:131" s="25" customFormat="1">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row>
    <row r="113" spans="1:131" s="25" customFormat="1">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row>
    <row r="114" spans="1:131" s="25" customFormat="1">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row>
    <row r="115" spans="1:131" s="25" customFormat="1">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row>
    <row r="116" spans="1:131" s="25" customFormat="1">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row>
    <row r="117" spans="1:131" s="25" customFormat="1">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row>
    <row r="118" spans="1:131" s="25" customFormat="1">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row>
    <row r="119" spans="1:131" s="25" customFormat="1">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row>
    <row r="120" spans="1:131" s="25" customFormat="1">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row>
    <row r="121" spans="1:131" s="25" customFormat="1">
      <c r="A121"/>
      <c r="B121"/>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row>
    <row r="122" spans="1:131" s="25" customFormat="1">
      <c r="A122"/>
      <c r="B122"/>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row>
    <row r="123" spans="1:131" s="25" customFormat="1">
      <c r="A123"/>
      <c r="B123"/>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row>
    <row r="124" spans="1:131" s="25" customFormat="1">
      <c r="A124"/>
      <c r="B124"/>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row>
    <row r="125" spans="1:131" s="25" customFormat="1">
      <c r="A125"/>
      <c r="B125"/>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row>
    <row r="126" spans="1:131" s="25" customFormat="1">
      <c r="A126"/>
      <c r="B126"/>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row>
    <row r="127" spans="1:131" s="25" customFormat="1">
      <c r="A127"/>
      <c r="B127"/>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row>
    <row r="128" spans="1:131" s="25" customFormat="1">
      <c r="A128"/>
      <c r="B128"/>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row>
    <row r="129" spans="1:131" s="25" customFormat="1">
      <c r="A129"/>
      <c r="B129"/>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row>
    <row r="130" spans="1:131" s="25" customFormat="1">
      <c r="A130"/>
      <c r="B130"/>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row>
    <row r="131" spans="1:131" s="25" customFormat="1">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row>
    <row r="132" spans="1:131" s="25" customFormat="1">
      <c r="A132"/>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row>
    <row r="133" spans="1:131" s="25" customFormat="1">
      <c r="A133"/>
      <c r="B133"/>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row>
    <row r="134" spans="1:131" s="25" customFormat="1">
      <c r="A134"/>
      <c r="B134"/>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row>
    <row r="135" spans="1:131" s="25" customFormat="1">
      <c r="A135"/>
      <c r="B135"/>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row>
    <row r="136" spans="1:131" s="25" customFormat="1">
      <c r="A136"/>
      <c r="B136"/>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row>
    <row r="137" spans="1:131" s="25" customFormat="1">
      <c r="A137"/>
      <c r="B137"/>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row>
    <row r="138" spans="1:131" s="25" customFormat="1">
      <c r="A138"/>
      <c r="B138"/>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row>
    <row r="139" spans="1:131" s="25" customFormat="1">
      <c r="A139"/>
      <c r="B139"/>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row>
    <row r="140" spans="1:131" s="25" customFormat="1">
      <c r="A140"/>
      <c r="B140"/>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row>
  </sheetData>
  <mergeCells count="3">
    <mergeCell ref="I6:N6"/>
    <mergeCell ref="O6:P6"/>
    <mergeCell ref="R6:T6"/>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sheetPr codeName="Sheet5"/>
  <dimension ref="A5:P40"/>
  <sheetViews>
    <sheetView workbookViewId="0">
      <selection activeCell="B29" sqref="B29"/>
    </sheetView>
  </sheetViews>
  <sheetFormatPr defaultRowHeight="12.75"/>
  <cols>
    <col min="1" max="1" width="48.5703125" customWidth="1"/>
    <col min="2" max="2" width="43.42578125" customWidth="1"/>
    <col min="3" max="3" width="17.28515625" bestFit="1" customWidth="1"/>
    <col min="4" max="4" width="12" bestFit="1" customWidth="1"/>
    <col min="5" max="5" width="12.5703125" customWidth="1"/>
    <col min="6" max="6" width="13.7109375" customWidth="1"/>
    <col min="7" max="7" width="17.28515625" bestFit="1" customWidth="1"/>
    <col min="8" max="8" width="15.5703125" bestFit="1" customWidth="1"/>
    <col min="9" max="9" width="15.28515625" bestFit="1" customWidth="1"/>
    <col min="10" max="10" width="14.28515625" bestFit="1" customWidth="1"/>
    <col min="11" max="11" width="14.28515625" customWidth="1"/>
    <col min="12" max="12" width="12.5703125" customWidth="1"/>
    <col min="13" max="13" width="10.28515625" bestFit="1" customWidth="1"/>
    <col min="14" max="15" width="10.85546875" bestFit="1" customWidth="1"/>
    <col min="16" max="16" width="13.42578125" customWidth="1"/>
  </cols>
  <sheetData>
    <row r="5" spans="1:16">
      <c r="A5" t="s">
        <v>340</v>
      </c>
    </row>
    <row r="6" spans="1:16">
      <c r="A6" s="29" t="s">
        <v>17</v>
      </c>
      <c r="B6" s="30"/>
      <c r="C6" s="30"/>
      <c r="D6" s="30"/>
      <c r="E6" s="30"/>
      <c r="F6" s="30"/>
      <c r="G6" s="31"/>
      <c r="H6" s="32"/>
      <c r="I6" s="508" t="s">
        <v>18</v>
      </c>
      <c r="J6" s="509"/>
      <c r="K6" s="509"/>
      <c r="L6" s="509"/>
      <c r="M6" s="509"/>
      <c r="N6" s="510"/>
      <c r="O6" s="511" t="s">
        <v>19</v>
      </c>
      <c r="P6" s="512"/>
    </row>
    <row r="7" spans="1:16" ht="25.5">
      <c r="A7" s="38" t="s">
        <v>22</v>
      </c>
      <c r="B7" s="38" t="s">
        <v>23</v>
      </c>
      <c r="C7" s="38" t="s">
        <v>24</v>
      </c>
      <c r="D7" s="38" t="s">
        <v>25</v>
      </c>
      <c r="E7" s="38" t="s">
        <v>26</v>
      </c>
      <c r="F7" s="39" t="s">
        <v>27</v>
      </c>
      <c r="G7" s="38" t="s">
        <v>28</v>
      </c>
      <c r="H7" s="40" t="s">
        <v>29</v>
      </c>
      <c r="I7" s="40" t="s">
        <v>30</v>
      </c>
      <c r="J7" s="40" t="s">
        <v>31</v>
      </c>
      <c r="K7" s="40" t="s">
        <v>32</v>
      </c>
      <c r="L7" s="40" t="s">
        <v>33</v>
      </c>
      <c r="M7" s="40" t="s">
        <v>34</v>
      </c>
      <c r="N7" s="40" t="s">
        <v>35</v>
      </c>
      <c r="O7" s="41" t="s">
        <v>36</v>
      </c>
      <c r="P7" s="40" t="s">
        <v>28</v>
      </c>
    </row>
    <row r="8" spans="1:16">
      <c r="A8" s="115" t="s">
        <v>396</v>
      </c>
      <c r="B8" s="115" t="s">
        <v>396</v>
      </c>
      <c r="C8" s="115">
        <f>'RTF Input Data'!C45</f>
        <v>2448.9442495802118</v>
      </c>
      <c r="D8" s="115">
        <f>'RTF Input Data'!D45</f>
        <v>8</v>
      </c>
      <c r="E8" s="115">
        <f>'RTF Input Data'!E45</f>
        <v>687.85842321281109</v>
      </c>
      <c r="F8" s="115"/>
      <c r="G8" s="115" t="str">
        <f>'RTF Input Data'!G45</f>
        <v>ExRest</v>
      </c>
      <c r="H8" s="115">
        <f>'RTF Input Data'!H45</f>
        <v>0</v>
      </c>
      <c r="I8" s="115"/>
      <c r="J8" s="115"/>
      <c r="K8" s="115"/>
      <c r="L8" s="115"/>
      <c r="M8" s="115"/>
      <c r="N8" s="115"/>
      <c r="O8" s="115">
        <f>'RTF Input Data'!O8</f>
        <v>0</v>
      </c>
      <c r="P8" s="115">
        <f>'RTF Input Data'!P8</f>
        <v>0</v>
      </c>
    </row>
    <row r="9" spans="1:16">
      <c r="A9" s="115" t="s">
        <v>397</v>
      </c>
      <c r="B9" s="115" t="s">
        <v>397</v>
      </c>
      <c r="C9" s="115">
        <f>'RTF Input Data'!C46</f>
        <v>642.62725257469287</v>
      </c>
      <c r="D9" s="115">
        <f>'RTF Input Data'!D46</f>
        <v>20</v>
      </c>
      <c r="E9" s="115">
        <f>'RTF Input Data'!E46</f>
        <v>602.50690647589306</v>
      </c>
      <c r="F9" s="115"/>
      <c r="G9" s="115" t="str">
        <f>'RTF Input Data'!G46</f>
        <v>ExRest</v>
      </c>
      <c r="H9" s="115">
        <f>'RTF Input Data'!H46</f>
        <v>0</v>
      </c>
      <c r="I9" s="115"/>
      <c r="J9" s="115"/>
      <c r="K9" s="115"/>
      <c r="L9" s="115"/>
      <c r="M9" s="115"/>
      <c r="N9" s="115"/>
      <c r="O9" s="115">
        <f>'RTF Input Data'!O9</f>
        <v>0</v>
      </c>
      <c r="P9" s="115">
        <f>'RTF Input Data'!P9</f>
        <v>0</v>
      </c>
    </row>
    <row r="10" spans="1:16">
      <c r="A10" s="115" t="s">
        <v>398</v>
      </c>
      <c r="B10" s="115" t="s">
        <v>398</v>
      </c>
      <c r="C10" s="115">
        <f>'RTF Input Data'!C47</f>
        <v>41037.0667698299</v>
      </c>
      <c r="D10" s="115">
        <f>'RTF Input Data'!D47</f>
        <v>9</v>
      </c>
      <c r="E10" s="115">
        <f>'RTF Input Data'!E47</f>
        <v>736.61200824642435</v>
      </c>
      <c r="F10" s="115"/>
      <c r="G10" s="115" t="str">
        <f>'RTF Input Data'!G47</f>
        <v>ExRest</v>
      </c>
      <c r="H10" s="115">
        <f>'RTF Input Data'!H47</f>
        <v>0</v>
      </c>
      <c r="I10" s="115"/>
      <c r="J10" s="115"/>
      <c r="K10" s="115"/>
      <c r="L10" s="115"/>
      <c r="M10" s="115"/>
      <c r="N10" s="115"/>
      <c r="O10" s="115">
        <f>'RTF Input Data'!O10</f>
        <v>0</v>
      </c>
      <c r="P10" s="115">
        <f>'RTF Input Data'!P10</f>
        <v>0</v>
      </c>
    </row>
    <row r="11" spans="1:16">
      <c r="A11" s="115" t="s">
        <v>399</v>
      </c>
      <c r="B11" s="115" t="s">
        <v>422</v>
      </c>
      <c r="C11" s="115">
        <f>'RTF Input Data'!C48</f>
        <v>603.92108692928571</v>
      </c>
      <c r="D11" s="115">
        <f>'RTF Input Data'!D48</f>
        <v>9</v>
      </c>
      <c r="E11" s="115">
        <f>'RTF Input Data'!E48</f>
        <v>0</v>
      </c>
      <c r="F11" s="115"/>
      <c r="G11" s="115" t="str">
        <f>'RTF Input Data'!G48</f>
        <v>FLAT</v>
      </c>
      <c r="H11" s="115">
        <f>'RTF Input Data'!H48</f>
        <v>1502.6885190469525</v>
      </c>
      <c r="I11" s="115"/>
      <c r="J11" s="115"/>
      <c r="K11" s="115"/>
      <c r="L11" s="115"/>
      <c r="M11" s="115"/>
      <c r="N11" s="115"/>
      <c r="O11" s="115">
        <f>'RTF Input Data'!O11</f>
        <v>0</v>
      </c>
      <c r="P11" s="115">
        <f>'RTF Input Data'!P11</f>
        <v>0</v>
      </c>
    </row>
    <row r="12" spans="1:16">
      <c r="A12" s="115" t="s">
        <v>399</v>
      </c>
      <c r="B12" s="115" t="s">
        <v>399</v>
      </c>
      <c r="C12" s="115">
        <f>'RTF Input Data'!C49</f>
        <v>15157.338598650684</v>
      </c>
      <c r="D12" s="115">
        <f>'RTF Input Data'!D49</f>
        <v>10</v>
      </c>
      <c r="E12" s="115">
        <f>'RTF Input Data'!E49</f>
        <v>939.39850905236949</v>
      </c>
      <c r="F12" s="115"/>
      <c r="G12" s="115" t="str">
        <f>'RTF Input Data'!G49</f>
        <v>ExRest</v>
      </c>
      <c r="H12" s="115">
        <f>'RTF Input Data'!H49</f>
        <v>0</v>
      </c>
      <c r="I12" s="115"/>
      <c r="J12" s="115"/>
      <c r="K12" s="115"/>
      <c r="L12" s="115"/>
      <c r="M12" s="115"/>
      <c r="N12" s="115"/>
      <c r="O12" s="115">
        <f>'RTF Input Data'!O12</f>
        <v>0</v>
      </c>
      <c r="P12" s="115">
        <f>'RTF Input Data'!P12</f>
        <v>0</v>
      </c>
    </row>
    <row r="13" spans="1:16">
      <c r="A13" s="115" t="s">
        <v>400</v>
      </c>
      <c r="B13" s="115" t="s">
        <v>422</v>
      </c>
      <c r="C13" s="115">
        <f>'RTF Input Data'!C50</f>
        <v>123.51946356998933</v>
      </c>
      <c r="D13" s="115">
        <f>'RTF Input Data'!D50</f>
        <v>10</v>
      </c>
      <c r="E13" s="115">
        <f>'RTF Input Data'!E50</f>
        <v>0</v>
      </c>
      <c r="F13" s="115"/>
      <c r="G13" s="115" t="str">
        <f>'RTF Input Data'!G50</f>
        <v>FLAT</v>
      </c>
      <c r="H13" s="115">
        <f>'RTF Input Data'!H50</f>
        <v>307.34359803401742</v>
      </c>
      <c r="I13" s="115"/>
      <c r="J13" s="115"/>
      <c r="K13" s="115"/>
      <c r="L13" s="115"/>
      <c r="M13" s="115"/>
      <c r="N13" s="115"/>
      <c r="O13" s="115">
        <f>'RTF Input Data'!O13</f>
        <v>0</v>
      </c>
      <c r="P13" s="115">
        <f>'RTF Input Data'!P13</f>
        <v>0</v>
      </c>
    </row>
    <row r="14" spans="1:16">
      <c r="A14" s="115" t="s">
        <v>400</v>
      </c>
      <c r="B14" s="115" t="s">
        <v>400</v>
      </c>
      <c r="C14" s="115">
        <f>'RTF Input Data'!C51</f>
        <v>1668.5350708261317</v>
      </c>
      <c r="D14" s="115">
        <f>'RTF Input Data'!D51</f>
        <v>10</v>
      </c>
      <c r="E14" s="115">
        <f>'RTF Input Data'!E51</f>
        <v>834.20343499804414</v>
      </c>
      <c r="F14" s="115"/>
      <c r="G14" s="115" t="str">
        <f>'RTF Input Data'!G51</f>
        <v>ExRest</v>
      </c>
      <c r="H14" s="115">
        <f>'RTF Input Data'!H51</f>
        <v>0</v>
      </c>
      <c r="I14" s="115"/>
      <c r="J14" s="115"/>
      <c r="K14" s="115"/>
      <c r="L14" s="115"/>
      <c r="M14" s="115"/>
      <c r="N14" s="115"/>
      <c r="O14" s="115">
        <f>'RTF Input Data'!O14</f>
        <v>0</v>
      </c>
      <c r="P14" s="115">
        <f>'RTF Input Data'!P14</f>
        <v>0</v>
      </c>
    </row>
    <row r="15" spans="1:16">
      <c r="A15" s="115"/>
      <c r="B15" s="115"/>
      <c r="C15" s="115"/>
      <c r="D15" s="115"/>
      <c r="E15" s="115"/>
      <c r="F15" s="115"/>
      <c r="G15" s="115"/>
      <c r="H15" s="115"/>
      <c r="I15" s="115"/>
      <c r="J15" s="115"/>
      <c r="K15" s="115"/>
      <c r="L15" s="115"/>
      <c r="M15" s="115"/>
      <c r="N15" s="115"/>
      <c r="O15" s="115"/>
      <c r="P15" s="115"/>
    </row>
    <row r="16" spans="1:16">
      <c r="A16" s="115"/>
      <c r="B16" s="115"/>
      <c r="C16" s="115"/>
      <c r="D16" s="115"/>
      <c r="E16" s="115"/>
      <c r="F16" s="115"/>
      <c r="G16" s="115"/>
      <c r="H16" s="115"/>
      <c r="I16" s="115"/>
      <c r="J16" s="115"/>
      <c r="K16" s="115"/>
      <c r="L16" s="115"/>
      <c r="M16" s="115"/>
      <c r="N16" s="115"/>
      <c r="O16" s="115"/>
      <c r="P16" s="115"/>
    </row>
    <row r="17" spans="1:16">
      <c r="A17" s="115"/>
      <c r="B17" s="115"/>
      <c r="C17" s="115"/>
      <c r="D17" s="115"/>
      <c r="E17" s="115"/>
      <c r="F17" s="115"/>
      <c r="G17" s="115"/>
      <c r="H17" s="115"/>
      <c r="I17" s="115"/>
      <c r="J17" s="115"/>
      <c r="K17" s="115"/>
      <c r="L17" s="115"/>
      <c r="M17" s="115"/>
      <c r="N17" s="115"/>
      <c r="O17" s="115"/>
      <c r="P17" s="115"/>
    </row>
    <row r="18" spans="1:16">
      <c r="A18" s="115"/>
      <c r="B18" s="115"/>
      <c r="C18" s="115"/>
      <c r="D18" s="115"/>
      <c r="E18" s="115"/>
      <c r="F18" s="115"/>
      <c r="G18" s="115"/>
      <c r="H18" s="115"/>
      <c r="I18" s="115"/>
      <c r="J18" s="115"/>
      <c r="K18" s="115"/>
      <c r="L18" s="115"/>
      <c r="M18" s="115"/>
      <c r="N18" s="115"/>
      <c r="O18" s="115"/>
      <c r="P18" s="115"/>
    </row>
    <row r="19" spans="1:16">
      <c r="A19" s="115"/>
      <c r="B19" s="115"/>
      <c r="C19" s="115"/>
      <c r="D19" s="115"/>
      <c r="E19" s="115"/>
      <c r="F19" s="115"/>
      <c r="G19" s="115"/>
      <c r="H19" s="115"/>
      <c r="I19" s="115"/>
      <c r="J19" s="115"/>
      <c r="K19" s="115"/>
      <c r="L19" s="115"/>
      <c r="M19" s="115"/>
      <c r="N19" s="115"/>
      <c r="O19" s="115"/>
      <c r="P19" s="115"/>
    </row>
    <row r="20" spans="1:16">
      <c r="A20" s="115"/>
      <c r="B20" s="115"/>
      <c r="C20" s="115"/>
      <c r="D20" s="115"/>
      <c r="E20" s="115"/>
      <c r="F20" s="115"/>
      <c r="G20" s="115"/>
      <c r="H20" s="115"/>
      <c r="I20" s="115"/>
      <c r="J20" s="115"/>
      <c r="K20" s="115"/>
      <c r="L20" s="115"/>
      <c r="M20" s="115"/>
      <c r="N20" s="115"/>
      <c r="O20" s="115"/>
      <c r="P20" s="115"/>
    </row>
    <row r="21" spans="1:16">
      <c r="A21" s="115"/>
      <c r="B21" s="115"/>
      <c r="C21" s="115"/>
      <c r="D21" s="115"/>
      <c r="E21" s="115"/>
      <c r="F21" s="115"/>
      <c r="G21" s="115"/>
      <c r="H21" s="115"/>
      <c r="I21" s="115"/>
      <c r="J21" s="115"/>
      <c r="K21" s="115"/>
      <c r="L21" s="115"/>
      <c r="M21" s="115"/>
      <c r="N21" s="115"/>
      <c r="O21" s="115"/>
      <c r="P21" s="115"/>
    </row>
    <row r="22" spans="1:16">
      <c r="A22" s="115"/>
      <c r="B22" s="115"/>
      <c r="C22" s="115"/>
      <c r="D22" s="115"/>
      <c r="E22" s="115"/>
      <c r="F22" s="115"/>
      <c r="G22" s="115"/>
      <c r="H22" s="115"/>
      <c r="I22" s="115"/>
      <c r="J22" s="115"/>
      <c r="K22" s="115"/>
      <c r="L22" s="115"/>
      <c r="M22" s="115"/>
      <c r="N22" s="115"/>
      <c r="O22" s="115"/>
      <c r="P22" s="115"/>
    </row>
    <row r="23" spans="1:16">
      <c r="A23" s="115"/>
      <c r="B23" s="115"/>
      <c r="C23" s="115"/>
      <c r="D23" s="115"/>
      <c r="E23" s="115"/>
      <c r="F23" s="115"/>
      <c r="G23" s="115"/>
      <c r="H23" s="115"/>
      <c r="I23" s="115"/>
      <c r="J23" s="115"/>
      <c r="K23" s="115"/>
      <c r="L23" s="115"/>
      <c r="M23" s="115"/>
      <c r="N23" s="115"/>
      <c r="O23" s="115"/>
      <c r="P23" s="115"/>
    </row>
    <row r="24" spans="1:16">
      <c r="A24" s="115"/>
      <c r="B24" s="115"/>
      <c r="C24" s="115"/>
      <c r="D24" s="115"/>
      <c r="E24" s="115"/>
      <c r="F24" s="115"/>
      <c r="G24" s="115"/>
      <c r="H24" s="115"/>
      <c r="I24" s="115"/>
      <c r="J24" s="115"/>
      <c r="K24" s="115"/>
      <c r="L24" s="115"/>
      <c r="M24" s="115"/>
      <c r="N24" s="115"/>
      <c r="O24" s="115"/>
      <c r="P24" s="115"/>
    </row>
    <row r="25" spans="1:16">
      <c r="A25" s="115"/>
      <c r="B25" s="115"/>
      <c r="C25" s="115"/>
      <c r="D25" s="115"/>
      <c r="E25" s="115"/>
      <c r="F25" s="115"/>
      <c r="G25" s="115"/>
      <c r="H25" s="115"/>
      <c r="I25" s="115"/>
      <c r="J25" s="115"/>
      <c r="K25" s="115"/>
      <c r="L25" s="115"/>
      <c r="M25" s="115"/>
      <c r="N25" s="115"/>
      <c r="O25" s="115"/>
      <c r="P25" s="115"/>
    </row>
    <row r="26" spans="1:16">
      <c r="A26" s="115"/>
      <c r="B26" s="115"/>
      <c r="C26" s="115"/>
      <c r="D26" s="115"/>
      <c r="E26" s="115"/>
      <c r="F26" s="115"/>
      <c r="G26" s="115"/>
      <c r="H26" s="115"/>
      <c r="I26" s="115"/>
      <c r="J26" s="115"/>
      <c r="K26" s="115"/>
      <c r="L26" s="115"/>
      <c r="M26" s="115"/>
      <c r="N26" s="115"/>
      <c r="O26" s="115"/>
      <c r="P26" s="115"/>
    </row>
    <row r="27" spans="1:16">
      <c r="A27" s="115"/>
      <c r="B27" s="115"/>
      <c r="C27" s="115"/>
      <c r="D27" s="115"/>
      <c r="E27" s="115"/>
      <c r="F27" s="115"/>
      <c r="G27" s="115"/>
      <c r="H27" s="115"/>
      <c r="I27" s="115"/>
      <c r="J27" s="115"/>
      <c r="K27" s="115"/>
      <c r="L27" s="115"/>
      <c r="M27" s="115"/>
      <c r="N27" s="115"/>
      <c r="O27" s="115"/>
      <c r="P27" s="115"/>
    </row>
    <row r="28" spans="1:16">
      <c r="A28" s="115"/>
      <c r="B28" s="115"/>
      <c r="C28" s="115"/>
      <c r="D28" s="115"/>
      <c r="E28" s="115"/>
      <c r="F28" s="115"/>
      <c r="G28" s="115"/>
      <c r="H28" s="115"/>
      <c r="I28" s="115"/>
      <c r="J28" s="115"/>
      <c r="K28" s="115"/>
      <c r="L28" s="115"/>
      <c r="M28" s="115"/>
      <c r="N28" s="115"/>
      <c r="O28" s="115"/>
      <c r="P28" s="115"/>
    </row>
    <row r="29" spans="1:16">
      <c r="A29" s="115"/>
      <c r="B29" s="115"/>
      <c r="C29" s="115"/>
      <c r="D29" s="115"/>
      <c r="E29" s="115"/>
      <c r="F29" s="115"/>
      <c r="G29" s="115"/>
      <c r="H29" s="115"/>
      <c r="I29" s="115"/>
      <c r="J29" s="115"/>
      <c r="K29" s="115"/>
      <c r="L29" s="115"/>
      <c r="M29" s="115"/>
      <c r="N29" s="115"/>
      <c r="O29" s="115"/>
      <c r="P29" s="115"/>
    </row>
    <row r="30" spans="1:16">
      <c r="A30" s="115"/>
      <c r="B30" s="115"/>
      <c r="C30" s="115"/>
      <c r="D30" s="115"/>
      <c r="E30" s="115"/>
      <c r="F30" s="115"/>
      <c r="G30" s="115"/>
      <c r="H30" s="115"/>
      <c r="I30" s="115"/>
      <c r="J30" s="115"/>
      <c r="K30" s="115"/>
      <c r="L30" s="115"/>
      <c r="M30" s="115"/>
      <c r="N30" s="115"/>
      <c r="O30" s="115"/>
      <c r="P30" s="115"/>
    </row>
    <row r="31" spans="1:16">
      <c r="A31" s="115"/>
      <c r="B31" s="115"/>
      <c r="C31" s="115"/>
      <c r="D31" s="115"/>
      <c r="E31" s="115"/>
      <c r="F31" s="115"/>
      <c r="G31" s="115"/>
      <c r="H31" s="115"/>
      <c r="I31" s="115"/>
      <c r="J31" s="115"/>
      <c r="K31" s="115"/>
      <c r="L31" s="115"/>
      <c r="M31" s="115"/>
      <c r="N31" s="115"/>
      <c r="O31" s="115"/>
      <c r="P31" s="115"/>
    </row>
    <row r="32" spans="1:16">
      <c r="A32" s="159" t="s">
        <v>396</v>
      </c>
      <c r="B32" s="115" t="str">
        <f>A32</f>
        <v>Fryers</v>
      </c>
      <c r="C32" s="115"/>
      <c r="D32" s="115"/>
      <c r="E32" s="115"/>
      <c r="F32" s="115"/>
      <c r="G32" s="115"/>
      <c r="H32" s="115"/>
      <c r="I32" s="115"/>
      <c r="J32" s="115"/>
      <c r="K32" s="115"/>
      <c r="L32" s="115"/>
      <c r="M32" s="115"/>
      <c r="N32" s="115"/>
      <c r="O32" s="115"/>
      <c r="P32" s="115"/>
    </row>
    <row r="33" spans="1:16">
      <c r="A33" s="160" t="s">
        <v>397</v>
      </c>
      <c r="B33" s="115" t="str">
        <f>A33</f>
        <v>HFHC (Wt Average Size)</v>
      </c>
      <c r="C33" s="115"/>
      <c r="D33" s="115"/>
      <c r="E33" s="115"/>
      <c r="F33" s="115"/>
      <c r="G33" s="115"/>
      <c r="H33" s="115"/>
      <c r="I33" s="115"/>
      <c r="J33" s="115"/>
      <c r="K33" s="115"/>
      <c r="L33" s="115"/>
      <c r="M33" s="115"/>
      <c r="N33" s="115"/>
      <c r="O33" s="115"/>
      <c r="P33" s="115"/>
    </row>
    <row r="34" spans="1:16">
      <c r="A34" s="159" t="s">
        <v>398</v>
      </c>
      <c r="B34" s="115" t="str">
        <f>A34</f>
        <v>Steamer (Wt Average Size)</v>
      </c>
      <c r="C34" s="115"/>
      <c r="D34" s="115"/>
      <c r="E34" s="115"/>
      <c r="F34" s="115"/>
      <c r="G34" s="115"/>
      <c r="H34" s="115"/>
      <c r="I34" s="115"/>
      <c r="J34" s="115"/>
      <c r="K34" s="115"/>
      <c r="L34" s="115"/>
      <c r="M34" s="115"/>
      <c r="N34" s="115"/>
      <c r="O34" s="115"/>
      <c r="P34" s="115"/>
    </row>
    <row r="35" spans="1:16">
      <c r="A35" s="159" t="s">
        <v>399</v>
      </c>
      <c r="B35" s="115" t="str">
        <f>A35</f>
        <v>Combi Oven (Wt Average)</v>
      </c>
      <c r="C35" s="115"/>
      <c r="D35" s="115"/>
      <c r="E35" s="115"/>
      <c r="F35" s="115"/>
      <c r="G35" s="115"/>
      <c r="H35" s="115"/>
      <c r="I35" s="115"/>
      <c r="J35" s="115"/>
      <c r="K35" s="115"/>
      <c r="L35" s="115"/>
      <c r="M35" s="115"/>
      <c r="N35" s="115"/>
      <c r="O35" s="115"/>
      <c r="P35" s="115"/>
    </row>
    <row r="36" spans="1:16">
      <c r="A36" s="159" t="s">
        <v>400</v>
      </c>
      <c r="B36" s="115" t="str">
        <f>A36</f>
        <v>Convection Oven (Wt Average)</v>
      </c>
      <c r="C36" s="115"/>
      <c r="D36" s="115"/>
      <c r="E36" s="115"/>
      <c r="F36" s="115"/>
      <c r="G36" s="115"/>
      <c r="H36" s="115"/>
      <c r="I36" s="115"/>
      <c r="J36" s="115"/>
      <c r="K36" s="115"/>
      <c r="L36" s="115"/>
      <c r="M36" s="115"/>
      <c r="N36" s="115"/>
      <c r="O36" s="115"/>
      <c r="P36" s="115"/>
    </row>
    <row r="37" spans="1:16">
      <c r="A37" s="115"/>
      <c r="B37" s="115"/>
      <c r="C37" s="115"/>
      <c r="D37" s="115"/>
      <c r="E37" s="115"/>
      <c r="F37" s="115"/>
      <c r="G37" s="115"/>
      <c r="H37" s="115"/>
      <c r="I37" s="115"/>
      <c r="J37" s="115"/>
      <c r="K37" s="115"/>
      <c r="L37" s="115"/>
      <c r="M37" s="115"/>
      <c r="N37" s="115"/>
      <c r="O37" s="115"/>
      <c r="P37" s="115"/>
    </row>
    <row r="38" spans="1:16">
      <c r="A38" s="115"/>
      <c r="B38" s="115"/>
      <c r="C38" s="115"/>
      <c r="D38" s="115"/>
      <c r="E38" s="115"/>
      <c r="F38" s="115"/>
      <c r="G38" s="115"/>
      <c r="H38" s="115"/>
      <c r="I38" s="115"/>
      <c r="J38" s="115"/>
      <c r="K38" s="115"/>
      <c r="L38" s="115"/>
      <c r="M38" s="115"/>
      <c r="N38" s="115"/>
      <c r="O38" s="115"/>
      <c r="P38" s="115"/>
    </row>
    <row r="39" spans="1:16">
      <c r="A39" s="115"/>
      <c r="B39" s="115"/>
      <c r="C39" s="115"/>
      <c r="D39" s="115"/>
      <c r="E39" s="115"/>
      <c r="F39" s="115"/>
      <c r="G39" s="115"/>
      <c r="H39" s="115"/>
      <c r="I39" s="115"/>
      <c r="J39" s="115"/>
      <c r="K39" s="115"/>
      <c r="L39" s="115"/>
      <c r="M39" s="115"/>
      <c r="N39" s="115"/>
      <c r="O39" s="115"/>
      <c r="P39" s="115"/>
    </row>
    <row r="40" spans="1:16">
      <c r="A40" s="115"/>
      <c r="B40" s="115"/>
      <c r="C40" s="115"/>
      <c r="D40" s="115"/>
      <c r="E40" s="115"/>
      <c r="F40" s="115"/>
      <c r="G40" s="115"/>
      <c r="H40" s="115"/>
      <c r="I40" s="115"/>
      <c r="J40" s="115"/>
      <c r="K40" s="115"/>
      <c r="L40" s="115"/>
      <c r="M40" s="115"/>
      <c r="N40" s="115"/>
      <c r="O40" s="115"/>
      <c r="P40" s="115"/>
    </row>
  </sheetData>
  <mergeCells count="2">
    <mergeCell ref="I6:N6"/>
    <mergeCell ref="O6:P6"/>
  </mergeCells>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sheetPr codeName="Sheet6"/>
  <dimension ref="A1:AC11"/>
  <sheetViews>
    <sheetView workbookViewId="0">
      <selection activeCell="A4" sqref="A4"/>
    </sheetView>
  </sheetViews>
  <sheetFormatPr defaultRowHeight="12.75"/>
  <cols>
    <col min="1" max="1" width="72.28515625" customWidth="1"/>
    <col min="2" max="2" width="37.85546875" customWidth="1"/>
    <col min="3" max="3" width="61" customWidth="1"/>
    <col min="4" max="4" width="47.5703125" customWidth="1"/>
    <col min="5" max="5" width="45.140625" customWidth="1"/>
    <col min="6" max="6" width="11.28515625" customWidth="1"/>
    <col min="7" max="8" width="9.7109375" customWidth="1"/>
    <col min="9" max="9" width="18" customWidth="1"/>
    <col min="10" max="10" width="11.7109375" customWidth="1"/>
    <col min="11" max="11" width="6.85546875" customWidth="1"/>
    <col min="12" max="12" width="13.140625" customWidth="1"/>
    <col min="13" max="13" width="9.85546875" customWidth="1"/>
    <col min="14" max="14" width="12" customWidth="1"/>
    <col min="15" max="15" width="9.85546875" customWidth="1"/>
    <col min="16" max="16" width="11.7109375" customWidth="1"/>
    <col min="17" max="17" width="10.28515625" customWidth="1"/>
    <col min="18" max="18" width="11.140625" customWidth="1"/>
    <col min="19" max="19" width="9.28515625" customWidth="1"/>
    <col min="20" max="20" width="12.5703125" customWidth="1"/>
    <col min="21" max="21" width="15.42578125" customWidth="1"/>
    <col min="22" max="22" width="9" customWidth="1"/>
    <col min="23" max="24" width="8.7109375" customWidth="1"/>
    <col min="25" max="26" width="13.28515625" customWidth="1"/>
    <col min="27" max="27" width="10.28515625" customWidth="1"/>
    <col min="28" max="28" width="11.7109375" customWidth="1"/>
    <col min="29" max="29" width="12.140625" customWidth="1"/>
  </cols>
  <sheetData>
    <row r="1" spans="1:29" ht="15.75">
      <c r="A1" s="51" t="s">
        <v>65</v>
      </c>
    </row>
    <row r="3" spans="1:29">
      <c r="A3" t="s">
        <v>359</v>
      </c>
    </row>
    <row r="10" spans="1:29" ht="63.75">
      <c r="A10" s="47" t="s">
        <v>23</v>
      </c>
      <c r="B10" s="47" t="s">
        <v>41</v>
      </c>
      <c r="C10" s="48" t="s">
        <v>42</v>
      </c>
      <c r="D10" s="49" t="s">
        <v>43</v>
      </c>
      <c r="E10" s="47" t="s">
        <v>15</v>
      </c>
      <c r="F10" s="47" t="s">
        <v>44</v>
      </c>
      <c r="G10" s="47" t="s">
        <v>45</v>
      </c>
      <c r="H10" s="49" t="s">
        <v>46</v>
      </c>
      <c r="I10" s="50" t="s">
        <v>47</v>
      </c>
      <c r="J10" s="47" t="s">
        <v>48</v>
      </c>
      <c r="K10" s="47" t="s">
        <v>49</v>
      </c>
      <c r="L10" s="47" t="s">
        <v>50</v>
      </c>
      <c r="M10" s="50"/>
      <c r="N10" s="50" t="s">
        <v>51</v>
      </c>
      <c r="O10" s="50"/>
      <c r="P10" s="50" t="s">
        <v>52</v>
      </c>
      <c r="Q10" s="50" t="s">
        <v>53</v>
      </c>
      <c r="R10" s="50" t="s">
        <v>54</v>
      </c>
      <c r="S10" s="50" t="s">
        <v>55</v>
      </c>
      <c r="T10" s="50" t="s">
        <v>56</v>
      </c>
      <c r="U10" s="50" t="s">
        <v>57</v>
      </c>
      <c r="V10" s="50" t="s">
        <v>58</v>
      </c>
      <c r="W10" s="50" t="s">
        <v>59</v>
      </c>
      <c r="X10" s="50" t="s">
        <v>60</v>
      </c>
      <c r="Y10" s="50" t="s">
        <v>61</v>
      </c>
      <c r="Z10" s="50" t="s">
        <v>62</v>
      </c>
      <c r="AA10" s="50" t="s">
        <v>63</v>
      </c>
      <c r="AB10" s="50" t="s">
        <v>64</v>
      </c>
      <c r="AC10" s="48" t="s">
        <v>10</v>
      </c>
    </row>
    <row r="11" spans="1:29">
      <c r="A11" s="52"/>
      <c r="B11" s="52"/>
      <c r="C11" s="52"/>
      <c r="D11" s="52"/>
      <c r="E11" s="52"/>
      <c r="F11" s="53"/>
      <c r="G11" s="52"/>
      <c r="H11" s="52"/>
      <c r="I11" s="54"/>
      <c r="J11" s="52"/>
      <c r="K11" s="52"/>
      <c r="L11" s="55"/>
    </row>
  </sheetData>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sheetPr codeName="Sheet7"/>
  <dimension ref="A1:S51"/>
  <sheetViews>
    <sheetView topLeftCell="A10" workbookViewId="0">
      <selection activeCell="K25" sqref="K25"/>
    </sheetView>
  </sheetViews>
  <sheetFormatPr defaultRowHeight="12.75"/>
  <cols>
    <col min="1" max="1" width="44.7109375" customWidth="1"/>
    <col min="2" max="2" width="43.42578125" customWidth="1"/>
    <col min="3" max="3" width="17.28515625" bestFit="1" customWidth="1"/>
    <col min="4" max="4" width="12" bestFit="1" customWidth="1"/>
    <col min="5" max="5" width="12.5703125" customWidth="1"/>
    <col min="6" max="6" width="13.7109375" customWidth="1"/>
    <col min="7" max="7" width="17.28515625" bestFit="1" customWidth="1"/>
    <col min="8" max="8" width="15.5703125" bestFit="1" customWidth="1"/>
    <col min="9" max="9" width="15.28515625" bestFit="1" customWidth="1"/>
    <col min="10" max="10" width="14.28515625" bestFit="1" customWidth="1"/>
    <col min="11" max="11" width="14.28515625" customWidth="1"/>
    <col min="12" max="12" width="12.5703125" customWidth="1"/>
    <col min="13" max="13" width="10.28515625" bestFit="1" customWidth="1"/>
    <col min="14" max="15" width="10.85546875" bestFit="1" customWidth="1"/>
    <col min="16" max="16" width="13.42578125" customWidth="1"/>
  </cols>
  <sheetData>
    <row r="1" spans="1:19">
      <c r="A1" s="16" t="s">
        <v>14</v>
      </c>
      <c r="B1" s="17"/>
      <c r="C1" s="17"/>
      <c r="D1" s="17"/>
      <c r="E1" s="17"/>
      <c r="F1" s="17"/>
      <c r="G1" s="17"/>
      <c r="H1" s="18"/>
      <c r="I1" s="19"/>
      <c r="J1" s="19"/>
      <c r="K1" s="19"/>
      <c r="L1" s="19"/>
      <c r="M1" s="19"/>
      <c r="N1" s="20"/>
      <c r="O1" s="21" t="s">
        <v>906</v>
      </c>
      <c r="P1" s="20"/>
    </row>
    <row r="2" spans="1:19">
      <c r="A2" s="24" t="s">
        <v>15</v>
      </c>
      <c r="B2" s="18"/>
      <c r="C2" s="18"/>
      <c r="D2" s="18"/>
      <c r="E2" s="18"/>
      <c r="F2" s="18"/>
      <c r="G2" s="18"/>
      <c r="H2" s="18"/>
      <c r="I2" s="19"/>
      <c r="J2" s="19"/>
      <c r="K2" s="19"/>
      <c r="L2" s="19"/>
      <c r="M2" s="19"/>
      <c r="N2" s="20"/>
      <c r="O2" s="20"/>
      <c r="P2" s="20"/>
    </row>
    <row r="3" spans="1:19">
      <c r="A3" s="24" t="s">
        <v>16</v>
      </c>
      <c r="B3" s="59"/>
      <c r="C3" s="24">
        <v>2006</v>
      </c>
      <c r="D3" s="59"/>
      <c r="E3" s="59"/>
      <c r="F3" s="59"/>
      <c r="G3" s="59"/>
      <c r="H3" s="59"/>
      <c r="I3" s="59"/>
      <c r="J3" s="60"/>
      <c r="K3" s="61"/>
      <c r="L3" s="59"/>
      <c r="M3" s="59"/>
      <c r="N3" s="59"/>
      <c r="O3" s="59"/>
      <c r="P3" s="59"/>
    </row>
    <row r="4" spans="1:19">
      <c r="A4" s="126" t="s">
        <v>1081</v>
      </c>
      <c r="B4" s="59"/>
      <c r="C4" s="59"/>
      <c r="D4" s="59"/>
      <c r="E4" s="59"/>
      <c r="F4" s="59"/>
      <c r="G4" s="59"/>
      <c r="H4" s="59"/>
      <c r="I4" s="59"/>
      <c r="J4" s="59"/>
      <c r="K4" s="59"/>
      <c r="L4" s="59"/>
      <c r="M4" s="59"/>
      <c r="N4" s="59"/>
      <c r="O4" s="59"/>
      <c r="P4" s="59"/>
    </row>
    <row r="5" spans="1:19">
      <c r="A5" s="28">
        <v>1</v>
      </c>
      <c r="B5" s="28">
        <v>2</v>
      </c>
      <c r="C5" s="28">
        <v>3</v>
      </c>
      <c r="D5" s="28">
        <v>4</v>
      </c>
      <c r="E5" s="28">
        <v>5</v>
      </c>
      <c r="F5" s="28">
        <v>6</v>
      </c>
      <c r="G5" s="28">
        <v>7</v>
      </c>
      <c r="H5" s="28">
        <v>8</v>
      </c>
      <c r="I5" s="28">
        <v>9</v>
      </c>
      <c r="J5" s="28">
        <v>10</v>
      </c>
      <c r="K5" s="28">
        <v>11</v>
      </c>
      <c r="L5" s="28">
        <v>12</v>
      </c>
      <c r="M5" s="28">
        <v>13</v>
      </c>
      <c r="N5" s="28">
        <v>14</v>
      </c>
      <c r="O5" s="28">
        <v>15</v>
      </c>
      <c r="P5" s="28">
        <v>16</v>
      </c>
    </row>
    <row r="6" spans="1:19">
      <c r="A6" s="29" t="s">
        <v>17</v>
      </c>
      <c r="B6" s="30"/>
      <c r="C6" s="30"/>
      <c r="D6" s="30"/>
      <c r="E6" s="30"/>
      <c r="F6" s="30"/>
      <c r="G6" s="31"/>
      <c r="H6" s="32"/>
      <c r="I6" s="508" t="s">
        <v>18</v>
      </c>
      <c r="J6" s="509"/>
      <c r="K6" s="509"/>
      <c r="L6" s="509"/>
      <c r="M6" s="509"/>
      <c r="N6" s="510"/>
      <c r="O6" s="511" t="s">
        <v>19</v>
      </c>
      <c r="P6" s="512"/>
    </row>
    <row r="7" spans="1:19" ht="25.5">
      <c r="A7" s="38" t="s">
        <v>22</v>
      </c>
      <c r="B7" s="38" t="s">
        <v>23</v>
      </c>
      <c r="C7" s="38" t="s">
        <v>24</v>
      </c>
      <c r="D7" s="38" t="s">
        <v>25</v>
      </c>
      <c r="E7" s="38" t="s">
        <v>26</v>
      </c>
      <c r="F7" s="39" t="s">
        <v>27</v>
      </c>
      <c r="G7" s="38" t="s">
        <v>28</v>
      </c>
      <c r="H7" s="40" t="s">
        <v>29</v>
      </c>
      <c r="I7" s="40" t="s">
        <v>30</v>
      </c>
      <c r="J7" s="40" t="s">
        <v>31</v>
      </c>
      <c r="K7" s="40" t="s">
        <v>32</v>
      </c>
      <c r="L7" s="40" t="s">
        <v>33</v>
      </c>
      <c r="M7" s="40" t="s">
        <v>34</v>
      </c>
      <c r="N7" s="40" t="s">
        <v>35</v>
      </c>
      <c r="O7" s="41" t="s">
        <v>36</v>
      </c>
      <c r="P7" s="40" t="s">
        <v>28</v>
      </c>
    </row>
    <row r="8" spans="1:19" s="25" customFormat="1">
      <c r="A8" s="131" t="s">
        <v>382</v>
      </c>
      <c r="B8" s="131" t="s">
        <v>382</v>
      </c>
      <c r="C8" s="132">
        <v>1682.6882270113667</v>
      </c>
      <c r="D8" s="66">
        <v>10</v>
      </c>
      <c r="E8" s="337">
        <v>709.58811839874829</v>
      </c>
      <c r="F8" s="66"/>
      <c r="G8" s="134" t="s">
        <v>377</v>
      </c>
      <c r="P8" s="135"/>
      <c r="R8" s="98"/>
      <c r="S8" s="68"/>
    </row>
    <row r="9" spans="1:19" s="25" customFormat="1">
      <c r="A9" s="131" t="s">
        <v>383</v>
      </c>
      <c r="B9" s="131" t="s">
        <v>383</v>
      </c>
      <c r="C9" s="132">
        <v>1660.9141405725434</v>
      </c>
      <c r="D9" s="66">
        <v>10</v>
      </c>
      <c r="E9" s="337">
        <v>901.30399008997256</v>
      </c>
      <c r="F9" s="66"/>
      <c r="G9" s="134" t="s">
        <v>377</v>
      </c>
      <c r="P9" s="135"/>
      <c r="R9" s="98"/>
      <c r="S9" s="68"/>
    </row>
    <row r="10" spans="1:19" s="25" customFormat="1">
      <c r="A10" s="131" t="s">
        <v>384</v>
      </c>
      <c r="B10" s="131" t="s">
        <v>384</v>
      </c>
      <c r="C10" s="132">
        <v>20865.638657315132</v>
      </c>
      <c r="D10" s="66">
        <v>9</v>
      </c>
      <c r="E10" s="337">
        <v>315.1636806189415</v>
      </c>
      <c r="F10" s="66"/>
      <c r="G10" s="134" t="s">
        <v>377</v>
      </c>
      <c r="H10" s="133"/>
      <c r="P10" s="135"/>
      <c r="R10" s="98"/>
      <c r="S10" s="68"/>
    </row>
    <row r="11" spans="1:19" s="25" customFormat="1">
      <c r="A11" s="25" t="s">
        <v>384</v>
      </c>
      <c r="B11" s="136" t="s">
        <v>385</v>
      </c>
      <c r="C11" s="137">
        <v>603.92108692928571</v>
      </c>
      <c r="D11" s="66">
        <v>9</v>
      </c>
      <c r="E11" s="337">
        <v>0</v>
      </c>
      <c r="G11" s="136" t="s">
        <v>71</v>
      </c>
      <c r="H11" s="133">
        <v>1502.6885190469525</v>
      </c>
      <c r="P11" s="135"/>
      <c r="R11" s="98"/>
      <c r="S11" s="68"/>
    </row>
    <row r="12" spans="1:19" s="25" customFormat="1">
      <c r="A12" s="131" t="s">
        <v>386</v>
      </c>
      <c r="B12" s="131" t="s">
        <v>386</v>
      </c>
      <c r="C12" s="132">
        <v>27960.416821027226</v>
      </c>
      <c r="D12" s="66">
        <v>9</v>
      </c>
      <c r="E12" s="337">
        <v>120.29617212152829</v>
      </c>
      <c r="F12" s="66"/>
      <c r="G12" s="134" t="s">
        <v>377</v>
      </c>
      <c r="H12" s="133"/>
      <c r="P12" s="135"/>
      <c r="R12" s="98"/>
      <c r="S12" s="68"/>
    </row>
    <row r="13" spans="1:19" s="25" customFormat="1">
      <c r="A13" s="25" t="s">
        <v>386</v>
      </c>
      <c r="B13" s="136" t="s">
        <v>385</v>
      </c>
      <c r="C13" s="137">
        <v>603.92108692928571</v>
      </c>
      <c r="D13" s="66">
        <v>9</v>
      </c>
      <c r="E13" s="337">
        <v>0</v>
      </c>
      <c r="G13" s="136" t="s">
        <v>71</v>
      </c>
      <c r="H13" s="133">
        <v>1502.6885190469525</v>
      </c>
      <c r="P13" s="135"/>
      <c r="R13" s="98"/>
      <c r="S13" s="68"/>
    </row>
    <row r="14" spans="1:19" s="25" customFormat="1">
      <c r="A14" s="131" t="s">
        <v>387</v>
      </c>
      <c r="B14" s="131" t="s">
        <v>387</v>
      </c>
      <c r="C14" s="132">
        <v>35055.194984739312</v>
      </c>
      <c r="D14" s="66">
        <v>9</v>
      </c>
      <c r="E14" s="337">
        <v>-235.66427608988539</v>
      </c>
      <c r="F14" s="66"/>
      <c r="G14" s="134" t="s">
        <v>377</v>
      </c>
      <c r="H14" s="133"/>
      <c r="P14" s="135"/>
      <c r="R14" s="98"/>
      <c r="S14" s="68"/>
    </row>
    <row r="15" spans="1:19" s="25" customFormat="1">
      <c r="A15" s="25" t="s">
        <v>387</v>
      </c>
      <c r="B15" s="136" t="s">
        <v>385</v>
      </c>
      <c r="C15" s="137">
        <v>603.92108692928571</v>
      </c>
      <c r="D15" s="66">
        <v>9</v>
      </c>
      <c r="E15" s="337">
        <v>0</v>
      </c>
      <c r="G15" s="136" t="s">
        <v>71</v>
      </c>
      <c r="H15" s="133">
        <v>1502.6885190469525</v>
      </c>
      <c r="P15" s="135"/>
      <c r="R15" s="98"/>
      <c r="S15" s="68"/>
    </row>
    <row r="16" spans="1:19" s="25" customFormat="1">
      <c r="A16" s="131" t="s">
        <v>388</v>
      </c>
      <c r="B16" s="131" t="s">
        <v>388</v>
      </c>
      <c r="C16" s="132">
        <v>42149.973148451405</v>
      </c>
      <c r="D16" s="66">
        <v>9</v>
      </c>
      <c r="E16" s="337">
        <v>52.174280871039407</v>
      </c>
      <c r="F16" s="66"/>
      <c r="G16" s="134" t="s">
        <v>377</v>
      </c>
      <c r="H16" s="133"/>
      <c r="P16" s="135"/>
      <c r="R16" s="98"/>
      <c r="S16" s="68"/>
    </row>
    <row r="17" spans="1:19" s="25" customFormat="1">
      <c r="A17" s="25" t="s">
        <v>388</v>
      </c>
      <c r="B17" s="136" t="s">
        <v>385</v>
      </c>
      <c r="C17" s="132">
        <v>603.92108692928571</v>
      </c>
      <c r="D17" s="66">
        <v>9</v>
      </c>
      <c r="E17" s="337">
        <v>0</v>
      </c>
      <c r="F17" s="66"/>
      <c r="G17" s="136" t="s">
        <v>71</v>
      </c>
      <c r="H17" s="133">
        <v>1502.6885190469525</v>
      </c>
      <c r="P17" s="135"/>
      <c r="R17" s="98"/>
      <c r="S17" s="68"/>
    </row>
    <row r="18" spans="1:19" s="25" customFormat="1">
      <c r="A18" s="131" t="s">
        <v>389</v>
      </c>
      <c r="B18" s="131" t="s">
        <v>389</v>
      </c>
      <c r="C18" s="138">
        <v>70529.085803299778</v>
      </c>
      <c r="D18" s="66">
        <v>9</v>
      </c>
      <c r="E18" s="337">
        <v>3572.6256791411297</v>
      </c>
      <c r="G18" s="134" t="s">
        <v>377</v>
      </c>
    </row>
    <row r="19" spans="1:19" s="25" customFormat="1">
      <c r="A19" s="25" t="s">
        <v>389</v>
      </c>
      <c r="B19" s="136" t="s">
        <v>385</v>
      </c>
      <c r="C19" s="138">
        <v>603.92108692928571</v>
      </c>
      <c r="D19" s="66">
        <v>9</v>
      </c>
      <c r="E19" s="337">
        <v>0</v>
      </c>
      <c r="G19" s="136" t="s">
        <v>71</v>
      </c>
      <c r="H19" s="133">
        <v>1502.6885190469525</v>
      </c>
    </row>
    <row r="20" spans="1:19" s="25" customFormat="1">
      <c r="A20" s="131" t="s">
        <v>391</v>
      </c>
      <c r="B20" s="131" t="s">
        <v>391</v>
      </c>
      <c r="C20" s="132">
        <v>12944.99479962063</v>
      </c>
      <c r="D20" s="66">
        <v>10</v>
      </c>
      <c r="E20" s="337">
        <v>1424.7993654105278</v>
      </c>
      <c r="F20" s="66"/>
      <c r="G20" s="134" t="s">
        <v>377</v>
      </c>
      <c r="P20" s="135"/>
      <c r="R20" s="98"/>
      <c r="S20" s="68"/>
    </row>
    <row r="21" spans="1:19" s="25" customFormat="1">
      <c r="A21" s="131" t="s">
        <v>391</v>
      </c>
      <c r="B21" s="136" t="s">
        <v>390</v>
      </c>
      <c r="C21" s="137">
        <v>45.487662972622466</v>
      </c>
      <c r="D21" s="66">
        <v>10</v>
      </c>
      <c r="E21" s="337">
        <v>0</v>
      </c>
      <c r="G21" s="136" t="s">
        <v>71</v>
      </c>
      <c r="H21" s="133">
        <v>113.18331216879768</v>
      </c>
    </row>
    <row r="22" spans="1:19" s="25" customFormat="1">
      <c r="A22" s="131" t="s">
        <v>392</v>
      </c>
      <c r="B22" s="131" t="s">
        <v>392</v>
      </c>
      <c r="C22" s="138">
        <v>17664.661570884746</v>
      </c>
      <c r="D22" s="66">
        <v>10</v>
      </c>
      <c r="E22" s="337">
        <v>389.27753851312355</v>
      </c>
      <c r="G22" s="136" t="s">
        <v>377</v>
      </c>
    </row>
    <row r="23" spans="1:19" s="25" customFormat="1">
      <c r="A23" s="131" t="s">
        <v>392</v>
      </c>
      <c r="B23" s="136" t="s">
        <v>390</v>
      </c>
      <c r="C23" s="138">
        <v>211.95550424700511</v>
      </c>
      <c r="D23" s="66">
        <v>10</v>
      </c>
      <c r="E23" s="337">
        <v>0</v>
      </c>
      <c r="G23" s="139" t="s">
        <v>71</v>
      </c>
      <c r="H23" s="133">
        <v>527.3919220145998</v>
      </c>
    </row>
    <row r="24" spans="1:19">
      <c r="A24" t="s">
        <v>393</v>
      </c>
      <c r="B24" t="s">
        <v>393</v>
      </c>
      <c r="C24" s="140">
        <v>2448.9442495802118</v>
      </c>
      <c r="D24" s="140">
        <v>8</v>
      </c>
      <c r="E24" s="338">
        <v>687.85842321281109</v>
      </c>
      <c r="G24" t="s">
        <v>377</v>
      </c>
    </row>
    <row r="25" spans="1:19">
      <c r="A25" t="s">
        <v>394</v>
      </c>
      <c r="B25" t="s">
        <v>394</v>
      </c>
      <c r="C25" s="168">
        <v>253.38391354828977</v>
      </c>
      <c r="D25">
        <v>20</v>
      </c>
      <c r="E25" s="338">
        <v>289.09497606318592</v>
      </c>
      <c r="G25" t="s">
        <v>377</v>
      </c>
    </row>
    <row r="26" spans="1:19">
      <c r="A26" t="s">
        <v>395</v>
      </c>
      <c r="B26" t="s">
        <v>395</v>
      </c>
      <c r="C26" s="168">
        <v>819.90639708176764</v>
      </c>
      <c r="D26">
        <v>20</v>
      </c>
      <c r="E26" s="338">
        <v>745.24897379257163</v>
      </c>
      <c r="G26" t="s">
        <v>377</v>
      </c>
    </row>
    <row r="29" spans="1:19">
      <c r="A29" s="334" t="s">
        <v>949</v>
      </c>
      <c r="B29" s="335"/>
      <c r="C29" s="335"/>
      <c r="D29" s="335"/>
      <c r="E29" s="335"/>
      <c r="F29" s="335"/>
      <c r="G29" s="335"/>
      <c r="H29" s="335"/>
    </row>
    <row r="30" spans="1:19">
      <c r="A30" t="str">
        <f>A10</f>
        <v>Efficient Electric Steamer (3-Pan)</v>
      </c>
      <c r="B30" t="str">
        <f t="shared" ref="B30:G30" si="0">B10</f>
        <v>Efficient Electric Steamer (3-Pan)</v>
      </c>
      <c r="C30" s="168">
        <f t="shared" si="0"/>
        <v>20865.638657315132</v>
      </c>
      <c r="D30">
        <f t="shared" si="0"/>
        <v>9</v>
      </c>
      <c r="E30" s="168">
        <f t="shared" si="0"/>
        <v>315.1636806189415</v>
      </c>
      <c r="F30">
        <f t="shared" si="0"/>
        <v>0</v>
      </c>
      <c r="G30" t="str">
        <f t="shared" si="0"/>
        <v>ExRest</v>
      </c>
      <c r="H30" s="441">
        <f>H11</f>
        <v>1502.6885190469525</v>
      </c>
    </row>
    <row r="31" spans="1:19">
      <c r="A31" t="str">
        <f>A12</f>
        <v>Efficient Electric Steamer (4-Pan)</v>
      </c>
      <c r="B31" t="str">
        <f t="shared" ref="B31:G31" si="1">B12</f>
        <v>Efficient Electric Steamer (4-Pan)</v>
      </c>
      <c r="C31" s="168">
        <f t="shared" si="1"/>
        <v>27960.416821027226</v>
      </c>
      <c r="D31">
        <f t="shared" si="1"/>
        <v>9</v>
      </c>
      <c r="E31" s="168">
        <f t="shared" si="1"/>
        <v>120.29617212152829</v>
      </c>
      <c r="F31">
        <f t="shared" si="1"/>
        <v>0</v>
      </c>
      <c r="G31" t="str">
        <f t="shared" si="1"/>
        <v>ExRest</v>
      </c>
      <c r="H31" s="441">
        <f>H30</f>
        <v>1502.6885190469525</v>
      </c>
    </row>
    <row r="32" spans="1:19">
      <c r="A32" t="str">
        <f>A14</f>
        <v>Efficient Electric Steamer (5-Pan)</v>
      </c>
      <c r="B32" t="str">
        <f t="shared" ref="B32:G32" si="2">B14</f>
        <v>Efficient Electric Steamer (5-Pan)</v>
      </c>
      <c r="C32" s="168">
        <f t="shared" si="2"/>
        <v>35055.194984739312</v>
      </c>
      <c r="D32">
        <f t="shared" si="2"/>
        <v>9</v>
      </c>
      <c r="E32" s="168">
        <f t="shared" si="2"/>
        <v>-235.66427608988539</v>
      </c>
      <c r="F32">
        <f t="shared" si="2"/>
        <v>0</v>
      </c>
      <c r="G32" t="str">
        <f t="shared" si="2"/>
        <v>ExRest</v>
      </c>
      <c r="H32" s="441">
        <f t="shared" ref="H32:H34" si="3">H31</f>
        <v>1502.6885190469525</v>
      </c>
    </row>
    <row r="33" spans="1:19">
      <c r="A33" t="str">
        <f>A16</f>
        <v>Efficient Electric Steamer (6-Pan)</v>
      </c>
      <c r="B33" t="str">
        <f t="shared" ref="B33:G33" si="4">B16</f>
        <v>Efficient Electric Steamer (6-Pan)</v>
      </c>
      <c r="C33" s="168">
        <f t="shared" si="4"/>
        <v>42149.973148451405</v>
      </c>
      <c r="D33">
        <f t="shared" si="4"/>
        <v>9</v>
      </c>
      <c r="E33" s="168">
        <f t="shared" si="4"/>
        <v>52.174280871039407</v>
      </c>
      <c r="F33">
        <f t="shared" si="4"/>
        <v>0</v>
      </c>
      <c r="G33" t="str">
        <f t="shared" si="4"/>
        <v>ExRest</v>
      </c>
      <c r="H33" s="441">
        <f t="shared" si="3"/>
        <v>1502.6885190469525</v>
      </c>
    </row>
    <row r="34" spans="1:19">
      <c r="A34" t="str">
        <f>A18</f>
        <v>Efficient Electric Steamer (10-Pan and Larger)</v>
      </c>
      <c r="B34" t="str">
        <f t="shared" ref="B34:G34" si="5">B18</f>
        <v>Efficient Electric Steamer (10-Pan and Larger)</v>
      </c>
      <c r="C34" s="168">
        <f t="shared" si="5"/>
        <v>70529.085803299778</v>
      </c>
      <c r="D34">
        <f t="shared" si="5"/>
        <v>9</v>
      </c>
      <c r="E34" s="168">
        <f t="shared" si="5"/>
        <v>3572.6256791411297</v>
      </c>
      <c r="F34">
        <f t="shared" si="5"/>
        <v>0</v>
      </c>
      <c r="G34" t="str">
        <f t="shared" si="5"/>
        <v>ExRest</v>
      </c>
      <c r="H34" s="441">
        <f t="shared" si="3"/>
        <v>1502.6885190469525</v>
      </c>
    </row>
    <row r="36" spans="1:19">
      <c r="A36" t="str">
        <f>A20</f>
        <v>Efficient Combination Oven (≥ 6 pan and ≤ 15)</v>
      </c>
      <c r="B36" t="str">
        <f>B20</f>
        <v>Efficient Combination Oven (≥ 6 pan and ≤ 15)</v>
      </c>
      <c r="C36" s="168">
        <f t="shared" ref="C36:H36" si="6">C20</f>
        <v>12944.99479962063</v>
      </c>
      <c r="D36">
        <f t="shared" si="6"/>
        <v>10</v>
      </c>
      <c r="E36" s="168">
        <f t="shared" si="6"/>
        <v>1424.7993654105278</v>
      </c>
      <c r="F36">
        <f t="shared" si="6"/>
        <v>0</v>
      </c>
      <c r="G36" t="str">
        <f t="shared" si="6"/>
        <v>ExRest</v>
      </c>
      <c r="H36">
        <f t="shared" si="6"/>
        <v>0</v>
      </c>
    </row>
    <row r="37" spans="1:19">
      <c r="A37" t="str">
        <f>A22</f>
        <v>Efficient Combination Oven (≥ 16 pan and ≤ 20)</v>
      </c>
      <c r="B37" t="str">
        <f>B22</f>
        <v>Efficient Combination Oven (≥ 16 pan and ≤ 20)</v>
      </c>
      <c r="C37" s="168">
        <f t="shared" ref="C37:H37" si="7">C22</f>
        <v>17664.661570884746</v>
      </c>
      <c r="D37">
        <f t="shared" si="7"/>
        <v>10</v>
      </c>
      <c r="E37" s="168">
        <f t="shared" si="7"/>
        <v>389.27753851312355</v>
      </c>
      <c r="F37">
        <f t="shared" si="7"/>
        <v>0</v>
      </c>
      <c r="G37" t="str">
        <f t="shared" si="7"/>
        <v>ExRest</v>
      </c>
      <c r="H37">
        <f t="shared" si="7"/>
        <v>0</v>
      </c>
    </row>
    <row r="38" spans="1:19">
      <c r="A38" t="str">
        <f>A21</f>
        <v>Efficient Combination Oven (≥ 6 pan and ≤ 15)</v>
      </c>
      <c r="B38" t="str">
        <f t="shared" ref="B38:H38" si="8">B21</f>
        <v>Wastewater Treatment Savings</v>
      </c>
      <c r="C38" s="168">
        <f t="shared" si="8"/>
        <v>45.487662972622466</v>
      </c>
      <c r="D38">
        <f t="shared" si="8"/>
        <v>10</v>
      </c>
      <c r="E38" s="168">
        <f t="shared" si="8"/>
        <v>0</v>
      </c>
      <c r="F38">
        <f t="shared" si="8"/>
        <v>0</v>
      </c>
      <c r="G38" t="str">
        <f t="shared" si="8"/>
        <v>FLAT</v>
      </c>
      <c r="H38" s="350">
        <f t="shared" si="8"/>
        <v>113.18331216879768</v>
      </c>
    </row>
    <row r="39" spans="1:19">
      <c r="A39" t="str">
        <f>A23</f>
        <v>Efficient Combination Oven (≥ 16 pan and ≤ 20)</v>
      </c>
      <c r="B39" t="str">
        <f t="shared" ref="B39:H39" si="9">B23</f>
        <v>Wastewater Treatment Savings</v>
      </c>
      <c r="C39" s="168">
        <f t="shared" si="9"/>
        <v>211.95550424700511</v>
      </c>
      <c r="D39">
        <f t="shared" si="9"/>
        <v>10</v>
      </c>
      <c r="E39" s="168">
        <f t="shared" si="9"/>
        <v>0</v>
      </c>
      <c r="F39">
        <f t="shared" si="9"/>
        <v>0</v>
      </c>
      <c r="G39" t="str">
        <f t="shared" si="9"/>
        <v>FLAT</v>
      </c>
      <c r="H39" s="350">
        <f t="shared" si="9"/>
        <v>527.3919220145998</v>
      </c>
    </row>
    <row r="43" spans="1:19">
      <c r="A43" s="351" t="s">
        <v>423</v>
      </c>
      <c r="B43" s="173"/>
      <c r="C43" s="173"/>
      <c r="D43" s="173"/>
      <c r="E43" s="173"/>
      <c r="F43" s="173"/>
      <c r="G43" s="173"/>
      <c r="H43" s="173"/>
    </row>
    <row r="45" spans="1:19">
      <c r="A45" s="25" t="s">
        <v>396</v>
      </c>
      <c r="B45" s="68" t="s">
        <v>396</v>
      </c>
      <c r="C45" s="140">
        <f>C24</f>
        <v>2448.9442495802118</v>
      </c>
      <c r="D45" s="140">
        <f>D24</f>
        <v>8</v>
      </c>
      <c r="E45" s="140">
        <f>E24</f>
        <v>687.85842321281109</v>
      </c>
      <c r="F45" s="140">
        <f>F24</f>
        <v>0</v>
      </c>
      <c r="G45" s="140" t="str">
        <f>G24</f>
        <v>ExRest</v>
      </c>
      <c r="H45" s="140"/>
      <c r="I45" s="140"/>
      <c r="J45" s="140"/>
      <c r="K45" s="140"/>
      <c r="L45" s="140"/>
      <c r="M45" s="140"/>
      <c r="N45" s="140"/>
      <c r="O45" s="140"/>
      <c r="P45" s="140"/>
      <c r="Q45" s="140"/>
      <c r="R45" s="140"/>
      <c r="S45" s="140"/>
    </row>
    <row r="46" spans="1:19">
      <c r="A46" s="25" t="s">
        <v>397</v>
      </c>
      <c r="B46" s="68" t="s">
        <v>397</v>
      </c>
      <c r="C46" s="168">
        <f>C25*'Measure Weightings'!$C$23+'Measure Weightings'!$C$24*'RTF Input Data'!C26</f>
        <v>642.62725257469287</v>
      </c>
      <c r="D46">
        <f>D26</f>
        <v>20</v>
      </c>
      <c r="E46" s="168">
        <f>E25*'Measure Weightings'!$C$23+'Measure Weightings'!$C$24*'RTF Input Data'!E26</f>
        <v>602.50690647589306</v>
      </c>
      <c r="G46" t="str">
        <f>G25</f>
        <v>ExRest</v>
      </c>
      <c r="H46" s="168"/>
    </row>
    <row r="47" spans="1:19">
      <c r="A47" s="25" t="s">
        <v>398</v>
      </c>
      <c r="B47" s="68" t="s">
        <v>398</v>
      </c>
      <c r="C47" s="169">
        <f>SUMPRODUCT(C30:C34,'Measure Weightings'!$C$9:$C$13)</f>
        <v>41037.0667698299</v>
      </c>
      <c r="D47" s="169">
        <f>D15</f>
        <v>9</v>
      </c>
      <c r="E47" s="169">
        <f>SUMPRODUCT(E30:E34,'Measure Weightings'!$C$9:$C$13)</f>
        <v>736.61200824642435</v>
      </c>
      <c r="F47" s="169"/>
      <c r="G47" t="str">
        <f>G18</f>
        <v>ExRest</v>
      </c>
      <c r="H47" s="169"/>
      <c r="I47" s="169"/>
      <c r="J47" s="169"/>
    </row>
    <row r="48" spans="1:19">
      <c r="A48" s="25" t="s">
        <v>399</v>
      </c>
      <c r="B48" s="68" t="s">
        <v>422</v>
      </c>
      <c r="C48" s="170">
        <f t="shared" ref="C48:H48" si="10">C15</f>
        <v>603.92108692928571</v>
      </c>
      <c r="D48" s="170">
        <f t="shared" si="10"/>
        <v>9</v>
      </c>
      <c r="E48" s="170">
        <f t="shared" si="10"/>
        <v>0</v>
      </c>
      <c r="F48" s="170">
        <f t="shared" si="10"/>
        <v>0</v>
      </c>
      <c r="G48" s="170" t="str">
        <f t="shared" si="10"/>
        <v>FLAT</v>
      </c>
      <c r="H48" s="170">
        <f t="shared" si="10"/>
        <v>1502.6885190469525</v>
      </c>
      <c r="I48" s="170"/>
      <c r="J48" s="170"/>
      <c r="K48" s="170"/>
      <c r="L48" s="170"/>
      <c r="M48" s="170"/>
      <c r="N48" s="170"/>
      <c r="O48" s="170"/>
      <c r="P48" s="170"/>
      <c r="Q48" s="170"/>
      <c r="R48" s="170"/>
      <c r="S48" s="170"/>
    </row>
    <row r="49" spans="1:8">
      <c r="A49" s="25" t="s">
        <v>399</v>
      </c>
      <c r="B49" s="68" t="s">
        <v>399</v>
      </c>
      <c r="C49" s="168">
        <f>SUMPRODUCT(C36:C37,'Measure Weightings'!$C$16:$C$17)</f>
        <v>15157.338598650684</v>
      </c>
      <c r="D49" s="140">
        <f>D22</f>
        <v>10</v>
      </c>
      <c r="E49" s="168">
        <f>SUMPRODUCT(E36:E37,'Measure Weightings'!$C$16:$C$17)</f>
        <v>939.39850905236949</v>
      </c>
      <c r="F49" s="168">
        <f>SUMPRODUCT(F36:F37,'Measure Weightings'!$C$16:$C$17)</f>
        <v>0</v>
      </c>
      <c r="G49" t="str">
        <f>G47</f>
        <v>ExRest</v>
      </c>
      <c r="H49" s="168">
        <f>SUMPRODUCT(H36:H37,'Measure Weightings'!$C$16:$C$17)</f>
        <v>0</v>
      </c>
    </row>
    <row r="50" spans="1:8">
      <c r="A50" s="25" t="s">
        <v>400</v>
      </c>
      <c r="B50" s="68" t="s">
        <v>422</v>
      </c>
      <c r="C50" s="168">
        <f>SUMPRODUCT(C38:C39,'Measure Weightings'!$C$16:$C$17)</f>
        <v>123.51946356998933</v>
      </c>
      <c r="D50" s="168">
        <f>SUMPRODUCT(D38:D39,'Measure Weightings'!$C$16:$C$17)</f>
        <v>10</v>
      </c>
      <c r="E50" s="168">
        <f>SUMPRODUCT(E38:E39,'Measure Weightings'!$C$16:$C$17)</f>
        <v>0</v>
      </c>
      <c r="F50" s="168">
        <f>SUMPRODUCT(F38:F39,'Measure Weightings'!$C$16:$C$17)</f>
        <v>0</v>
      </c>
      <c r="G50" s="168" t="str">
        <f>G48</f>
        <v>FLAT</v>
      </c>
      <c r="H50" s="168">
        <f>SUMPRODUCT(H38:H39,'Measure Weightings'!$C$16:$C$17)</f>
        <v>307.34359803401742</v>
      </c>
    </row>
    <row r="51" spans="1:8">
      <c r="A51" s="25" t="s">
        <v>400</v>
      </c>
      <c r="B51" s="68" t="s">
        <v>400</v>
      </c>
      <c r="C51" s="168">
        <f>SUMPRODUCT(C8:C9,'Measure Weightings'!$C$5:$C$6)</f>
        <v>1668.5350708261317</v>
      </c>
      <c r="D51" s="168">
        <f>SUMPRODUCT(D8:D9,'Measure Weightings'!$C$5:$C$6)</f>
        <v>10</v>
      </c>
      <c r="E51" s="168">
        <f>SUMPRODUCT(E8:E9,'Measure Weightings'!$C$5:$C$6)</f>
        <v>834.20343499804414</v>
      </c>
      <c r="F51" s="168">
        <f>SUMPRODUCT(F8:F9,'Measure Weightings'!$C$5:$C$6)</f>
        <v>0</v>
      </c>
      <c r="G51" s="168" t="str">
        <f>G49</f>
        <v>ExRest</v>
      </c>
      <c r="H51" s="168">
        <f>SUMPRODUCT(H8:H9,'Measure Weightings'!$C$5:$C$6)</f>
        <v>0</v>
      </c>
    </row>
  </sheetData>
  <mergeCells count="2">
    <mergeCell ref="I6:N6"/>
    <mergeCell ref="O6:P6"/>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sheetPr codeName="Sheet8"/>
  <dimension ref="A2:D37"/>
  <sheetViews>
    <sheetView topLeftCell="A16" workbookViewId="0">
      <selection activeCell="D56" sqref="D56"/>
    </sheetView>
  </sheetViews>
  <sheetFormatPr defaultRowHeight="12.75"/>
  <cols>
    <col min="2" max="2" width="41.140625" customWidth="1"/>
    <col min="3" max="3" width="10.85546875" customWidth="1"/>
    <col min="4" max="4" width="34.85546875" customWidth="1"/>
  </cols>
  <sheetData>
    <row r="2" spans="1:4">
      <c r="A2" s="173" t="s">
        <v>407</v>
      </c>
      <c r="B2" s="173"/>
      <c r="C2" s="173"/>
      <c r="D2" s="173"/>
    </row>
    <row r="3" spans="1:4">
      <c r="A3" s="173"/>
      <c r="B3" s="173"/>
      <c r="C3" s="173"/>
      <c r="D3" s="173"/>
    </row>
    <row r="4" spans="1:4">
      <c r="A4" s="335"/>
      <c r="B4" s="334" t="s">
        <v>406</v>
      </c>
      <c r="C4" s="335" t="s">
        <v>412</v>
      </c>
      <c r="D4" s="335" t="s">
        <v>413</v>
      </c>
    </row>
    <row r="5" spans="1:4">
      <c r="B5" s="155" t="s">
        <v>382</v>
      </c>
      <c r="C5" s="158">
        <f>'Conv Cost'!E34</f>
        <v>0.35</v>
      </c>
      <c r="D5" t="s">
        <v>905</v>
      </c>
    </row>
    <row r="6" spans="1:4">
      <c r="B6" s="155" t="s">
        <v>383</v>
      </c>
      <c r="C6" s="158">
        <f>'Conv Cost'!E35</f>
        <v>0.65</v>
      </c>
      <c r="D6" t="s">
        <v>905</v>
      </c>
    </row>
    <row r="8" spans="1:4">
      <c r="A8" s="335"/>
      <c r="B8" s="334" t="s">
        <v>408</v>
      </c>
      <c r="C8" s="335"/>
      <c r="D8" s="335"/>
    </row>
    <row r="9" spans="1:4">
      <c r="B9" s="155" t="s">
        <v>384</v>
      </c>
      <c r="C9" s="158">
        <f>'Steamer Cost'!G4</f>
        <v>0.23529411764705882</v>
      </c>
      <c r="D9" t="s">
        <v>905</v>
      </c>
    </row>
    <row r="10" spans="1:4">
      <c r="B10" s="155" t="s">
        <v>386</v>
      </c>
      <c r="C10" s="158">
        <f>'Steamer Cost'!G5</f>
        <v>0</v>
      </c>
      <c r="D10" t="s">
        <v>905</v>
      </c>
    </row>
    <row r="11" spans="1:4">
      <c r="B11" s="155" t="s">
        <v>387</v>
      </c>
      <c r="C11" s="158">
        <f>'Steamer Cost'!G6</f>
        <v>0.23529411764705882</v>
      </c>
      <c r="D11" t="s">
        <v>905</v>
      </c>
    </row>
    <row r="12" spans="1:4">
      <c r="B12" s="156" t="s">
        <v>388</v>
      </c>
      <c r="C12" s="158">
        <f>'Steamer Cost'!G7</f>
        <v>0.33333333333333331</v>
      </c>
      <c r="D12" t="s">
        <v>905</v>
      </c>
    </row>
    <row r="13" spans="1:4">
      <c r="B13" s="155" t="s">
        <v>389</v>
      </c>
      <c r="C13" s="158">
        <f>'Steamer Cost'!G8</f>
        <v>0.19607843137254902</v>
      </c>
      <c r="D13" t="s">
        <v>905</v>
      </c>
    </row>
    <row r="15" spans="1:4">
      <c r="A15" s="335"/>
      <c r="B15" s="336" t="s">
        <v>409</v>
      </c>
      <c r="C15" s="335"/>
      <c r="D15" s="335"/>
    </row>
    <row r="16" spans="1:4">
      <c r="B16" s="155" t="s">
        <v>391</v>
      </c>
      <c r="C16" s="158">
        <f>'Combi Cost'!H4</f>
        <v>0.53125</v>
      </c>
      <c r="D16" t="s">
        <v>905</v>
      </c>
    </row>
    <row r="17" spans="1:4">
      <c r="B17" s="155" t="s">
        <v>392</v>
      </c>
      <c r="C17" s="158">
        <f>'Combi Cost'!H5</f>
        <v>0.46875</v>
      </c>
      <c r="D17" t="s">
        <v>905</v>
      </c>
    </row>
    <row r="18" spans="1:4">
      <c r="B18" s="155"/>
      <c r="C18" s="158"/>
    </row>
    <row r="19" spans="1:4">
      <c r="A19" s="335"/>
      <c r="B19" s="336" t="s">
        <v>410</v>
      </c>
      <c r="C19" s="335"/>
      <c r="D19" s="335"/>
    </row>
    <row r="20" spans="1:4">
      <c r="B20" s="157" t="s">
        <v>393</v>
      </c>
      <c r="C20" s="158">
        <v>1</v>
      </c>
      <c r="D20" t="s">
        <v>905</v>
      </c>
    </row>
    <row r="22" spans="1:4">
      <c r="A22" s="335"/>
      <c r="B22" s="334" t="s">
        <v>411</v>
      </c>
      <c r="C22" s="335"/>
      <c r="D22" s="335"/>
    </row>
    <row r="23" spans="1:4">
      <c r="B23" s="157" t="s">
        <v>394</v>
      </c>
      <c r="C23" s="158">
        <f>'HFHC Cost'!G5</f>
        <v>0.31292517006802723</v>
      </c>
      <c r="D23" t="s">
        <v>905</v>
      </c>
    </row>
    <row r="24" spans="1:4">
      <c r="B24" s="157" t="s">
        <v>395</v>
      </c>
      <c r="C24" s="158">
        <f>'HFHC Cost'!G4</f>
        <v>0.68707482993197277</v>
      </c>
      <c r="D24" t="s">
        <v>905</v>
      </c>
    </row>
    <row r="28" spans="1:4">
      <c r="B28" t="s">
        <v>1108</v>
      </c>
    </row>
    <row r="30" spans="1:4">
      <c r="B30" t="s">
        <v>1106</v>
      </c>
    </row>
    <row r="31" spans="1:4">
      <c r="B31" t="s">
        <v>406</v>
      </c>
      <c r="C31" s="158">
        <v>0.45</v>
      </c>
      <c r="D31" s="140"/>
    </row>
    <row r="32" spans="1:4">
      <c r="B32" t="s">
        <v>1109</v>
      </c>
      <c r="C32" s="158">
        <v>0.38</v>
      </c>
      <c r="D32" s="140"/>
    </row>
    <row r="33" spans="2:4">
      <c r="B33" t="s">
        <v>1107</v>
      </c>
      <c r="C33" s="158">
        <v>0.45</v>
      </c>
      <c r="D33" s="140"/>
    </row>
    <row r="34" spans="2:4">
      <c r="B34" t="s">
        <v>410</v>
      </c>
      <c r="C34" s="158">
        <v>0.15</v>
      </c>
      <c r="D34" s="140"/>
    </row>
    <row r="35" spans="2:4">
      <c r="B35" t="s">
        <v>411</v>
      </c>
      <c r="C35" s="158">
        <v>0.62</v>
      </c>
      <c r="D35" s="140"/>
    </row>
    <row r="37" spans="2:4">
      <c r="C37" s="442"/>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Sheet11">
    <tabColor rgb="FF92D050"/>
  </sheetPr>
  <dimension ref="A1:J81"/>
  <sheetViews>
    <sheetView showGridLines="0" topLeftCell="A14" zoomScaleNormal="100" workbookViewId="0">
      <selection activeCell="B15" sqref="B15:D15"/>
    </sheetView>
  </sheetViews>
  <sheetFormatPr defaultRowHeight="12.75"/>
  <cols>
    <col min="1" max="2" width="22.28515625" style="203" customWidth="1"/>
    <col min="3" max="3" width="36" style="203" customWidth="1"/>
    <col min="4" max="4" width="38.140625" style="203" customWidth="1"/>
    <col min="5" max="5" width="34.140625" style="203" customWidth="1"/>
    <col min="6" max="6" width="35.85546875" style="203" customWidth="1"/>
    <col min="7" max="7" width="41.28515625" style="203" customWidth="1"/>
    <col min="8" max="8" width="35.85546875" style="203" customWidth="1"/>
    <col min="9" max="9" width="41.28515625" style="203" customWidth="1"/>
    <col min="10" max="10" width="9.140625" style="203"/>
    <col min="11" max="16384" width="9.140625" style="222"/>
  </cols>
  <sheetData>
    <row r="1" spans="1:10" s="177" customFormat="1">
      <c r="A1" s="578" t="s">
        <v>424</v>
      </c>
      <c r="B1" s="578"/>
      <c r="C1" s="578"/>
      <c r="D1" s="174"/>
      <c r="E1" s="175"/>
      <c r="F1" s="175"/>
      <c r="G1" s="176"/>
      <c r="H1" s="176"/>
      <c r="I1" s="176"/>
      <c r="J1" s="176"/>
    </row>
    <row r="2" spans="1:10" s="177" customFormat="1">
      <c r="A2" s="178"/>
      <c r="B2" s="178"/>
      <c r="C2" s="178"/>
      <c r="D2" s="178"/>
      <c r="E2" s="178"/>
      <c r="F2" s="178"/>
      <c r="G2" s="178"/>
      <c r="H2" s="178"/>
      <c r="I2" s="178"/>
      <c r="J2" s="178"/>
    </row>
    <row r="3" spans="1:10" s="177" customFormat="1">
      <c r="A3" s="579" t="s">
        <v>425</v>
      </c>
      <c r="B3" s="580"/>
      <c r="C3" s="580"/>
      <c r="D3" s="581"/>
      <c r="G3" s="178"/>
      <c r="H3" s="178"/>
      <c r="I3" s="178"/>
      <c r="J3" s="178"/>
    </row>
    <row r="4" spans="1:10" s="177" customFormat="1">
      <c r="A4" s="179" t="s">
        <v>426</v>
      </c>
      <c r="B4" s="180" t="s">
        <v>427</v>
      </c>
      <c r="C4" s="181"/>
      <c r="D4" s="182"/>
      <c r="G4" s="178"/>
      <c r="H4" s="178"/>
      <c r="I4" s="178"/>
      <c r="J4" s="178"/>
    </row>
    <row r="5" spans="1:10" s="177" customFormat="1">
      <c r="A5" s="179" t="s">
        <v>428</v>
      </c>
      <c r="B5" s="183" t="s">
        <v>429</v>
      </c>
      <c r="C5" s="184"/>
      <c r="D5" s="185"/>
      <c r="G5" s="178"/>
      <c r="H5" s="178"/>
      <c r="I5" s="178"/>
      <c r="J5" s="178"/>
    </row>
    <row r="6" spans="1:10" s="177" customFormat="1">
      <c r="A6" s="186" t="s">
        <v>182</v>
      </c>
      <c r="B6" s="187" t="s">
        <v>430</v>
      </c>
      <c r="C6" s="181"/>
      <c r="D6" s="182"/>
      <c r="G6" s="178"/>
      <c r="H6" s="178"/>
      <c r="I6" s="178"/>
      <c r="J6" s="178"/>
    </row>
    <row r="7" spans="1:10" s="177" customFormat="1">
      <c r="A7" s="186" t="s">
        <v>431</v>
      </c>
      <c r="B7" s="575" t="s">
        <v>432</v>
      </c>
      <c r="C7" s="576"/>
      <c r="D7" s="577"/>
      <c r="G7" s="178"/>
      <c r="H7" s="178"/>
      <c r="I7" s="178"/>
      <c r="J7" s="178"/>
    </row>
    <row r="8" spans="1:10" s="177" customFormat="1" ht="16.5" customHeight="1">
      <c r="A8" s="186" t="s">
        <v>70</v>
      </c>
      <c r="B8" s="575" t="s">
        <v>433</v>
      </c>
      <c r="C8" s="576"/>
      <c r="D8" s="577"/>
      <c r="G8" s="178"/>
      <c r="H8" s="178"/>
      <c r="I8" s="178"/>
      <c r="J8" s="178"/>
    </row>
    <row r="9" spans="1:10" s="177" customFormat="1" ht="16.5" customHeight="1">
      <c r="A9" s="186" t="s">
        <v>434</v>
      </c>
      <c r="B9" s="575" t="s">
        <v>435</v>
      </c>
      <c r="C9" s="576"/>
      <c r="D9" s="577"/>
      <c r="G9" s="178"/>
      <c r="H9" s="178"/>
      <c r="I9" s="178"/>
      <c r="J9" s="178"/>
    </row>
    <row r="10" spans="1:10" s="177" customFormat="1" ht="16.5" customHeight="1">
      <c r="A10" s="186" t="s">
        <v>181</v>
      </c>
      <c r="B10" s="575" t="s">
        <v>436</v>
      </c>
      <c r="C10" s="576"/>
      <c r="D10" s="577"/>
      <c r="G10" s="178"/>
      <c r="H10" s="178"/>
      <c r="I10" s="178"/>
      <c r="J10" s="178"/>
    </row>
    <row r="11" spans="1:10" s="177" customFormat="1" ht="16.5" customHeight="1">
      <c r="A11" s="186" t="s">
        <v>437</v>
      </c>
      <c r="B11" s="575" t="s">
        <v>438</v>
      </c>
      <c r="C11" s="576"/>
      <c r="D11" s="577"/>
      <c r="G11" s="178"/>
      <c r="H11" s="178"/>
      <c r="I11" s="178"/>
      <c r="J11" s="178"/>
    </row>
    <row r="12" spans="1:10" s="177" customFormat="1" ht="17.25" customHeight="1">
      <c r="A12" s="186" t="s">
        <v>439</v>
      </c>
      <c r="B12" s="582">
        <v>43312</v>
      </c>
      <c r="C12" s="583"/>
      <c r="D12" s="584"/>
      <c r="G12" s="178"/>
      <c r="H12" s="178"/>
      <c r="I12" s="178"/>
      <c r="J12" s="178"/>
    </row>
    <row r="13" spans="1:10" s="177" customFormat="1" ht="17.25" customHeight="1">
      <c r="A13" s="186" t="s">
        <v>440</v>
      </c>
      <c r="B13" s="582" t="s">
        <v>441</v>
      </c>
      <c r="C13" s="583"/>
      <c r="D13" s="584"/>
      <c r="G13" s="178"/>
      <c r="H13" s="178"/>
      <c r="I13" s="178"/>
      <c r="J13" s="178"/>
    </row>
    <row r="14" spans="1:10" s="177" customFormat="1" ht="18" customHeight="1">
      <c r="A14" s="186" t="s">
        <v>442</v>
      </c>
      <c r="B14" s="575" t="str">
        <f ca="1">MID(CELL("filename"),SEARCH("[",CELL("filename"))+1, SEARCH("]",CELL("filename"))-SEARCH("[",CELL("filename"))-1)</f>
        <v>COM-Cooking-7P_V5.xlsm</v>
      </c>
      <c r="C14" s="576"/>
      <c r="D14" s="577"/>
      <c r="G14" s="178"/>
      <c r="H14" s="178"/>
      <c r="I14" s="178"/>
      <c r="J14" s="178"/>
    </row>
    <row r="15" spans="1:10" s="177" customFormat="1" ht="18.75" customHeight="1">
      <c r="A15" s="179" t="s">
        <v>443</v>
      </c>
      <c r="B15" s="575" t="s">
        <v>444</v>
      </c>
      <c r="C15" s="576"/>
      <c r="D15" s="577"/>
      <c r="G15" s="178"/>
      <c r="H15" s="178"/>
      <c r="I15" s="178"/>
      <c r="J15" s="178"/>
    </row>
    <row r="16" spans="1:10" s="177" customFormat="1" ht="25.5" customHeight="1">
      <c r="A16" s="186" t="s">
        <v>445</v>
      </c>
      <c r="B16" s="575" t="e">
        <f>COUNTIF([4]MeasureTable!A8:A296,"*")&amp;" measure applications defined by 2 average sizes"</f>
        <v>#VALUE!</v>
      </c>
      <c r="C16" s="576"/>
      <c r="D16" s="577"/>
      <c r="G16" s="178"/>
      <c r="H16" s="178"/>
      <c r="I16" s="178"/>
      <c r="J16" s="178"/>
    </row>
    <row r="17" spans="1:10" s="177" customFormat="1">
      <c r="A17" s="188"/>
      <c r="B17" s="188"/>
      <c r="C17" s="189"/>
      <c r="G17" s="178"/>
      <c r="H17" s="178"/>
      <c r="I17" s="178"/>
      <c r="J17" s="178"/>
    </row>
    <row r="18" spans="1:10" s="177" customFormat="1">
      <c r="A18" s="190" t="s">
        <v>446</v>
      </c>
      <c r="B18" s="191"/>
      <c r="C18" s="191"/>
      <c r="D18" s="191"/>
      <c r="E18" s="191"/>
      <c r="F18" s="191"/>
      <c r="G18" s="178"/>
      <c r="H18" s="178"/>
      <c r="I18" s="178"/>
      <c r="J18" s="178"/>
    </row>
    <row r="19" spans="1:10" s="177" customFormat="1">
      <c r="A19" s="190" t="s">
        <v>447</v>
      </c>
      <c r="B19" s="564" t="s">
        <v>448</v>
      </c>
      <c r="C19" s="565"/>
      <c r="D19" s="566"/>
      <c r="E19" s="567" t="s">
        <v>449</v>
      </c>
      <c r="F19" s="567"/>
      <c r="G19" s="178"/>
      <c r="H19" s="178"/>
      <c r="I19" s="178"/>
      <c r="J19" s="178"/>
    </row>
    <row r="20" spans="1:10" s="177" customFormat="1" ht="78.75" customHeight="1">
      <c r="A20" s="192" t="s">
        <v>450</v>
      </c>
      <c r="B20" s="568" t="s">
        <v>451</v>
      </c>
      <c r="C20" s="569"/>
      <c r="D20" s="570"/>
      <c r="E20" s="561" t="s">
        <v>452</v>
      </c>
      <c r="F20" s="561"/>
      <c r="G20" s="178"/>
      <c r="H20" s="178"/>
      <c r="I20" s="178"/>
      <c r="J20" s="178"/>
    </row>
    <row r="21" spans="1:10" s="177" customFormat="1">
      <c r="A21" s="188"/>
      <c r="B21" s="188"/>
      <c r="C21" s="189"/>
      <c r="G21" s="178"/>
      <c r="H21" s="178"/>
      <c r="I21" s="178"/>
      <c r="J21" s="178"/>
    </row>
    <row r="22" spans="1:10" s="177" customFormat="1">
      <c r="A22" s="193" t="s">
        <v>453</v>
      </c>
      <c r="B22" s="194"/>
      <c r="C22" s="194"/>
      <c r="D22" s="194"/>
      <c r="E22" s="194"/>
      <c r="F22" s="194"/>
      <c r="G22" s="178"/>
      <c r="H22" s="178"/>
      <c r="I22" s="178"/>
      <c r="J22" s="178"/>
    </row>
    <row r="23" spans="1:10" s="177" customFormat="1">
      <c r="A23" s="195" t="s">
        <v>454</v>
      </c>
      <c r="B23" s="571" t="s">
        <v>448</v>
      </c>
      <c r="C23" s="572"/>
      <c r="D23" s="573"/>
      <c r="E23" s="574" t="s">
        <v>449</v>
      </c>
      <c r="F23" s="574"/>
      <c r="G23" s="178"/>
      <c r="H23" s="178"/>
      <c r="I23" s="178"/>
      <c r="J23" s="178"/>
    </row>
    <row r="24" spans="1:10" s="177" customFormat="1" ht="154.5" customHeight="1">
      <c r="A24" s="196" t="s">
        <v>455</v>
      </c>
      <c r="B24" s="563">
        <v>4769.4281847133752</v>
      </c>
      <c r="C24" s="562"/>
      <c r="D24" s="553"/>
      <c r="E24" s="552" t="s">
        <v>456</v>
      </c>
      <c r="F24" s="553"/>
      <c r="G24" s="176"/>
      <c r="H24" s="176"/>
      <c r="I24" s="176"/>
      <c r="J24" s="176"/>
    </row>
    <row r="25" spans="1:10" s="177" customFormat="1" ht="19.5" customHeight="1">
      <c r="A25" s="197" t="s">
        <v>457</v>
      </c>
      <c r="B25" s="552">
        <v>15</v>
      </c>
      <c r="C25" s="562"/>
      <c r="D25" s="553"/>
      <c r="E25" s="552" t="s">
        <v>458</v>
      </c>
      <c r="F25" s="553"/>
      <c r="G25" s="178"/>
      <c r="H25" s="178"/>
      <c r="I25" s="178"/>
      <c r="J25" s="178"/>
    </row>
    <row r="26" spans="1:10" s="177" customFormat="1" ht="33" customHeight="1">
      <c r="A26" s="197" t="s">
        <v>459</v>
      </c>
      <c r="B26" s="552">
        <v>1</v>
      </c>
      <c r="C26" s="562"/>
      <c r="D26" s="553"/>
      <c r="E26" s="552" t="s">
        <v>458</v>
      </c>
      <c r="F26" s="553"/>
      <c r="G26" s="178"/>
      <c r="H26" s="178"/>
      <c r="I26" s="178"/>
      <c r="J26" s="178"/>
    </row>
    <row r="27" spans="1:10" s="177" customFormat="1" ht="54.75" customHeight="1">
      <c r="A27" s="198" t="s">
        <v>460</v>
      </c>
      <c r="B27" s="552" t="s">
        <v>461</v>
      </c>
      <c r="C27" s="562"/>
      <c r="D27" s="553"/>
      <c r="E27" s="552" t="s">
        <v>462</v>
      </c>
      <c r="F27" s="553"/>
      <c r="G27" s="178"/>
      <c r="H27" s="178"/>
      <c r="I27" s="178"/>
      <c r="J27" s="178"/>
    </row>
    <row r="28" spans="1:10" s="177" customFormat="1" ht="54.75" customHeight="1">
      <c r="A28" s="197" t="s">
        <v>463</v>
      </c>
      <c r="B28" s="552" t="s">
        <v>461</v>
      </c>
      <c r="C28" s="562"/>
      <c r="D28" s="553"/>
      <c r="E28" s="552" t="s">
        <v>462</v>
      </c>
      <c r="F28" s="553"/>
      <c r="G28" s="178"/>
      <c r="H28" s="178"/>
      <c r="I28" s="178"/>
      <c r="J28" s="178"/>
    </row>
    <row r="29" spans="1:10" s="177" customFormat="1" ht="54.75" customHeight="1">
      <c r="A29" s="197" t="s">
        <v>464</v>
      </c>
      <c r="B29" s="552" t="s">
        <v>461</v>
      </c>
      <c r="C29" s="562"/>
      <c r="D29" s="553"/>
      <c r="E29" s="552" t="s">
        <v>462</v>
      </c>
      <c r="F29" s="553"/>
      <c r="G29" s="178"/>
      <c r="H29" s="178"/>
      <c r="I29" s="178"/>
      <c r="J29" s="178"/>
    </row>
    <row r="30" spans="1:10" s="177" customFormat="1" ht="57.75" customHeight="1">
      <c r="A30" s="198" t="s">
        <v>465</v>
      </c>
      <c r="B30" s="552" t="s">
        <v>461</v>
      </c>
      <c r="C30" s="562"/>
      <c r="D30" s="553"/>
      <c r="E30" s="552" t="s">
        <v>462</v>
      </c>
      <c r="F30" s="553"/>
      <c r="G30" s="176"/>
      <c r="H30" s="176"/>
      <c r="I30" s="176"/>
      <c r="J30" s="176"/>
    </row>
    <row r="31" spans="1:10" s="177" customFormat="1" ht="65.25" customHeight="1">
      <c r="A31" s="198" t="s">
        <v>466</v>
      </c>
      <c r="B31" s="552" t="s">
        <v>461</v>
      </c>
      <c r="C31" s="562"/>
      <c r="D31" s="553"/>
      <c r="E31" s="552" t="s">
        <v>462</v>
      </c>
      <c r="F31" s="553"/>
      <c r="G31" s="176"/>
      <c r="H31" s="176"/>
      <c r="I31" s="176"/>
      <c r="J31" s="176"/>
    </row>
    <row r="32" spans="1:10" s="177" customFormat="1" ht="39.75" customHeight="1">
      <c r="A32" s="197" t="s">
        <v>467</v>
      </c>
      <c r="B32" s="552" t="s">
        <v>468</v>
      </c>
      <c r="C32" s="562"/>
      <c r="D32" s="553"/>
      <c r="E32" s="552" t="s">
        <v>469</v>
      </c>
      <c r="F32" s="553"/>
      <c r="G32" s="178"/>
      <c r="H32" s="178"/>
      <c r="I32" s="178"/>
      <c r="J32" s="178"/>
    </row>
    <row r="33" spans="1:10" s="177" customFormat="1" ht="39.75" customHeight="1">
      <c r="A33" s="197" t="s">
        <v>470</v>
      </c>
      <c r="B33" s="549">
        <v>0</v>
      </c>
      <c r="C33" s="550"/>
      <c r="D33" s="551"/>
      <c r="E33" s="552" t="s">
        <v>471</v>
      </c>
      <c r="F33" s="553"/>
      <c r="G33" s="178"/>
      <c r="H33" s="178"/>
      <c r="I33" s="178"/>
      <c r="J33" s="178"/>
    </row>
    <row r="34" spans="1:10" s="177" customFormat="1">
      <c r="A34" s="188"/>
      <c r="B34" s="188"/>
      <c r="C34" s="189"/>
      <c r="G34" s="178"/>
      <c r="H34" s="178"/>
      <c r="I34" s="178"/>
      <c r="J34" s="178"/>
    </row>
    <row r="35" spans="1:10" s="177" customFormat="1">
      <c r="A35" s="199" t="s">
        <v>472</v>
      </c>
      <c r="B35" s="200"/>
      <c r="C35" s="201"/>
      <c r="D35" s="202"/>
      <c r="E35" s="202"/>
      <c r="F35" s="202"/>
      <c r="G35" s="203"/>
      <c r="H35" s="202"/>
      <c r="I35" s="203"/>
      <c r="J35" s="178"/>
    </row>
    <row r="36" spans="1:10" s="177" customFormat="1" ht="25.5">
      <c r="A36" s="204" t="s">
        <v>446</v>
      </c>
      <c r="B36" s="204" t="s">
        <v>473</v>
      </c>
      <c r="C36" s="204" t="s">
        <v>474</v>
      </c>
      <c r="D36" s="204" t="s">
        <v>475</v>
      </c>
      <c r="E36" s="204" t="s">
        <v>70</v>
      </c>
      <c r="F36" s="204" t="s">
        <v>476</v>
      </c>
      <c r="G36" s="204" t="s">
        <v>477</v>
      </c>
      <c r="H36" s="204" t="s">
        <v>478</v>
      </c>
      <c r="I36" s="204" t="s">
        <v>479</v>
      </c>
      <c r="J36" s="178"/>
    </row>
    <row r="37" spans="1:10" s="177" customFormat="1" ht="179.25" customHeight="1">
      <c r="A37" s="554" t="s">
        <v>480</v>
      </c>
      <c r="B37" s="557" t="s">
        <v>481</v>
      </c>
      <c r="C37" s="558" t="s">
        <v>482</v>
      </c>
      <c r="D37" s="205" t="s">
        <v>483</v>
      </c>
      <c r="E37" s="561" t="str">
        <f>B8</f>
        <v>Current Practice</v>
      </c>
      <c r="F37" s="536" t="s">
        <v>484</v>
      </c>
      <c r="G37" s="536" t="s">
        <v>485</v>
      </c>
      <c r="H37" s="206" t="s">
        <v>486</v>
      </c>
      <c r="I37" s="206" t="s">
        <v>487</v>
      </c>
      <c r="J37" s="178"/>
    </row>
    <row r="38" spans="1:10" s="177" customFormat="1" ht="180.75" customHeight="1">
      <c r="A38" s="555"/>
      <c r="B38" s="557"/>
      <c r="C38" s="559"/>
      <c r="D38" s="207" t="s">
        <v>488</v>
      </c>
      <c r="E38" s="561"/>
      <c r="F38" s="536"/>
      <c r="G38" s="536"/>
      <c r="H38" s="206" t="s">
        <v>486</v>
      </c>
      <c r="I38" s="206" t="s">
        <v>487</v>
      </c>
      <c r="J38" s="178"/>
    </row>
    <row r="39" spans="1:10" s="177" customFormat="1" ht="108" customHeight="1">
      <c r="A39" s="555"/>
      <c r="B39" s="557"/>
      <c r="C39" s="560"/>
      <c r="D39" s="207" t="s">
        <v>489</v>
      </c>
      <c r="E39" s="561"/>
      <c r="F39" s="536"/>
      <c r="G39" s="536"/>
      <c r="H39" s="206" t="s">
        <v>486</v>
      </c>
      <c r="I39" s="206" t="s">
        <v>487</v>
      </c>
      <c r="J39" s="178"/>
    </row>
    <row r="40" spans="1:10" s="177" customFormat="1" ht="269.25" customHeight="1">
      <c r="A40" s="556"/>
      <c r="B40" s="208" t="s">
        <v>490</v>
      </c>
      <c r="C40" s="205" t="s">
        <v>491</v>
      </c>
      <c r="D40" s="207" t="s">
        <v>492</v>
      </c>
      <c r="E40" s="561"/>
      <c r="F40" s="209" t="s">
        <v>493</v>
      </c>
      <c r="G40" s="209" t="s">
        <v>494</v>
      </c>
      <c r="H40" s="206" t="s">
        <v>486</v>
      </c>
      <c r="I40" s="206" t="s">
        <v>487</v>
      </c>
      <c r="J40" s="178"/>
    </row>
    <row r="41" spans="1:10" s="177" customFormat="1">
      <c r="G41" s="178"/>
      <c r="H41" s="178"/>
      <c r="I41" s="178"/>
      <c r="J41" s="178"/>
    </row>
    <row r="42" spans="1:10" s="177" customFormat="1">
      <c r="A42" s="210" t="s">
        <v>495</v>
      </c>
      <c r="B42" s="211"/>
      <c r="G42" s="178"/>
      <c r="H42" s="178"/>
      <c r="I42" s="178"/>
      <c r="J42" s="178"/>
    </row>
    <row r="43" spans="1:10" s="177" customFormat="1">
      <c r="A43" s="212" t="s">
        <v>446</v>
      </c>
      <c r="B43" s="212" t="s">
        <v>496</v>
      </c>
      <c r="C43" s="212" t="s">
        <v>497</v>
      </c>
      <c r="D43" s="212" t="s">
        <v>70</v>
      </c>
      <c r="E43" s="213" t="s">
        <v>498</v>
      </c>
      <c r="F43" s="214" t="s">
        <v>499</v>
      </c>
      <c r="G43" s="213" t="s">
        <v>500</v>
      </c>
      <c r="H43" s="215" t="s">
        <v>501</v>
      </c>
      <c r="I43" s="178"/>
      <c r="J43" s="178"/>
    </row>
    <row r="44" spans="1:10" s="177" customFormat="1" ht="51" customHeight="1">
      <c r="A44" s="537" t="s">
        <v>339</v>
      </c>
      <c r="B44" s="540" t="s">
        <v>502</v>
      </c>
      <c r="C44" s="543" t="s">
        <v>503</v>
      </c>
      <c r="D44" s="546" t="str">
        <f>B8</f>
        <v>Current Practice</v>
      </c>
      <c r="E44" s="216" t="s">
        <v>504</v>
      </c>
      <c r="F44" s="217" t="s">
        <v>505</v>
      </c>
      <c r="G44" s="530">
        <v>2006</v>
      </c>
      <c r="H44" s="530" t="s">
        <v>506</v>
      </c>
      <c r="I44" s="178"/>
      <c r="J44" s="178"/>
    </row>
    <row r="45" spans="1:10" s="177" customFormat="1">
      <c r="A45" s="538"/>
      <c r="B45" s="541"/>
      <c r="C45" s="544"/>
      <c r="D45" s="547"/>
      <c r="E45" s="218"/>
      <c r="F45" s="219"/>
      <c r="G45" s="531"/>
      <c r="H45" s="531"/>
      <c r="I45" s="178"/>
      <c r="J45" s="178"/>
    </row>
    <row r="46" spans="1:10" s="177" customFormat="1" ht="22.5" customHeight="1">
      <c r="A46" s="539"/>
      <c r="B46" s="542"/>
      <c r="C46" s="545"/>
      <c r="D46" s="547"/>
      <c r="E46" s="220"/>
      <c r="F46" s="221"/>
      <c r="G46" s="532"/>
      <c r="H46" s="532"/>
      <c r="I46" s="178"/>
      <c r="J46" s="178"/>
    </row>
    <row r="47" spans="1:10" ht="12.75" customHeight="1">
      <c r="A47" s="527" t="s">
        <v>339</v>
      </c>
      <c r="B47" s="514" t="s">
        <v>507</v>
      </c>
      <c r="C47" s="517" t="s">
        <v>371</v>
      </c>
      <c r="D47" s="547"/>
      <c r="E47" s="220"/>
      <c r="F47" s="221"/>
      <c r="G47" s="533"/>
      <c r="H47" s="524" t="s">
        <v>508</v>
      </c>
    </row>
    <row r="48" spans="1:10" ht="12.75" customHeight="1">
      <c r="A48" s="528"/>
      <c r="B48" s="515"/>
      <c r="C48" s="518"/>
      <c r="D48" s="547"/>
      <c r="E48" s="220"/>
      <c r="F48" s="221"/>
      <c r="G48" s="534"/>
      <c r="H48" s="525"/>
    </row>
    <row r="49" spans="1:8">
      <c r="A49" s="529"/>
      <c r="B49" s="516"/>
      <c r="C49" s="519"/>
      <c r="D49" s="547"/>
      <c r="E49" s="220"/>
      <c r="F49" s="221"/>
      <c r="G49" s="535"/>
      <c r="H49" s="526"/>
    </row>
    <row r="50" spans="1:8" ht="12.75" customHeight="1">
      <c r="A50" s="527" t="s">
        <v>339</v>
      </c>
      <c r="B50" s="514" t="s">
        <v>509</v>
      </c>
      <c r="C50" s="517" t="s">
        <v>371</v>
      </c>
      <c r="D50" s="547"/>
      <c r="E50" s="220"/>
      <c r="F50" s="221"/>
      <c r="G50" s="533"/>
      <c r="H50" s="524" t="s">
        <v>508</v>
      </c>
    </row>
    <row r="51" spans="1:8" ht="12.75" customHeight="1">
      <c r="A51" s="528"/>
      <c r="B51" s="515"/>
      <c r="C51" s="518"/>
      <c r="D51" s="547"/>
      <c r="E51" s="220"/>
      <c r="F51" s="221"/>
      <c r="G51" s="534"/>
      <c r="H51" s="525"/>
    </row>
    <row r="52" spans="1:8">
      <c r="A52" s="529"/>
      <c r="B52" s="516"/>
      <c r="C52" s="519"/>
      <c r="D52" s="547"/>
      <c r="E52" s="220"/>
      <c r="F52" s="221"/>
      <c r="G52" s="535"/>
      <c r="H52" s="526"/>
    </row>
    <row r="53" spans="1:8" ht="21" customHeight="1">
      <c r="A53" s="527" t="s">
        <v>339</v>
      </c>
      <c r="B53" s="514" t="s">
        <v>510</v>
      </c>
      <c r="C53" s="517" t="s">
        <v>511</v>
      </c>
      <c r="D53" s="547"/>
      <c r="E53" s="514" t="s">
        <v>512</v>
      </c>
      <c r="F53" s="514" t="s">
        <v>513</v>
      </c>
      <c r="G53" s="530">
        <v>2006</v>
      </c>
      <c r="H53" s="524" t="s">
        <v>506</v>
      </c>
    </row>
    <row r="54" spans="1:8" ht="21" customHeight="1">
      <c r="A54" s="528"/>
      <c r="B54" s="515"/>
      <c r="C54" s="518"/>
      <c r="D54" s="547"/>
      <c r="E54" s="515"/>
      <c r="F54" s="515"/>
      <c r="G54" s="531"/>
      <c r="H54" s="525"/>
    </row>
    <row r="55" spans="1:8" ht="50.25" customHeight="1">
      <c r="A55" s="529"/>
      <c r="B55" s="516"/>
      <c r="C55" s="519"/>
      <c r="D55" s="547"/>
      <c r="E55" s="516"/>
      <c r="F55" s="516"/>
      <c r="G55" s="532"/>
      <c r="H55" s="526"/>
    </row>
    <row r="56" spans="1:8" ht="27" customHeight="1">
      <c r="A56" s="223" t="s">
        <v>339</v>
      </c>
      <c r="B56" s="224" t="s">
        <v>514</v>
      </c>
      <c r="C56" s="225"/>
      <c r="D56" s="548"/>
      <c r="E56" s="226"/>
      <c r="F56" s="227"/>
      <c r="G56" s="228"/>
      <c r="H56" s="229"/>
    </row>
    <row r="57" spans="1:8">
      <c r="A57" s="230"/>
      <c r="B57" s="231"/>
      <c r="C57" s="231"/>
      <c r="D57" s="232"/>
      <c r="E57" s="233"/>
      <c r="F57" s="233"/>
      <c r="G57" s="194"/>
      <c r="H57" s="234"/>
    </row>
    <row r="58" spans="1:8">
      <c r="A58" s="235" t="s">
        <v>515</v>
      </c>
      <c r="H58" s="236"/>
    </row>
    <row r="59" spans="1:8">
      <c r="A59" s="237" t="s">
        <v>446</v>
      </c>
      <c r="B59" s="237"/>
      <c r="C59" s="237" t="s">
        <v>497</v>
      </c>
      <c r="D59" s="238" t="s">
        <v>70</v>
      </c>
      <c r="E59" s="237" t="s">
        <v>498</v>
      </c>
      <c r="F59" s="239"/>
      <c r="G59" s="237"/>
      <c r="H59" s="240" t="s">
        <v>501</v>
      </c>
    </row>
    <row r="60" spans="1:8" ht="99.75" customHeight="1">
      <c r="A60" s="514" t="s">
        <v>339</v>
      </c>
      <c r="B60" s="241"/>
      <c r="C60" s="517" t="s">
        <v>516</v>
      </c>
      <c r="D60" s="520" t="str">
        <f>B8</f>
        <v>Current Practice</v>
      </c>
      <c r="E60" s="221" t="s">
        <v>517</v>
      </c>
      <c r="F60" s="242"/>
      <c r="G60" s="243"/>
      <c r="H60" s="523" t="s">
        <v>518</v>
      </c>
    </row>
    <row r="61" spans="1:8" ht="67.5" customHeight="1">
      <c r="A61" s="515"/>
      <c r="B61" s="244"/>
      <c r="C61" s="518"/>
      <c r="D61" s="521"/>
      <c r="E61" s="221" t="s">
        <v>519</v>
      </c>
      <c r="F61" s="242"/>
      <c r="G61" s="245"/>
      <c r="H61" s="523"/>
    </row>
    <row r="62" spans="1:8" ht="43.5" customHeight="1">
      <c r="A62" s="515"/>
      <c r="B62" s="244"/>
      <c r="C62" s="518"/>
      <c r="D62" s="521"/>
      <c r="E62" s="246"/>
      <c r="F62" s="242"/>
      <c r="G62" s="245"/>
      <c r="H62" s="523"/>
    </row>
    <row r="63" spans="1:8" ht="75.75" customHeight="1">
      <c r="A63" s="516"/>
      <c r="B63" s="247"/>
      <c r="C63" s="519"/>
      <c r="D63" s="522"/>
      <c r="E63" s="246"/>
      <c r="F63" s="248"/>
      <c r="G63" s="249"/>
      <c r="H63" s="523"/>
    </row>
    <row r="64" spans="1:8">
      <c r="F64" s="236"/>
      <c r="H64" s="236"/>
    </row>
    <row r="65" spans="6:8">
      <c r="F65" s="236"/>
      <c r="H65" s="236"/>
    </row>
    <row r="66" spans="6:8">
      <c r="F66" s="236"/>
      <c r="H66" s="236"/>
    </row>
    <row r="67" spans="6:8">
      <c r="F67" s="236"/>
      <c r="H67" s="236"/>
    </row>
    <row r="68" spans="6:8">
      <c r="F68" s="236"/>
      <c r="H68" s="236"/>
    </row>
    <row r="69" spans="6:8">
      <c r="F69" s="236"/>
      <c r="H69" s="236"/>
    </row>
    <row r="70" spans="6:8">
      <c r="F70" s="236"/>
      <c r="H70" s="236"/>
    </row>
    <row r="71" spans="6:8">
      <c r="F71" s="236"/>
      <c r="H71" s="236"/>
    </row>
    <row r="72" spans="6:8">
      <c r="F72" s="236"/>
      <c r="H72" s="236"/>
    </row>
    <row r="73" spans="6:8">
      <c r="F73" s="236"/>
      <c r="H73" s="236"/>
    </row>
    <row r="74" spans="6:8">
      <c r="F74" s="236"/>
      <c r="H74" s="236"/>
    </row>
    <row r="75" spans="6:8">
      <c r="F75" s="236"/>
      <c r="H75" s="236"/>
    </row>
    <row r="76" spans="6:8">
      <c r="F76" s="250"/>
      <c r="H76" s="236"/>
    </row>
    <row r="77" spans="6:8">
      <c r="F77" s="250"/>
      <c r="H77" s="236"/>
    </row>
    <row r="78" spans="6:8">
      <c r="H78" s="236"/>
    </row>
    <row r="79" spans="6:8">
      <c r="H79" s="236"/>
    </row>
    <row r="80" spans="6:8">
      <c r="H80" s="250"/>
    </row>
    <row r="81" spans="8:8">
      <c r="H81" s="250"/>
    </row>
  </sheetData>
  <mergeCells count="71">
    <mergeCell ref="B16:D16"/>
    <mergeCell ref="A1:C1"/>
    <mergeCell ref="A3:D3"/>
    <mergeCell ref="B7:D7"/>
    <mergeCell ref="B8:D8"/>
    <mergeCell ref="B9:D9"/>
    <mergeCell ref="B10:D10"/>
    <mergeCell ref="B11:D11"/>
    <mergeCell ref="B12:D12"/>
    <mergeCell ref="B13:D13"/>
    <mergeCell ref="B14:D14"/>
    <mergeCell ref="B15:D15"/>
    <mergeCell ref="B19:D19"/>
    <mergeCell ref="E19:F19"/>
    <mergeCell ref="B20:D20"/>
    <mergeCell ref="E20:F20"/>
    <mergeCell ref="B23:D23"/>
    <mergeCell ref="E23:F23"/>
    <mergeCell ref="B24:D24"/>
    <mergeCell ref="E24:F24"/>
    <mergeCell ref="B25:D25"/>
    <mergeCell ref="E25:F25"/>
    <mergeCell ref="B26:D26"/>
    <mergeCell ref="E26:F26"/>
    <mergeCell ref="B27:D27"/>
    <mergeCell ref="E27:F27"/>
    <mergeCell ref="B28:D28"/>
    <mergeCell ref="E28:F28"/>
    <mergeCell ref="B29:D29"/>
    <mergeCell ref="E29:F29"/>
    <mergeCell ref="B30:D30"/>
    <mergeCell ref="E30:F30"/>
    <mergeCell ref="B31:D31"/>
    <mergeCell ref="E31:F31"/>
    <mergeCell ref="B32:D32"/>
    <mergeCell ref="E32:F32"/>
    <mergeCell ref="B33:D33"/>
    <mergeCell ref="E33:F33"/>
    <mergeCell ref="A37:A40"/>
    <mergeCell ref="B37:B39"/>
    <mergeCell ref="C37:C39"/>
    <mergeCell ref="E37:E40"/>
    <mergeCell ref="F37:F39"/>
    <mergeCell ref="G37:G39"/>
    <mergeCell ref="A44:A46"/>
    <mergeCell ref="B44:B46"/>
    <mergeCell ref="C44:C46"/>
    <mergeCell ref="D44:D56"/>
    <mergeCell ref="G44:G46"/>
    <mergeCell ref="A50:A52"/>
    <mergeCell ref="B50:B52"/>
    <mergeCell ref="C50:C52"/>
    <mergeCell ref="G50:G52"/>
    <mergeCell ref="H44:H46"/>
    <mergeCell ref="A47:A49"/>
    <mergeCell ref="B47:B49"/>
    <mergeCell ref="C47:C49"/>
    <mergeCell ref="G47:G49"/>
    <mergeCell ref="H47:H49"/>
    <mergeCell ref="A60:A63"/>
    <mergeCell ref="C60:C63"/>
    <mergeCell ref="D60:D63"/>
    <mergeCell ref="H60:H63"/>
    <mergeCell ref="H50:H52"/>
    <mergeCell ref="A53:A55"/>
    <mergeCell ref="B53:B55"/>
    <mergeCell ref="C53:C55"/>
    <mergeCell ref="E53:E55"/>
    <mergeCell ref="F53:F55"/>
    <mergeCell ref="G53:G55"/>
    <mergeCell ref="H53:H55"/>
  </mergeCells>
  <dataValidations count="6">
    <dataValidation type="list" allowBlank="1" showInputMessage="1" showErrorMessage="1" sqref="B8">
      <formula1>Baseline</formula1>
    </dataValidation>
    <dataValidation type="list" allowBlank="1" showInputMessage="1" showErrorMessage="1" sqref="B11">
      <formula1>Procedure</formula1>
    </dataValidation>
    <dataValidation type="list" allowBlank="1" showInputMessage="1" showErrorMessage="1" sqref="B10">
      <formula1>Category</formula1>
    </dataValidation>
    <dataValidation type="list" allowBlank="1" showInputMessage="1" showErrorMessage="1" sqref="B9">
      <formula1>Method</formula1>
    </dataValidation>
    <dataValidation type="list" allowBlank="1" showInputMessage="1" showErrorMessage="1" sqref="F60:F63">
      <formula1>LifetimeDataSourceTypes</formula1>
    </dataValidation>
    <dataValidation type="list" allowBlank="1" showInputMessage="1" showErrorMessage="1" sqref="F44:F56">
      <formula1>CostDataSourceTypes</formula1>
    </dataValidation>
  </dataValidations>
  <pageMargins left="0.7" right="0.7" top="0.75" bottom="0.75" header="0.3" footer="0.3"/>
  <pageSetup orientation="portrait" r:id="rId1"/>
  <legacyDrawing r:id="rId2"/>
</worksheet>
</file>

<file path=xl/worksheets/sheet11.xml><?xml version="1.0" encoding="utf-8"?>
<worksheet xmlns="http://schemas.openxmlformats.org/spreadsheetml/2006/main" xmlns:r="http://schemas.openxmlformats.org/officeDocument/2006/relationships">
  <sheetPr codeName="Sheet12">
    <tabColor rgb="FF92D050"/>
  </sheetPr>
  <dimension ref="A1:J80"/>
  <sheetViews>
    <sheetView showGridLines="0" topLeftCell="A34" zoomScaleNormal="100" workbookViewId="0">
      <selection activeCell="H20" sqref="H20"/>
    </sheetView>
  </sheetViews>
  <sheetFormatPr defaultRowHeight="12.75"/>
  <cols>
    <col min="1" max="2" width="22.28515625" style="203" customWidth="1"/>
    <col min="3" max="3" width="36" style="203" customWidth="1"/>
    <col min="4" max="4" width="38.140625" style="203" customWidth="1"/>
    <col min="5" max="5" width="34.140625" style="203" customWidth="1"/>
    <col min="6" max="6" width="35.85546875" style="203" customWidth="1"/>
    <col min="7" max="7" width="41.28515625" style="203" customWidth="1"/>
    <col min="8" max="8" width="35.85546875" style="203" customWidth="1"/>
    <col min="9" max="9" width="41.28515625" style="203" customWidth="1"/>
    <col min="10" max="10" width="9.140625" style="203"/>
    <col min="11" max="16384" width="9.140625" style="222"/>
  </cols>
  <sheetData>
    <row r="1" spans="1:10" s="177" customFormat="1">
      <c r="A1" s="578" t="s">
        <v>424</v>
      </c>
      <c r="B1" s="578"/>
      <c r="C1" s="578"/>
      <c r="D1" s="174"/>
      <c r="E1" s="175"/>
      <c r="F1" s="175"/>
      <c r="G1" s="176"/>
      <c r="H1" s="176"/>
      <c r="I1" s="176"/>
      <c r="J1" s="176"/>
    </row>
    <row r="2" spans="1:10" s="177" customFormat="1">
      <c r="A2" s="178"/>
      <c r="B2" s="178"/>
      <c r="C2" s="178"/>
      <c r="D2" s="178"/>
      <c r="E2" s="178"/>
      <c r="F2" s="178"/>
      <c r="G2" s="178"/>
      <c r="H2" s="178"/>
      <c r="I2" s="178"/>
      <c r="J2" s="178"/>
    </row>
    <row r="3" spans="1:10" s="177" customFormat="1">
      <c r="A3" s="579" t="s">
        <v>425</v>
      </c>
      <c r="B3" s="580"/>
      <c r="C3" s="580"/>
      <c r="D3" s="581"/>
      <c r="G3" s="178"/>
      <c r="H3" s="178"/>
      <c r="I3" s="178"/>
      <c r="J3" s="178"/>
    </row>
    <row r="4" spans="1:10" s="177" customFormat="1">
      <c r="A4" s="179" t="s">
        <v>426</v>
      </c>
      <c r="B4" s="180" t="s">
        <v>427</v>
      </c>
      <c r="C4" s="181"/>
      <c r="D4" s="182"/>
      <c r="G4" s="178"/>
      <c r="H4" s="178"/>
      <c r="I4" s="178"/>
      <c r="J4" s="178"/>
    </row>
    <row r="5" spans="1:10" s="177" customFormat="1">
      <c r="A5" s="179" t="s">
        <v>428</v>
      </c>
      <c r="B5" s="183" t="s">
        <v>429</v>
      </c>
      <c r="C5" s="184"/>
      <c r="D5" s="185"/>
      <c r="G5" s="178"/>
      <c r="H5" s="178"/>
      <c r="I5" s="178"/>
      <c r="J5" s="178"/>
    </row>
    <row r="6" spans="1:10" s="177" customFormat="1">
      <c r="A6" s="186" t="s">
        <v>182</v>
      </c>
      <c r="B6" s="187" t="s">
        <v>525</v>
      </c>
      <c r="C6" s="181"/>
      <c r="D6" s="182"/>
      <c r="G6" s="178"/>
      <c r="H6" s="178"/>
      <c r="I6" s="178"/>
      <c r="J6" s="178"/>
    </row>
    <row r="7" spans="1:10" s="177" customFormat="1">
      <c r="A7" s="186" t="s">
        <v>431</v>
      </c>
      <c r="B7" s="575" t="s">
        <v>526</v>
      </c>
      <c r="C7" s="576"/>
      <c r="D7" s="577"/>
      <c r="G7" s="178"/>
      <c r="H7" s="178"/>
      <c r="I7" s="178"/>
      <c r="J7" s="178"/>
    </row>
    <row r="8" spans="1:10" s="177" customFormat="1" ht="16.5" customHeight="1">
      <c r="A8" s="186" t="s">
        <v>70</v>
      </c>
      <c r="B8" s="575" t="s">
        <v>433</v>
      </c>
      <c r="C8" s="576"/>
      <c r="D8" s="577"/>
      <c r="G8" s="178"/>
      <c r="H8" s="178"/>
      <c r="I8" s="178"/>
      <c r="J8" s="178"/>
    </row>
    <row r="9" spans="1:10" s="177" customFormat="1" ht="16.5" customHeight="1">
      <c r="A9" s="186" t="s">
        <v>434</v>
      </c>
      <c r="B9" s="575" t="s">
        <v>435</v>
      </c>
      <c r="C9" s="576"/>
      <c r="D9" s="577"/>
      <c r="G9" s="178"/>
      <c r="H9" s="178"/>
      <c r="I9" s="178"/>
      <c r="J9" s="178"/>
    </row>
    <row r="10" spans="1:10" s="177" customFormat="1" ht="16.5" customHeight="1">
      <c r="A10" s="186" t="s">
        <v>181</v>
      </c>
      <c r="B10" s="575" t="s">
        <v>436</v>
      </c>
      <c r="C10" s="576"/>
      <c r="D10" s="577"/>
      <c r="G10" s="178"/>
      <c r="H10" s="178"/>
      <c r="I10" s="178"/>
      <c r="J10" s="178"/>
    </row>
    <row r="11" spans="1:10" s="177" customFormat="1" ht="16.5" customHeight="1">
      <c r="A11" s="186" t="s">
        <v>437</v>
      </c>
      <c r="B11" s="575" t="s">
        <v>438</v>
      </c>
      <c r="C11" s="576"/>
      <c r="D11" s="577"/>
      <c r="G11" s="178"/>
      <c r="H11" s="178"/>
      <c r="I11" s="178"/>
      <c r="J11" s="178"/>
    </row>
    <row r="12" spans="1:10" s="177" customFormat="1" ht="17.25" customHeight="1">
      <c r="A12" s="186" t="s">
        <v>439</v>
      </c>
      <c r="B12" s="582">
        <v>43312</v>
      </c>
      <c r="C12" s="583"/>
      <c r="D12" s="584"/>
      <c r="G12" s="178"/>
      <c r="H12" s="178"/>
      <c r="I12" s="178"/>
      <c r="J12" s="178"/>
    </row>
    <row r="13" spans="1:10" s="177" customFormat="1" ht="17.25" customHeight="1">
      <c r="A13" s="186" t="s">
        <v>440</v>
      </c>
      <c r="B13" s="582" t="s">
        <v>441</v>
      </c>
      <c r="C13" s="583"/>
      <c r="D13" s="584"/>
      <c r="G13" s="178"/>
      <c r="H13" s="178"/>
      <c r="I13" s="178"/>
      <c r="J13" s="178"/>
    </row>
    <row r="14" spans="1:10" s="177" customFormat="1" ht="18" customHeight="1">
      <c r="A14" s="186" t="s">
        <v>442</v>
      </c>
      <c r="B14" s="575" t="str">
        <f ca="1">MID(CELL("filename"),SEARCH("[",CELL("filename"))+1, SEARCH("]",CELL("filename"))-SEARCH("[",CELL("filename"))-1)</f>
        <v>COM-Cooking-7P_V5.xlsm</v>
      </c>
      <c r="C14" s="576"/>
      <c r="D14" s="577"/>
      <c r="G14" s="178"/>
      <c r="H14" s="178"/>
      <c r="I14" s="178"/>
      <c r="J14" s="178"/>
    </row>
    <row r="15" spans="1:10" s="177" customFormat="1" ht="18.75" customHeight="1">
      <c r="A15" s="179" t="s">
        <v>443</v>
      </c>
      <c r="B15" s="575" t="s">
        <v>527</v>
      </c>
      <c r="C15" s="576"/>
      <c r="D15" s="577"/>
      <c r="G15" s="178"/>
      <c r="H15" s="178"/>
      <c r="I15" s="178"/>
      <c r="J15" s="178"/>
    </row>
    <row r="16" spans="1:10" s="177" customFormat="1" ht="25.5" customHeight="1">
      <c r="A16" s="186" t="s">
        <v>445</v>
      </c>
      <c r="B16" s="575" t="e">
        <f>COUNTIF([3]MeasureTable!A8:A298,"*")&amp;" measure applications defined by 2 oven sizes"</f>
        <v>#VALUE!</v>
      </c>
      <c r="C16" s="576"/>
      <c r="D16" s="577"/>
      <c r="G16" s="178"/>
      <c r="H16" s="178"/>
      <c r="I16" s="178"/>
      <c r="J16" s="178"/>
    </row>
    <row r="17" spans="1:10" s="177" customFormat="1">
      <c r="A17" s="188"/>
      <c r="B17" s="188"/>
      <c r="C17" s="189"/>
      <c r="G17" s="178"/>
      <c r="H17" s="178"/>
      <c r="I17" s="178"/>
      <c r="J17" s="178"/>
    </row>
    <row r="18" spans="1:10" s="177" customFormat="1">
      <c r="A18" s="190" t="s">
        <v>446</v>
      </c>
      <c r="B18" s="191"/>
      <c r="C18" s="191"/>
      <c r="D18" s="191"/>
      <c r="E18" s="191"/>
      <c r="F18" s="191"/>
      <c r="G18" s="178"/>
      <c r="H18" s="178"/>
      <c r="I18" s="178"/>
      <c r="J18" s="178"/>
    </row>
    <row r="19" spans="1:10" s="177" customFormat="1">
      <c r="A19" s="190" t="s">
        <v>447</v>
      </c>
      <c r="B19" s="564" t="s">
        <v>448</v>
      </c>
      <c r="C19" s="565"/>
      <c r="D19" s="566"/>
      <c r="E19" s="567" t="s">
        <v>449</v>
      </c>
      <c r="F19" s="567"/>
      <c r="G19" s="178"/>
      <c r="H19" s="178"/>
      <c r="I19" s="178"/>
      <c r="J19" s="178"/>
    </row>
    <row r="20" spans="1:10" s="177" customFormat="1" ht="78.75" customHeight="1">
      <c r="A20" s="192" t="s">
        <v>528</v>
      </c>
      <c r="B20" s="552" t="s">
        <v>529</v>
      </c>
      <c r="C20" s="562"/>
      <c r="D20" s="553"/>
      <c r="E20" s="561" t="s">
        <v>530</v>
      </c>
      <c r="F20" s="561"/>
      <c r="G20" s="178"/>
      <c r="H20" s="178"/>
      <c r="I20" s="178"/>
      <c r="J20" s="178"/>
    </row>
    <row r="21" spans="1:10" s="177" customFormat="1">
      <c r="A21" s="188"/>
      <c r="B21" s="188"/>
      <c r="C21" s="189"/>
      <c r="G21" s="178"/>
      <c r="H21" s="178"/>
      <c r="I21" s="178"/>
      <c r="J21" s="178"/>
    </row>
    <row r="22" spans="1:10" s="177" customFormat="1">
      <c r="A22" s="193" t="s">
        <v>453</v>
      </c>
      <c r="B22" s="194"/>
      <c r="C22" s="194"/>
      <c r="D22" s="194"/>
      <c r="E22" s="194"/>
      <c r="F22" s="194"/>
      <c r="G22" s="178"/>
      <c r="H22" s="178"/>
      <c r="I22" s="178"/>
      <c r="J22" s="178"/>
    </row>
    <row r="23" spans="1:10" s="177" customFormat="1">
      <c r="A23" s="195" t="s">
        <v>454</v>
      </c>
      <c r="B23" s="571" t="s">
        <v>448</v>
      </c>
      <c r="C23" s="572"/>
      <c r="D23" s="573"/>
      <c r="E23" s="574" t="s">
        <v>449</v>
      </c>
      <c r="F23" s="574"/>
      <c r="G23" s="178"/>
      <c r="H23" s="178"/>
      <c r="I23" s="178"/>
      <c r="J23" s="178"/>
    </row>
    <row r="24" spans="1:10" s="177" customFormat="1" ht="151.5" customHeight="1">
      <c r="A24" s="196" t="s">
        <v>455</v>
      </c>
      <c r="B24" s="563">
        <v>4769.4281847133752</v>
      </c>
      <c r="C24" s="562"/>
      <c r="D24" s="553"/>
      <c r="E24" s="552" t="s">
        <v>456</v>
      </c>
      <c r="F24" s="553"/>
      <c r="G24" s="176"/>
      <c r="H24" s="176"/>
      <c r="I24" s="176"/>
      <c r="J24" s="176"/>
    </row>
    <row r="25" spans="1:10" s="177" customFormat="1" ht="19.5" customHeight="1">
      <c r="A25" s="197" t="s">
        <v>457</v>
      </c>
      <c r="B25" s="552">
        <v>15</v>
      </c>
      <c r="C25" s="562"/>
      <c r="D25" s="553"/>
      <c r="E25" s="552" t="s">
        <v>458</v>
      </c>
      <c r="F25" s="553"/>
      <c r="G25" s="178"/>
      <c r="H25" s="178"/>
      <c r="I25" s="178"/>
      <c r="J25" s="178"/>
    </row>
    <row r="26" spans="1:10" s="177" customFormat="1" ht="33" customHeight="1">
      <c r="A26" s="197" t="s">
        <v>459</v>
      </c>
      <c r="B26" s="552">
        <v>1</v>
      </c>
      <c r="C26" s="562"/>
      <c r="D26" s="553"/>
      <c r="E26" s="552" t="s">
        <v>458</v>
      </c>
      <c r="F26" s="553"/>
      <c r="G26" s="178"/>
      <c r="H26" s="178"/>
      <c r="I26" s="178"/>
      <c r="J26" s="178"/>
    </row>
    <row r="27" spans="1:10" s="177" customFormat="1" ht="54.75" customHeight="1">
      <c r="A27" s="198" t="s">
        <v>460</v>
      </c>
      <c r="B27" s="552" t="s">
        <v>461</v>
      </c>
      <c r="C27" s="562"/>
      <c r="D27" s="553"/>
      <c r="E27" s="552" t="s">
        <v>462</v>
      </c>
      <c r="F27" s="553"/>
      <c r="G27" s="178"/>
      <c r="H27" s="178"/>
      <c r="I27" s="178"/>
      <c r="J27" s="178"/>
    </row>
    <row r="28" spans="1:10" s="177" customFormat="1" ht="54.75" customHeight="1">
      <c r="A28" s="197" t="s">
        <v>463</v>
      </c>
      <c r="B28" s="552" t="s">
        <v>461</v>
      </c>
      <c r="C28" s="562"/>
      <c r="D28" s="553"/>
      <c r="E28" s="552" t="s">
        <v>462</v>
      </c>
      <c r="F28" s="553"/>
      <c r="G28" s="178"/>
      <c r="H28" s="178"/>
      <c r="I28" s="178"/>
      <c r="J28" s="178"/>
    </row>
    <row r="29" spans="1:10" s="177" customFormat="1" ht="54.75" customHeight="1">
      <c r="A29" s="197" t="s">
        <v>464</v>
      </c>
      <c r="B29" s="552" t="s">
        <v>461</v>
      </c>
      <c r="C29" s="562"/>
      <c r="D29" s="553"/>
      <c r="E29" s="552" t="s">
        <v>462</v>
      </c>
      <c r="F29" s="553"/>
      <c r="G29" s="178"/>
      <c r="H29" s="178"/>
      <c r="I29" s="178"/>
      <c r="J29" s="178"/>
    </row>
    <row r="30" spans="1:10" s="177" customFormat="1" ht="57.75" customHeight="1">
      <c r="A30" s="198" t="s">
        <v>465</v>
      </c>
      <c r="B30" s="552" t="s">
        <v>461</v>
      </c>
      <c r="C30" s="562"/>
      <c r="D30" s="553"/>
      <c r="E30" s="552" t="s">
        <v>462</v>
      </c>
      <c r="F30" s="553"/>
      <c r="G30" s="176"/>
      <c r="H30" s="176"/>
      <c r="I30" s="176"/>
      <c r="J30" s="176"/>
    </row>
    <row r="31" spans="1:10" s="177" customFormat="1" ht="65.25" customHeight="1">
      <c r="A31" s="198" t="s">
        <v>466</v>
      </c>
      <c r="B31" s="552">
        <v>100</v>
      </c>
      <c r="C31" s="562"/>
      <c r="D31" s="553"/>
      <c r="E31" s="552" t="s">
        <v>462</v>
      </c>
      <c r="F31" s="553"/>
      <c r="G31" s="176"/>
      <c r="H31" s="176"/>
      <c r="I31" s="176"/>
      <c r="J31" s="176"/>
    </row>
    <row r="32" spans="1:10" s="177" customFormat="1" ht="84" customHeight="1">
      <c r="A32" s="197" t="s">
        <v>467</v>
      </c>
      <c r="B32" s="552">
        <v>73.2</v>
      </c>
      <c r="C32" s="562"/>
      <c r="D32" s="553"/>
      <c r="E32" s="552" t="s">
        <v>531</v>
      </c>
      <c r="F32" s="553"/>
      <c r="G32" s="176"/>
      <c r="H32" s="176"/>
      <c r="I32" s="176"/>
      <c r="J32" s="176"/>
    </row>
    <row r="33" spans="1:10" s="177" customFormat="1" ht="68.25" customHeight="1">
      <c r="A33" s="196" t="s">
        <v>470</v>
      </c>
      <c r="B33" s="588">
        <v>0.45</v>
      </c>
      <c r="C33" s="562"/>
      <c r="D33" s="553"/>
      <c r="E33" s="552" t="s">
        <v>532</v>
      </c>
      <c r="F33" s="553"/>
      <c r="G33" s="176"/>
      <c r="H33" s="176"/>
      <c r="I33" s="176"/>
      <c r="J33" s="176"/>
    </row>
    <row r="34" spans="1:10" s="177" customFormat="1">
      <c r="A34" s="188"/>
      <c r="B34" s="188"/>
      <c r="C34" s="189"/>
      <c r="G34" s="178"/>
      <c r="H34" s="178"/>
      <c r="I34" s="178"/>
      <c r="J34" s="178"/>
    </row>
    <row r="35" spans="1:10" s="177" customFormat="1">
      <c r="A35" s="199" t="s">
        <v>472</v>
      </c>
      <c r="B35" s="200"/>
      <c r="C35" s="201"/>
      <c r="D35" s="202"/>
      <c r="E35" s="202"/>
      <c r="F35" s="202"/>
      <c r="G35" s="203"/>
      <c r="H35" s="202"/>
      <c r="I35" s="203"/>
      <c r="J35" s="178"/>
    </row>
    <row r="36" spans="1:10" s="177" customFormat="1" ht="25.5">
      <c r="A36" s="204" t="s">
        <v>446</v>
      </c>
      <c r="B36" s="204" t="s">
        <v>473</v>
      </c>
      <c r="C36" s="204" t="s">
        <v>474</v>
      </c>
      <c r="D36" s="204" t="s">
        <v>475</v>
      </c>
      <c r="E36" s="204" t="s">
        <v>70</v>
      </c>
      <c r="F36" s="204" t="s">
        <v>476</v>
      </c>
      <c r="G36" s="204" t="s">
        <v>477</v>
      </c>
      <c r="H36" s="204" t="s">
        <v>478</v>
      </c>
      <c r="I36" s="204" t="s">
        <v>479</v>
      </c>
      <c r="J36" s="178"/>
    </row>
    <row r="37" spans="1:10" s="177" customFormat="1" ht="105.75" customHeight="1">
      <c r="A37" s="554" t="s">
        <v>533</v>
      </c>
      <c r="B37" s="205" t="s">
        <v>534</v>
      </c>
      <c r="C37" s="589" t="s">
        <v>535</v>
      </c>
      <c r="D37" s="205" t="s">
        <v>483</v>
      </c>
      <c r="E37" s="554" t="str">
        <f>B8</f>
        <v>Current Practice</v>
      </c>
      <c r="F37" s="585" t="s">
        <v>536</v>
      </c>
      <c r="G37" s="585" t="s">
        <v>537</v>
      </c>
      <c r="H37" s="206" t="s">
        <v>538</v>
      </c>
      <c r="I37" s="206" t="s">
        <v>539</v>
      </c>
      <c r="J37" s="178"/>
    </row>
    <row r="38" spans="1:10" s="177" customFormat="1" ht="105.75" customHeight="1">
      <c r="A38" s="555"/>
      <c r="B38" s="207" t="s">
        <v>540</v>
      </c>
      <c r="C38" s="589"/>
      <c r="D38" s="207" t="s">
        <v>488</v>
      </c>
      <c r="E38" s="555"/>
      <c r="F38" s="586"/>
      <c r="G38" s="586"/>
      <c r="H38" s="206" t="s">
        <v>538</v>
      </c>
      <c r="I38" s="206" t="s">
        <v>539</v>
      </c>
      <c r="J38" s="178"/>
    </row>
    <row r="39" spans="1:10" s="177" customFormat="1" ht="105.75" customHeight="1">
      <c r="A39" s="556"/>
      <c r="B39" s="207" t="s">
        <v>460</v>
      </c>
      <c r="C39" s="589"/>
      <c r="D39" s="207" t="s">
        <v>489</v>
      </c>
      <c r="E39" s="556"/>
      <c r="F39" s="587"/>
      <c r="G39" s="587"/>
      <c r="H39" s="206" t="s">
        <v>538</v>
      </c>
      <c r="I39" s="206" t="s">
        <v>539</v>
      </c>
      <c r="J39" s="178"/>
    </row>
    <row r="40" spans="1:10" s="177" customFormat="1">
      <c r="A40" s="188"/>
      <c r="B40" s="188"/>
      <c r="C40" s="189"/>
      <c r="G40" s="178"/>
      <c r="H40" s="178"/>
      <c r="I40" s="178"/>
      <c r="J40" s="178"/>
    </row>
    <row r="41" spans="1:10" s="177" customFormat="1">
      <c r="A41" s="210" t="s">
        <v>495</v>
      </c>
      <c r="B41" s="211"/>
      <c r="G41" s="178"/>
      <c r="H41" s="178"/>
      <c r="I41" s="178"/>
      <c r="J41" s="178"/>
    </row>
    <row r="42" spans="1:10" s="177" customFormat="1">
      <c r="A42" s="212" t="s">
        <v>446</v>
      </c>
      <c r="B42" s="212" t="s">
        <v>496</v>
      </c>
      <c r="C42" s="212" t="s">
        <v>497</v>
      </c>
      <c r="D42" s="212" t="s">
        <v>70</v>
      </c>
      <c r="E42" s="213" t="s">
        <v>498</v>
      </c>
      <c r="F42" s="214" t="s">
        <v>499</v>
      </c>
      <c r="G42" s="213" t="s">
        <v>500</v>
      </c>
      <c r="H42" s="215" t="s">
        <v>501</v>
      </c>
      <c r="I42" s="178"/>
      <c r="J42" s="178"/>
    </row>
    <row r="43" spans="1:10" s="177" customFormat="1" ht="51" customHeight="1">
      <c r="A43" s="537" t="s">
        <v>339</v>
      </c>
      <c r="B43" s="540" t="s">
        <v>502</v>
      </c>
      <c r="C43" s="543" t="s">
        <v>503</v>
      </c>
      <c r="D43" s="546" t="str">
        <f>B8</f>
        <v>Current Practice</v>
      </c>
      <c r="E43" s="258" t="s">
        <v>541</v>
      </c>
      <c r="F43" s="217" t="s">
        <v>505</v>
      </c>
      <c r="G43" s="530">
        <v>2006</v>
      </c>
      <c r="H43" s="530" t="s">
        <v>506</v>
      </c>
      <c r="I43" s="178"/>
      <c r="J43" s="178"/>
    </row>
    <row r="44" spans="1:10" s="177" customFormat="1">
      <c r="A44" s="538"/>
      <c r="B44" s="541"/>
      <c r="C44" s="544"/>
      <c r="D44" s="547"/>
      <c r="E44" s="218"/>
      <c r="F44" s="219"/>
      <c r="G44" s="531"/>
      <c r="H44" s="531"/>
      <c r="I44" s="178"/>
      <c r="J44" s="178"/>
    </row>
    <row r="45" spans="1:10" s="177" customFormat="1">
      <c r="A45" s="539"/>
      <c r="B45" s="542"/>
      <c r="C45" s="545"/>
      <c r="D45" s="547"/>
      <c r="E45" s="220"/>
      <c r="F45" s="221"/>
      <c r="G45" s="532"/>
      <c r="H45" s="532"/>
      <c r="I45" s="178"/>
      <c r="J45" s="178"/>
    </row>
    <row r="46" spans="1:10" ht="12.75" customHeight="1">
      <c r="A46" s="527" t="s">
        <v>339</v>
      </c>
      <c r="B46" s="514" t="s">
        <v>507</v>
      </c>
      <c r="C46" s="517" t="s">
        <v>371</v>
      </c>
      <c r="D46" s="547"/>
      <c r="E46" s="220"/>
      <c r="F46" s="221"/>
      <c r="G46" s="533"/>
      <c r="H46" s="524" t="s">
        <v>508</v>
      </c>
    </row>
    <row r="47" spans="1:10" ht="12.75" customHeight="1">
      <c r="A47" s="528"/>
      <c r="B47" s="515"/>
      <c r="C47" s="518"/>
      <c r="D47" s="547"/>
      <c r="E47" s="220"/>
      <c r="F47" s="221"/>
      <c r="G47" s="534"/>
      <c r="H47" s="525"/>
    </row>
    <row r="48" spans="1:10">
      <c r="A48" s="529"/>
      <c r="B48" s="516"/>
      <c r="C48" s="519"/>
      <c r="D48" s="547"/>
      <c r="E48" s="220"/>
      <c r="F48" s="221"/>
      <c r="G48" s="535"/>
      <c r="H48" s="526"/>
    </row>
    <row r="49" spans="1:8" ht="12.75" customHeight="1">
      <c r="A49" s="527" t="s">
        <v>339</v>
      </c>
      <c r="B49" s="514" t="s">
        <v>509</v>
      </c>
      <c r="C49" s="517" t="s">
        <v>371</v>
      </c>
      <c r="D49" s="547"/>
      <c r="E49" s="220"/>
      <c r="F49" s="221"/>
      <c r="G49" s="533"/>
      <c r="H49" s="524" t="s">
        <v>508</v>
      </c>
    </row>
    <row r="50" spans="1:8" ht="12.75" customHeight="1">
      <c r="A50" s="528"/>
      <c r="B50" s="515"/>
      <c r="C50" s="518"/>
      <c r="D50" s="547"/>
      <c r="E50" s="220"/>
      <c r="F50" s="221"/>
      <c r="G50" s="534"/>
      <c r="H50" s="525"/>
    </row>
    <row r="51" spans="1:8">
      <c r="A51" s="529"/>
      <c r="B51" s="516"/>
      <c r="C51" s="519"/>
      <c r="D51" s="547"/>
      <c r="E51" s="220"/>
      <c r="F51" s="221"/>
      <c r="G51" s="535"/>
      <c r="H51" s="526"/>
    </row>
    <row r="52" spans="1:8" ht="12.75" customHeight="1">
      <c r="A52" s="527" t="s">
        <v>339</v>
      </c>
      <c r="B52" s="514" t="s">
        <v>510</v>
      </c>
      <c r="C52" s="517" t="s">
        <v>371</v>
      </c>
      <c r="D52" s="547"/>
      <c r="E52" s="220"/>
      <c r="F52" s="221"/>
      <c r="G52" s="533"/>
      <c r="H52" s="524" t="s">
        <v>508</v>
      </c>
    </row>
    <row r="53" spans="1:8" ht="12.75" customHeight="1">
      <c r="A53" s="528"/>
      <c r="B53" s="515"/>
      <c r="C53" s="518"/>
      <c r="D53" s="547"/>
      <c r="E53" s="220"/>
      <c r="F53" s="221"/>
      <c r="G53" s="534"/>
      <c r="H53" s="525"/>
    </row>
    <row r="54" spans="1:8">
      <c r="A54" s="529"/>
      <c r="B54" s="516"/>
      <c r="C54" s="519"/>
      <c r="D54" s="547"/>
      <c r="E54" s="220"/>
      <c r="F54" s="221"/>
      <c r="G54" s="535"/>
      <c r="H54" s="526"/>
    </row>
    <row r="55" spans="1:8" ht="27" customHeight="1">
      <c r="A55" s="223" t="s">
        <v>339</v>
      </c>
      <c r="B55" s="224" t="s">
        <v>514</v>
      </c>
      <c r="C55" s="225"/>
      <c r="D55" s="548"/>
      <c r="E55" s="226"/>
      <c r="F55" s="227"/>
      <c r="G55" s="228"/>
      <c r="H55" s="229"/>
    </row>
    <row r="56" spans="1:8">
      <c r="A56" s="230"/>
      <c r="B56" s="231"/>
      <c r="C56" s="231"/>
      <c r="D56" s="232"/>
      <c r="E56" s="233"/>
      <c r="F56" s="233"/>
      <c r="G56" s="194"/>
      <c r="H56" s="234"/>
    </row>
    <row r="57" spans="1:8">
      <c r="A57" s="235" t="s">
        <v>515</v>
      </c>
      <c r="H57" s="236"/>
    </row>
    <row r="58" spans="1:8">
      <c r="A58" s="237" t="s">
        <v>446</v>
      </c>
      <c r="B58" s="237"/>
      <c r="C58" s="237" t="s">
        <v>497</v>
      </c>
      <c r="D58" s="238" t="s">
        <v>70</v>
      </c>
      <c r="E58" s="237" t="s">
        <v>498</v>
      </c>
      <c r="F58" s="239"/>
      <c r="G58" s="237"/>
      <c r="H58" s="240" t="s">
        <v>501</v>
      </c>
    </row>
    <row r="59" spans="1:8" ht="94.5" customHeight="1">
      <c r="A59" s="514" t="s">
        <v>339</v>
      </c>
      <c r="B59" s="241"/>
      <c r="C59" s="517" t="s">
        <v>516</v>
      </c>
      <c r="D59" s="520" t="str">
        <f>B8</f>
        <v>Current Practice</v>
      </c>
      <c r="E59" s="221" t="s">
        <v>517</v>
      </c>
      <c r="F59" s="242"/>
      <c r="G59" s="243"/>
      <c r="H59" s="523" t="s">
        <v>518</v>
      </c>
    </row>
    <row r="60" spans="1:8" ht="67.5" customHeight="1">
      <c r="A60" s="515"/>
      <c r="B60" s="244"/>
      <c r="C60" s="518"/>
      <c r="D60" s="521"/>
      <c r="E60" s="221" t="s">
        <v>519</v>
      </c>
      <c r="F60" s="242"/>
      <c r="G60" s="245"/>
      <c r="H60" s="523"/>
    </row>
    <row r="61" spans="1:8" ht="43.5" customHeight="1">
      <c r="A61" s="515"/>
      <c r="B61" s="244"/>
      <c r="C61" s="518"/>
      <c r="D61" s="521"/>
      <c r="E61" s="246"/>
      <c r="F61" s="242"/>
      <c r="G61" s="245"/>
      <c r="H61" s="523"/>
    </row>
    <row r="62" spans="1:8" ht="75.75" customHeight="1">
      <c r="A62" s="516"/>
      <c r="B62" s="247"/>
      <c r="C62" s="519"/>
      <c r="D62" s="522"/>
      <c r="E62" s="246"/>
      <c r="F62" s="248"/>
      <c r="G62" s="249"/>
      <c r="H62" s="523"/>
    </row>
    <row r="63" spans="1:8">
      <c r="F63" s="236"/>
      <c r="H63" s="236"/>
    </row>
    <row r="64" spans="1:8">
      <c r="F64" s="236"/>
      <c r="H64" s="236"/>
    </row>
    <row r="65" spans="6:8">
      <c r="F65" s="236"/>
      <c r="H65" s="236"/>
    </row>
    <row r="66" spans="6:8">
      <c r="F66" s="236"/>
      <c r="H66" s="236"/>
    </row>
    <row r="67" spans="6:8">
      <c r="F67" s="236"/>
      <c r="H67" s="236"/>
    </row>
    <row r="68" spans="6:8">
      <c r="F68" s="236"/>
      <c r="H68" s="236"/>
    </row>
    <row r="69" spans="6:8">
      <c r="F69" s="236"/>
      <c r="H69" s="236"/>
    </row>
    <row r="70" spans="6:8">
      <c r="F70" s="236"/>
      <c r="H70" s="236"/>
    </row>
    <row r="71" spans="6:8">
      <c r="F71" s="236"/>
      <c r="H71" s="236"/>
    </row>
    <row r="72" spans="6:8">
      <c r="F72" s="236"/>
      <c r="H72" s="236"/>
    </row>
    <row r="73" spans="6:8">
      <c r="F73" s="236"/>
      <c r="H73" s="236"/>
    </row>
    <row r="74" spans="6:8">
      <c r="F74" s="236"/>
      <c r="H74" s="236"/>
    </row>
    <row r="75" spans="6:8">
      <c r="F75" s="250"/>
      <c r="H75" s="236"/>
    </row>
    <row r="76" spans="6:8">
      <c r="F76" s="250"/>
      <c r="H76" s="236"/>
    </row>
    <row r="77" spans="6:8">
      <c r="H77" s="236"/>
    </row>
    <row r="78" spans="6:8">
      <c r="H78" s="236"/>
    </row>
    <row r="79" spans="6:8">
      <c r="H79" s="250"/>
    </row>
    <row r="80" spans="6:8">
      <c r="H80" s="250"/>
    </row>
  </sheetData>
  <mergeCells count="68">
    <mergeCell ref="B16:D16"/>
    <mergeCell ref="A1:C1"/>
    <mergeCell ref="A3:D3"/>
    <mergeCell ref="B7:D7"/>
    <mergeCell ref="B8:D8"/>
    <mergeCell ref="B9:D9"/>
    <mergeCell ref="B10:D10"/>
    <mergeCell ref="B11:D11"/>
    <mergeCell ref="B12:D12"/>
    <mergeCell ref="B13:D13"/>
    <mergeCell ref="B14:D14"/>
    <mergeCell ref="B15:D15"/>
    <mergeCell ref="B19:D19"/>
    <mergeCell ref="E19:F19"/>
    <mergeCell ref="B20:D20"/>
    <mergeCell ref="E20:F20"/>
    <mergeCell ref="B23:D23"/>
    <mergeCell ref="E23:F23"/>
    <mergeCell ref="B24:D24"/>
    <mergeCell ref="E24:F24"/>
    <mergeCell ref="B25:D25"/>
    <mergeCell ref="E25:F25"/>
    <mergeCell ref="B26:D26"/>
    <mergeCell ref="E26:F26"/>
    <mergeCell ref="B27:D27"/>
    <mergeCell ref="E27:F27"/>
    <mergeCell ref="B28:D28"/>
    <mergeCell ref="E28:F28"/>
    <mergeCell ref="B29:D29"/>
    <mergeCell ref="E29:F29"/>
    <mergeCell ref="B30:D30"/>
    <mergeCell ref="E30:F30"/>
    <mergeCell ref="B31:D31"/>
    <mergeCell ref="E31:F31"/>
    <mergeCell ref="B32:D32"/>
    <mergeCell ref="E32:F32"/>
    <mergeCell ref="B33:D33"/>
    <mergeCell ref="E33:F33"/>
    <mergeCell ref="A37:A39"/>
    <mergeCell ref="C37:C39"/>
    <mergeCell ref="E37:E39"/>
    <mergeCell ref="F37:F39"/>
    <mergeCell ref="G37:G39"/>
    <mergeCell ref="A43:A45"/>
    <mergeCell ref="B43:B45"/>
    <mergeCell ref="C43:C45"/>
    <mergeCell ref="D43:D55"/>
    <mergeCell ref="G43:G45"/>
    <mergeCell ref="A49:A51"/>
    <mergeCell ref="B49:B51"/>
    <mergeCell ref="C49:C51"/>
    <mergeCell ref="G49:G51"/>
    <mergeCell ref="H43:H45"/>
    <mergeCell ref="A46:A48"/>
    <mergeCell ref="B46:B48"/>
    <mergeCell ref="C46:C48"/>
    <mergeCell ref="G46:G48"/>
    <mergeCell ref="H46:H48"/>
    <mergeCell ref="A59:A62"/>
    <mergeCell ref="C59:C62"/>
    <mergeCell ref="D59:D62"/>
    <mergeCell ref="H59:H62"/>
    <mergeCell ref="H49:H51"/>
    <mergeCell ref="A52:A54"/>
    <mergeCell ref="B52:B54"/>
    <mergeCell ref="C52:C54"/>
    <mergeCell ref="G52:G54"/>
    <mergeCell ref="H52:H54"/>
  </mergeCells>
  <dataValidations count="6">
    <dataValidation type="list" allowBlank="1" showInputMessage="1" showErrorMessage="1" sqref="B8">
      <formula1>Baseline</formula1>
    </dataValidation>
    <dataValidation type="list" allowBlank="1" showInputMessage="1" showErrorMessage="1" sqref="B11">
      <formula1>Procedure</formula1>
    </dataValidation>
    <dataValidation type="list" allowBlank="1" showInputMessage="1" showErrorMessage="1" sqref="B10">
      <formula1>Category</formula1>
    </dataValidation>
    <dataValidation type="list" allowBlank="1" showInputMessage="1" showErrorMessage="1" sqref="B9">
      <formula1>Method</formula1>
    </dataValidation>
    <dataValidation type="list" allowBlank="1" showInputMessage="1" showErrorMessage="1" sqref="F59:F62">
      <formula1>LifetimeDataSourceTypes</formula1>
    </dataValidation>
    <dataValidation type="list" allowBlank="1" showInputMessage="1" showErrorMessage="1" sqref="F43:F55">
      <formula1>CostDataSourceTypes</formula1>
    </dataValidation>
  </dataValidations>
  <pageMargins left="0.7" right="0.7" top="0.75" bottom="0.75" header="0.3" footer="0.3"/>
  <pageSetup orientation="portrait" r:id="rId1"/>
  <legacyDrawing r:id="rId2"/>
</worksheet>
</file>

<file path=xl/worksheets/sheet12.xml><?xml version="1.0" encoding="utf-8"?>
<worksheet xmlns="http://schemas.openxmlformats.org/spreadsheetml/2006/main" xmlns:r="http://schemas.openxmlformats.org/officeDocument/2006/relationships">
  <sheetPr codeName="Sheet10">
    <tabColor theme="6"/>
  </sheetPr>
  <dimension ref="A1:J80"/>
  <sheetViews>
    <sheetView workbookViewId="0">
      <selection activeCell="B20" sqref="B20:D20"/>
    </sheetView>
  </sheetViews>
  <sheetFormatPr defaultRowHeight="12.75"/>
  <cols>
    <col min="1" max="2" width="22.28515625" style="203" customWidth="1"/>
    <col min="3" max="3" width="36" style="203" customWidth="1"/>
    <col min="4" max="4" width="38.140625" style="203" customWidth="1"/>
    <col min="5" max="5" width="34.140625" style="203" customWidth="1"/>
    <col min="6" max="6" width="35.85546875" style="203" customWidth="1"/>
    <col min="7" max="7" width="41.28515625" style="203" customWidth="1"/>
    <col min="8" max="8" width="35.85546875" style="203" customWidth="1"/>
    <col min="9" max="9" width="41.28515625" style="203" customWidth="1"/>
    <col min="10" max="10" width="9.140625" style="203"/>
    <col min="11" max="16384" width="9.140625" style="222"/>
  </cols>
  <sheetData>
    <row r="1" spans="1:10" s="177" customFormat="1">
      <c r="A1" s="590" t="s">
        <v>424</v>
      </c>
      <c r="B1" s="590"/>
      <c r="C1" s="590"/>
      <c r="D1" s="174"/>
      <c r="E1" s="175"/>
      <c r="F1" s="175"/>
      <c r="G1" s="176"/>
      <c r="H1" s="176"/>
      <c r="I1" s="176"/>
      <c r="J1" s="176"/>
    </row>
    <row r="2" spans="1:10" s="177" customFormat="1" ht="12.75" customHeight="1">
      <c r="A2" s="178"/>
      <c r="B2" s="178"/>
      <c r="C2" s="178"/>
      <c r="D2" s="178"/>
      <c r="E2" s="178"/>
      <c r="F2" s="178"/>
      <c r="G2" s="178"/>
      <c r="H2" s="178"/>
      <c r="I2" s="178"/>
      <c r="J2" s="178"/>
    </row>
    <row r="3" spans="1:10" s="177" customFormat="1">
      <c r="A3" s="579" t="s">
        <v>425</v>
      </c>
      <c r="B3" s="580"/>
      <c r="C3" s="580"/>
      <c r="D3" s="581"/>
      <c r="G3" s="178"/>
      <c r="H3" s="178"/>
      <c r="I3" s="178"/>
      <c r="J3" s="178"/>
    </row>
    <row r="4" spans="1:10" s="177" customFormat="1">
      <c r="A4" s="179" t="s">
        <v>426</v>
      </c>
      <c r="B4" s="180" t="s">
        <v>427</v>
      </c>
      <c r="C4" s="181"/>
      <c r="D4" s="182"/>
      <c r="G4" s="178"/>
      <c r="H4" s="178"/>
      <c r="I4" s="178"/>
      <c r="J4" s="178"/>
    </row>
    <row r="5" spans="1:10" s="177" customFormat="1">
      <c r="A5" s="179" t="s">
        <v>428</v>
      </c>
      <c r="B5" s="183" t="s">
        <v>429</v>
      </c>
      <c r="C5" s="184"/>
      <c r="D5" s="185"/>
      <c r="G5" s="178"/>
      <c r="H5" s="178"/>
      <c r="I5" s="178"/>
      <c r="J5" s="178"/>
    </row>
    <row r="6" spans="1:10" s="177" customFormat="1">
      <c r="A6" s="186" t="s">
        <v>182</v>
      </c>
      <c r="B6" s="187" t="s">
        <v>951</v>
      </c>
      <c r="C6" s="181"/>
      <c r="D6" s="182"/>
      <c r="G6" s="178"/>
      <c r="H6" s="178"/>
      <c r="I6" s="178"/>
      <c r="J6" s="178"/>
    </row>
    <row r="7" spans="1:10" s="177" customFormat="1">
      <c r="A7" s="186" t="s">
        <v>431</v>
      </c>
      <c r="B7" s="575" t="s">
        <v>952</v>
      </c>
      <c r="C7" s="576"/>
      <c r="D7" s="577"/>
      <c r="G7" s="178"/>
      <c r="H7" s="178"/>
      <c r="I7" s="178"/>
      <c r="J7" s="178"/>
    </row>
    <row r="8" spans="1:10" s="177" customFormat="1" ht="16.5" customHeight="1">
      <c r="A8" s="186" t="s">
        <v>70</v>
      </c>
      <c r="B8" s="575" t="s">
        <v>433</v>
      </c>
      <c r="C8" s="576"/>
      <c r="D8" s="577"/>
      <c r="G8" s="178"/>
      <c r="H8" s="178"/>
      <c r="I8" s="178"/>
      <c r="J8" s="178"/>
    </row>
    <row r="9" spans="1:10" s="177" customFormat="1" ht="16.5" customHeight="1">
      <c r="A9" s="186" t="s">
        <v>434</v>
      </c>
      <c r="B9" s="575" t="s">
        <v>435</v>
      </c>
      <c r="C9" s="576"/>
      <c r="D9" s="577"/>
      <c r="G9" s="178"/>
      <c r="H9" s="178"/>
      <c r="I9" s="178"/>
      <c r="J9" s="178"/>
    </row>
    <row r="10" spans="1:10" s="177" customFormat="1" ht="16.5" customHeight="1">
      <c r="A10" s="186" t="s">
        <v>181</v>
      </c>
      <c r="B10" s="575" t="s">
        <v>436</v>
      </c>
      <c r="C10" s="576"/>
      <c r="D10" s="577"/>
      <c r="G10" s="178"/>
      <c r="H10" s="178"/>
      <c r="I10" s="178"/>
      <c r="J10" s="178"/>
    </row>
    <row r="11" spans="1:10" s="177" customFormat="1" ht="16.5" customHeight="1">
      <c r="A11" s="186" t="s">
        <v>437</v>
      </c>
      <c r="B11" s="575" t="s">
        <v>438</v>
      </c>
      <c r="C11" s="576"/>
      <c r="D11" s="577"/>
      <c r="G11" s="178"/>
      <c r="H11" s="178"/>
      <c r="I11" s="178"/>
      <c r="J11" s="178"/>
    </row>
    <row r="12" spans="1:10" s="177" customFormat="1" ht="17.25" customHeight="1">
      <c r="A12" s="186" t="s">
        <v>439</v>
      </c>
      <c r="B12" s="582">
        <v>43312</v>
      </c>
      <c r="C12" s="583"/>
      <c r="D12" s="584"/>
      <c r="G12" s="178"/>
      <c r="H12" s="178"/>
      <c r="I12" s="178"/>
      <c r="J12" s="178"/>
    </row>
    <row r="13" spans="1:10" s="177" customFormat="1" ht="17.25" customHeight="1">
      <c r="A13" s="186" t="s">
        <v>440</v>
      </c>
      <c r="B13" s="582" t="s">
        <v>441</v>
      </c>
      <c r="C13" s="583"/>
      <c r="D13" s="584"/>
      <c r="G13" s="178"/>
      <c r="H13" s="178"/>
      <c r="I13" s="178"/>
      <c r="J13" s="178"/>
    </row>
    <row r="14" spans="1:10" s="177" customFormat="1" ht="18" customHeight="1">
      <c r="A14" s="186" t="s">
        <v>442</v>
      </c>
      <c r="B14" s="575" t="str">
        <f ca="1">MID(CELL("filename"),SEARCH("[",CELL("filename"))+1, SEARCH("]",CELL("filename"))-SEARCH("[",CELL("filename"))-1)</f>
        <v>COM-Cooking-7P_V5.xlsm</v>
      </c>
      <c r="C14" s="576"/>
      <c r="D14" s="577"/>
      <c r="G14" s="178"/>
      <c r="H14" s="178"/>
      <c r="I14" s="178"/>
      <c r="J14" s="178"/>
    </row>
    <row r="15" spans="1:10" s="177" customFormat="1" ht="18.75" customHeight="1">
      <c r="A15" s="179" t="s">
        <v>443</v>
      </c>
      <c r="B15" s="575" t="s">
        <v>527</v>
      </c>
      <c r="C15" s="576"/>
      <c r="D15" s="577"/>
      <c r="G15" s="178"/>
      <c r="H15" s="178"/>
      <c r="I15" s="178"/>
      <c r="J15" s="178"/>
    </row>
    <row r="16" spans="1:10" s="177" customFormat="1" ht="25.5" customHeight="1">
      <c r="A16" s="186" t="s">
        <v>445</v>
      </c>
      <c r="B16" s="575" t="e">
        <f>COUNTIF([2]MeasureTable!A8:A297,"*")&amp;" measure applications defined by 1 average Fryer size"</f>
        <v>#VALUE!</v>
      </c>
      <c r="C16" s="576"/>
      <c r="D16" s="577"/>
      <c r="G16" s="178"/>
      <c r="H16" s="178"/>
      <c r="I16" s="178"/>
      <c r="J16" s="178"/>
    </row>
    <row r="17" spans="1:10" s="177" customFormat="1">
      <c r="A17" s="188"/>
      <c r="B17" s="188"/>
      <c r="C17" s="189"/>
      <c r="G17" s="178"/>
      <c r="H17" s="178"/>
      <c r="I17" s="178"/>
      <c r="J17" s="178"/>
    </row>
    <row r="18" spans="1:10" s="177" customFormat="1">
      <c r="A18" s="190" t="s">
        <v>446</v>
      </c>
      <c r="B18" s="191"/>
      <c r="C18" s="191"/>
      <c r="D18" s="191"/>
      <c r="E18" s="191"/>
      <c r="F18" s="191"/>
      <c r="G18" s="178"/>
      <c r="H18" s="178"/>
      <c r="I18" s="178"/>
      <c r="J18" s="178"/>
    </row>
    <row r="19" spans="1:10" s="177" customFormat="1">
      <c r="A19" s="190" t="s">
        <v>447</v>
      </c>
      <c r="B19" s="564" t="s">
        <v>448</v>
      </c>
      <c r="C19" s="565"/>
      <c r="D19" s="566"/>
      <c r="E19" s="567" t="s">
        <v>449</v>
      </c>
      <c r="F19" s="567"/>
      <c r="G19" s="178"/>
      <c r="H19" s="178"/>
      <c r="I19" s="178"/>
      <c r="J19" s="178"/>
    </row>
    <row r="20" spans="1:10" s="177" customFormat="1" ht="94.5" customHeight="1">
      <c r="A20" s="342" t="s">
        <v>182</v>
      </c>
      <c r="B20" s="568" t="s">
        <v>393</v>
      </c>
      <c r="C20" s="569"/>
      <c r="D20" s="570"/>
      <c r="E20" s="561" t="s">
        <v>953</v>
      </c>
      <c r="F20" s="561"/>
      <c r="G20" s="178"/>
      <c r="H20" s="178"/>
      <c r="I20" s="178"/>
      <c r="J20" s="178"/>
    </row>
    <row r="21" spans="1:10" s="177" customFormat="1">
      <c r="A21" s="188"/>
      <c r="B21" s="188"/>
      <c r="C21" s="189"/>
      <c r="G21" s="178"/>
      <c r="H21" s="178"/>
      <c r="I21" s="178"/>
      <c r="J21" s="178"/>
    </row>
    <row r="22" spans="1:10" s="177" customFormat="1">
      <c r="A22" s="193" t="s">
        <v>453</v>
      </c>
      <c r="B22" s="194"/>
      <c r="C22" s="194"/>
      <c r="D22" s="194"/>
      <c r="E22" s="194"/>
      <c r="F22" s="194"/>
      <c r="G22" s="178"/>
      <c r="H22" s="178"/>
      <c r="I22" s="178"/>
      <c r="J22" s="178"/>
    </row>
    <row r="23" spans="1:10" s="177" customFormat="1">
      <c r="A23" s="195" t="s">
        <v>454</v>
      </c>
      <c r="B23" s="571" t="s">
        <v>448</v>
      </c>
      <c r="C23" s="572"/>
      <c r="D23" s="573"/>
      <c r="E23" s="574" t="s">
        <v>449</v>
      </c>
      <c r="F23" s="574"/>
      <c r="G23" s="178"/>
      <c r="H23" s="178"/>
      <c r="I23" s="178"/>
      <c r="J23" s="178"/>
    </row>
    <row r="24" spans="1:10" s="177" customFormat="1" ht="150" customHeight="1">
      <c r="A24" s="196" t="s">
        <v>455</v>
      </c>
      <c r="B24" s="563">
        <f>'[12]HOU Averages'!$B$51</f>
        <v>4771.8962253193968</v>
      </c>
      <c r="C24" s="562"/>
      <c r="D24" s="553"/>
      <c r="E24" s="552" t="s">
        <v>456</v>
      </c>
      <c r="F24" s="553"/>
      <c r="G24" s="176"/>
      <c r="H24" s="176"/>
      <c r="I24" s="176"/>
      <c r="J24" s="176"/>
    </row>
    <row r="25" spans="1:10" s="177" customFormat="1" ht="21.75" customHeight="1">
      <c r="A25" s="352" t="s">
        <v>457</v>
      </c>
      <c r="B25" s="552">
        <v>15</v>
      </c>
      <c r="C25" s="562"/>
      <c r="D25" s="553"/>
      <c r="E25" s="552" t="s">
        <v>458</v>
      </c>
      <c r="F25" s="553"/>
      <c r="G25" s="178"/>
      <c r="H25" s="178"/>
      <c r="I25" s="178"/>
      <c r="J25" s="178"/>
    </row>
    <row r="26" spans="1:10" s="177" customFormat="1" ht="25.5">
      <c r="A26" s="352" t="s">
        <v>459</v>
      </c>
      <c r="B26" s="552">
        <v>1</v>
      </c>
      <c r="C26" s="562"/>
      <c r="D26" s="553"/>
      <c r="E26" s="552" t="s">
        <v>458</v>
      </c>
      <c r="F26" s="553"/>
      <c r="G26" s="176"/>
      <c r="H26" s="176"/>
      <c r="I26" s="176"/>
      <c r="J26" s="176"/>
    </row>
    <row r="27" spans="1:10" s="177" customFormat="1" ht="51.75" customHeight="1">
      <c r="A27" s="353" t="s">
        <v>954</v>
      </c>
      <c r="B27" s="552" t="s">
        <v>955</v>
      </c>
      <c r="C27" s="562"/>
      <c r="D27" s="553"/>
      <c r="E27" s="552" t="s">
        <v>462</v>
      </c>
      <c r="F27" s="553"/>
      <c r="G27" s="178"/>
      <c r="H27" s="178"/>
      <c r="I27" s="178"/>
      <c r="J27" s="178"/>
    </row>
    <row r="28" spans="1:10" s="177" customFormat="1" ht="50.25" customHeight="1">
      <c r="A28" s="352" t="s">
        <v>463</v>
      </c>
      <c r="B28" s="552" t="s">
        <v>956</v>
      </c>
      <c r="C28" s="562"/>
      <c r="D28" s="553"/>
      <c r="E28" s="552" t="s">
        <v>462</v>
      </c>
      <c r="F28" s="553"/>
      <c r="G28" s="178"/>
      <c r="H28" s="178"/>
      <c r="I28" s="178"/>
      <c r="J28" s="178"/>
    </row>
    <row r="29" spans="1:10" s="177" customFormat="1" ht="50.25" customHeight="1">
      <c r="A29" s="352" t="s">
        <v>464</v>
      </c>
      <c r="B29" s="552" t="s">
        <v>957</v>
      </c>
      <c r="C29" s="562"/>
      <c r="D29" s="553"/>
      <c r="E29" s="552" t="s">
        <v>462</v>
      </c>
      <c r="F29" s="553"/>
      <c r="G29" s="178"/>
      <c r="H29" s="178"/>
      <c r="I29" s="178"/>
      <c r="J29" s="178"/>
    </row>
    <row r="30" spans="1:10" s="177" customFormat="1" ht="55.5" customHeight="1">
      <c r="A30" s="353" t="s">
        <v>465</v>
      </c>
      <c r="B30" s="552" t="s">
        <v>958</v>
      </c>
      <c r="C30" s="562"/>
      <c r="D30" s="553"/>
      <c r="E30" s="552" t="s">
        <v>462</v>
      </c>
      <c r="F30" s="553"/>
      <c r="G30" s="176"/>
      <c r="H30" s="176"/>
      <c r="I30" s="176"/>
      <c r="J30" s="176"/>
    </row>
    <row r="31" spans="1:10" s="177" customFormat="1" ht="44.25" customHeight="1">
      <c r="A31" s="353" t="s">
        <v>466</v>
      </c>
      <c r="B31" s="552">
        <v>150</v>
      </c>
      <c r="C31" s="562"/>
      <c r="D31" s="553"/>
      <c r="E31" s="552" t="s">
        <v>462</v>
      </c>
      <c r="F31" s="553"/>
      <c r="G31" s="176"/>
      <c r="H31" s="176"/>
      <c r="I31" s="176"/>
      <c r="J31" s="176"/>
    </row>
    <row r="32" spans="1:10" s="177" customFormat="1" ht="25.5">
      <c r="A32" s="352" t="s">
        <v>467</v>
      </c>
      <c r="B32" s="552" t="s">
        <v>959</v>
      </c>
      <c r="C32" s="562"/>
      <c r="D32" s="553"/>
      <c r="E32" s="552" t="s">
        <v>960</v>
      </c>
      <c r="F32" s="553"/>
      <c r="G32" s="176"/>
      <c r="H32" s="176"/>
      <c r="I32" s="176"/>
      <c r="J32" s="176"/>
    </row>
    <row r="33" spans="1:10" s="177" customFormat="1" ht="68.25" customHeight="1">
      <c r="A33" s="196" t="s">
        <v>470</v>
      </c>
      <c r="B33" s="588">
        <v>0.15</v>
      </c>
      <c r="C33" s="562"/>
      <c r="D33" s="553"/>
      <c r="E33" s="552" t="s">
        <v>532</v>
      </c>
      <c r="F33" s="553"/>
      <c r="G33" s="176"/>
      <c r="H33" s="176"/>
      <c r="I33" s="176"/>
      <c r="J33" s="176"/>
    </row>
    <row r="34" spans="1:10" s="177" customFormat="1">
      <c r="A34" s="188"/>
      <c r="B34" s="188"/>
      <c r="C34" s="189"/>
      <c r="G34" s="178"/>
      <c r="H34" s="178"/>
      <c r="I34" s="178"/>
      <c r="J34" s="178"/>
    </row>
    <row r="35" spans="1:10" s="177" customFormat="1">
      <c r="A35" s="199" t="s">
        <v>472</v>
      </c>
      <c r="B35" s="200"/>
      <c r="C35" s="201"/>
      <c r="D35" s="202"/>
      <c r="E35" s="202"/>
      <c r="F35" s="202"/>
      <c r="G35" s="203"/>
      <c r="H35" s="202"/>
      <c r="I35" s="203"/>
      <c r="J35" s="178"/>
    </row>
    <row r="36" spans="1:10" s="177" customFormat="1" ht="25.5">
      <c r="A36" s="204" t="s">
        <v>446</v>
      </c>
      <c r="B36" s="204" t="s">
        <v>473</v>
      </c>
      <c r="C36" s="204" t="s">
        <v>474</v>
      </c>
      <c r="D36" s="204" t="s">
        <v>475</v>
      </c>
      <c r="E36" s="204" t="s">
        <v>70</v>
      </c>
      <c r="F36" s="204" t="s">
        <v>476</v>
      </c>
      <c r="G36" s="204" t="s">
        <v>477</v>
      </c>
      <c r="H36" s="204" t="s">
        <v>478</v>
      </c>
      <c r="I36" s="204" t="s">
        <v>479</v>
      </c>
      <c r="J36" s="178"/>
    </row>
    <row r="37" spans="1:10" s="177" customFormat="1" ht="105.75" customHeight="1">
      <c r="A37" s="591" t="s">
        <v>393</v>
      </c>
      <c r="B37" s="347" t="s">
        <v>534</v>
      </c>
      <c r="C37" s="558" t="s">
        <v>961</v>
      </c>
      <c r="D37" s="347" t="s">
        <v>483</v>
      </c>
      <c r="E37" s="561" t="str">
        <f>B8</f>
        <v>Current Practice</v>
      </c>
      <c r="F37" s="561" t="s">
        <v>962</v>
      </c>
      <c r="G37" s="561" t="s">
        <v>963</v>
      </c>
      <c r="H37" s="354" t="s">
        <v>964</v>
      </c>
      <c r="I37" s="206" t="s">
        <v>965</v>
      </c>
      <c r="J37" s="178"/>
    </row>
    <row r="38" spans="1:10" s="177" customFormat="1" ht="105.75" customHeight="1">
      <c r="A38" s="592"/>
      <c r="B38" s="207" t="s">
        <v>540</v>
      </c>
      <c r="C38" s="559"/>
      <c r="D38" s="207" t="s">
        <v>488</v>
      </c>
      <c r="E38" s="561"/>
      <c r="F38" s="561"/>
      <c r="G38" s="561"/>
      <c r="H38" s="354" t="s">
        <v>966</v>
      </c>
      <c r="I38" s="206" t="s">
        <v>967</v>
      </c>
      <c r="J38" s="178"/>
    </row>
    <row r="39" spans="1:10" s="177" customFormat="1" ht="105.75" customHeight="1">
      <c r="A39" s="593"/>
      <c r="B39" s="207" t="s">
        <v>460</v>
      </c>
      <c r="C39" s="560"/>
      <c r="D39" s="207" t="s">
        <v>489</v>
      </c>
      <c r="E39" s="561"/>
      <c r="F39" s="561"/>
      <c r="G39" s="561"/>
      <c r="H39" s="354" t="s">
        <v>968</v>
      </c>
      <c r="I39" s="206" t="s">
        <v>969</v>
      </c>
      <c r="J39" s="178"/>
    </row>
    <row r="40" spans="1:10" s="177" customFormat="1">
      <c r="A40" s="188"/>
      <c r="B40" s="188"/>
      <c r="C40" s="189"/>
      <c r="G40" s="178"/>
      <c r="H40" s="178"/>
      <c r="I40" s="178"/>
      <c r="J40" s="178"/>
    </row>
    <row r="41" spans="1:10" s="177" customFormat="1">
      <c r="A41" s="210" t="s">
        <v>495</v>
      </c>
      <c r="B41" s="211"/>
      <c r="G41" s="178"/>
      <c r="H41" s="178"/>
      <c r="I41" s="178"/>
      <c r="J41" s="178"/>
    </row>
    <row r="42" spans="1:10" s="177" customFormat="1">
      <c r="A42" s="212" t="s">
        <v>446</v>
      </c>
      <c r="B42" s="212" t="s">
        <v>496</v>
      </c>
      <c r="C42" s="212" t="s">
        <v>497</v>
      </c>
      <c r="D42" s="212" t="s">
        <v>70</v>
      </c>
      <c r="E42" s="213" t="s">
        <v>498</v>
      </c>
      <c r="F42" s="214" t="s">
        <v>499</v>
      </c>
      <c r="G42" s="213" t="s">
        <v>500</v>
      </c>
      <c r="H42" s="215" t="s">
        <v>501</v>
      </c>
      <c r="I42" s="178"/>
      <c r="J42" s="178"/>
    </row>
    <row r="43" spans="1:10" s="177" customFormat="1" ht="51" customHeight="1">
      <c r="A43" s="537" t="s">
        <v>339</v>
      </c>
      <c r="B43" s="540" t="s">
        <v>502</v>
      </c>
      <c r="C43" s="543" t="s">
        <v>503</v>
      </c>
      <c r="D43" s="546" t="str">
        <f>B8</f>
        <v>Current Practice</v>
      </c>
      <c r="E43" s="258" t="s">
        <v>970</v>
      </c>
      <c r="F43" s="217" t="s">
        <v>505</v>
      </c>
      <c r="G43" s="530">
        <v>2006</v>
      </c>
      <c r="H43" s="530" t="s">
        <v>506</v>
      </c>
      <c r="I43" s="178"/>
      <c r="J43" s="178"/>
    </row>
    <row r="44" spans="1:10" s="177" customFormat="1">
      <c r="A44" s="538"/>
      <c r="B44" s="541"/>
      <c r="C44" s="544"/>
      <c r="D44" s="547"/>
      <c r="E44" s="218"/>
      <c r="F44" s="219"/>
      <c r="G44" s="531"/>
      <c r="H44" s="531"/>
      <c r="I44" s="178"/>
      <c r="J44" s="178"/>
    </row>
    <row r="45" spans="1:10" s="177" customFormat="1">
      <c r="A45" s="539"/>
      <c r="B45" s="542"/>
      <c r="C45" s="545"/>
      <c r="D45" s="547"/>
      <c r="E45" s="220"/>
      <c r="F45" s="221"/>
      <c r="G45" s="532"/>
      <c r="H45" s="532"/>
      <c r="I45" s="178"/>
      <c r="J45" s="178"/>
    </row>
    <row r="46" spans="1:10" ht="12.75" customHeight="1">
      <c r="A46" s="527" t="s">
        <v>339</v>
      </c>
      <c r="B46" s="514" t="s">
        <v>507</v>
      </c>
      <c r="C46" s="517" t="s">
        <v>371</v>
      </c>
      <c r="D46" s="547"/>
      <c r="E46" s="220"/>
      <c r="F46" s="221"/>
      <c r="G46" s="533"/>
      <c r="H46" s="524" t="s">
        <v>508</v>
      </c>
    </row>
    <row r="47" spans="1:10" ht="12.75" customHeight="1">
      <c r="A47" s="528"/>
      <c r="B47" s="515"/>
      <c r="C47" s="518"/>
      <c r="D47" s="547"/>
      <c r="E47" s="220"/>
      <c r="F47" s="221"/>
      <c r="G47" s="534"/>
      <c r="H47" s="525"/>
    </row>
    <row r="48" spans="1:10">
      <c r="A48" s="529"/>
      <c r="B48" s="516"/>
      <c r="C48" s="519"/>
      <c r="D48" s="547"/>
      <c r="E48" s="220"/>
      <c r="F48" s="221"/>
      <c r="G48" s="535"/>
      <c r="H48" s="526"/>
    </row>
    <row r="49" spans="1:8" ht="12.75" customHeight="1">
      <c r="A49" s="527" t="s">
        <v>339</v>
      </c>
      <c r="B49" s="514" t="s">
        <v>509</v>
      </c>
      <c r="C49" s="517" t="s">
        <v>371</v>
      </c>
      <c r="D49" s="547"/>
      <c r="E49" s="220"/>
      <c r="F49" s="221"/>
      <c r="G49" s="533"/>
      <c r="H49" s="524" t="s">
        <v>508</v>
      </c>
    </row>
    <row r="50" spans="1:8" ht="12.75" customHeight="1">
      <c r="A50" s="528"/>
      <c r="B50" s="515"/>
      <c r="C50" s="518"/>
      <c r="D50" s="547"/>
      <c r="E50" s="220"/>
      <c r="F50" s="221"/>
      <c r="G50" s="534"/>
      <c r="H50" s="525"/>
    </row>
    <row r="51" spans="1:8">
      <c r="A51" s="529"/>
      <c r="B51" s="516"/>
      <c r="C51" s="519"/>
      <c r="D51" s="547"/>
      <c r="E51" s="220"/>
      <c r="F51" s="221"/>
      <c r="G51" s="535"/>
      <c r="H51" s="526"/>
    </row>
    <row r="52" spans="1:8" ht="12.75" customHeight="1">
      <c r="A52" s="527" t="s">
        <v>339</v>
      </c>
      <c r="B52" s="514" t="s">
        <v>510</v>
      </c>
      <c r="C52" s="517" t="s">
        <v>371</v>
      </c>
      <c r="D52" s="547"/>
      <c r="E52" s="220"/>
      <c r="F52" s="221"/>
      <c r="G52" s="533"/>
      <c r="H52" s="524" t="s">
        <v>508</v>
      </c>
    </row>
    <row r="53" spans="1:8" ht="12.75" customHeight="1">
      <c r="A53" s="528"/>
      <c r="B53" s="515"/>
      <c r="C53" s="518"/>
      <c r="D53" s="547"/>
      <c r="E53" s="220"/>
      <c r="F53" s="221"/>
      <c r="G53" s="534"/>
      <c r="H53" s="525"/>
    </row>
    <row r="54" spans="1:8">
      <c r="A54" s="529"/>
      <c r="B54" s="516"/>
      <c r="C54" s="519"/>
      <c r="D54" s="547"/>
      <c r="E54" s="220"/>
      <c r="F54" s="221"/>
      <c r="G54" s="535"/>
      <c r="H54" s="526"/>
    </row>
    <row r="55" spans="1:8" ht="27" customHeight="1">
      <c r="A55" s="345" t="s">
        <v>339</v>
      </c>
      <c r="B55" s="224" t="s">
        <v>514</v>
      </c>
      <c r="C55" s="225"/>
      <c r="D55" s="548"/>
      <c r="E55" s="226"/>
      <c r="F55" s="227"/>
      <c r="G55" s="228"/>
      <c r="H55" s="229"/>
    </row>
    <row r="56" spans="1:8">
      <c r="A56" s="344"/>
      <c r="B56" s="231"/>
      <c r="C56" s="231"/>
      <c r="D56" s="232"/>
      <c r="E56" s="233"/>
      <c r="F56" s="233"/>
      <c r="G56" s="194"/>
      <c r="H56" s="234"/>
    </row>
    <row r="57" spans="1:8">
      <c r="A57" s="235" t="s">
        <v>515</v>
      </c>
      <c r="H57" s="236"/>
    </row>
    <row r="58" spans="1:8">
      <c r="A58" s="237" t="s">
        <v>446</v>
      </c>
      <c r="B58" s="237"/>
      <c r="C58" s="237" t="s">
        <v>497</v>
      </c>
      <c r="D58" s="238" t="s">
        <v>70</v>
      </c>
      <c r="E58" s="237" t="s">
        <v>498</v>
      </c>
      <c r="F58" s="239"/>
      <c r="G58" s="237"/>
      <c r="H58" s="240" t="s">
        <v>501</v>
      </c>
    </row>
    <row r="59" spans="1:8" ht="93" customHeight="1">
      <c r="A59" s="514" t="s">
        <v>339</v>
      </c>
      <c r="B59" s="241"/>
      <c r="C59" s="517" t="s">
        <v>971</v>
      </c>
      <c r="D59" s="520" t="str">
        <f>B8</f>
        <v>Current Practice</v>
      </c>
      <c r="E59" s="221" t="s">
        <v>517</v>
      </c>
      <c r="F59" s="242"/>
      <c r="G59" s="243"/>
      <c r="H59" s="523" t="s">
        <v>518</v>
      </c>
    </row>
    <row r="60" spans="1:8" ht="67.5" customHeight="1">
      <c r="A60" s="515"/>
      <c r="B60" s="244"/>
      <c r="C60" s="518"/>
      <c r="D60" s="521"/>
      <c r="E60" s="221" t="s">
        <v>519</v>
      </c>
      <c r="F60" s="242"/>
      <c r="G60" s="245"/>
      <c r="H60" s="523"/>
    </row>
    <row r="61" spans="1:8" ht="43.5" customHeight="1">
      <c r="A61" s="515"/>
      <c r="B61" s="244"/>
      <c r="C61" s="518"/>
      <c r="D61" s="521"/>
      <c r="E61" s="246"/>
      <c r="F61" s="242"/>
      <c r="G61" s="245"/>
      <c r="H61" s="523"/>
    </row>
    <row r="62" spans="1:8" ht="75.75" customHeight="1">
      <c r="A62" s="516"/>
      <c r="B62" s="247"/>
      <c r="C62" s="519"/>
      <c r="D62" s="522"/>
      <c r="E62" s="246"/>
      <c r="F62" s="248"/>
      <c r="G62" s="249"/>
      <c r="H62" s="523"/>
    </row>
    <row r="63" spans="1:8">
      <c r="F63" s="236"/>
      <c r="H63" s="236"/>
    </row>
    <row r="64" spans="1:8">
      <c r="F64" s="236"/>
      <c r="H64" s="236"/>
    </row>
    <row r="65" spans="6:8">
      <c r="F65" s="236"/>
      <c r="H65" s="236"/>
    </row>
    <row r="66" spans="6:8">
      <c r="F66" s="236"/>
      <c r="H66" s="236"/>
    </row>
    <row r="67" spans="6:8">
      <c r="F67" s="236"/>
      <c r="H67" s="236"/>
    </row>
    <row r="68" spans="6:8">
      <c r="F68" s="236"/>
      <c r="H68" s="236"/>
    </row>
    <row r="69" spans="6:8">
      <c r="F69" s="236"/>
      <c r="H69" s="236"/>
    </row>
    <row r="70" spans="6:8">
      <c r="F70" s="236"/>
      <c r="H70" s="236"/>
    </row>
    <row r="71" spans="6:8">
      <c r="F71" s="236"/>
      <c r="H71" s="236"/>
    </row>
    <row r="72" spans="6:8">
      <c r="F72" s="236"/>
      <c r="H72" s="236"/>
    </row>
    <row r="73" spans="6:8">
      <c r="F73" s="236"/>
      <c r="H73" s="236"/>
    </row>
    <row r="74" spans="6:8">
      <c r="F74" s="236"/>
      <c r="H74" s="236"/>
    </row>
    <row r="75" spans="6:8">
      <c r="F75" s="250"/>
      <c r="H75" s="236"/>
    </row>
    <row r="76" spans="6:8">
      <c r="F76" s="250"/>
      <c r="H76" s="236"/>
    </row>
    <row r="77" spans="6:8">
      <c r="H77" s="236"/>
    </row>
    <row r="78" spans="6:8">
      <c r="H78" s="236"/>
    </row>
    <row r="79" spans="6:8">
      <c r="H79" s="250"/>
    </row>
    <row r="80" spans="6:8">
      <c r="H80" s="250"/>
    </row>
  </sheetData>
  <mergeCells count="68">
    <mergeCell ref="A59:A62"/>
    <mergeCell ref="C59:C62"/>
    <mergeCell ref="D59:D62"/>
    <mergeCell ref="H59:H62"/>
    <mergeCell ref="H49:H51"/>
    <mergeCell ref="A52:A54"/>
    <mergeCell ref="B52:B54"/>
    <mergeCell ref="C52:C54"/>
    <mergeCell ref="G52:G54"/>
    <mergeCell ref="H52:H54"/>
    <mergeCell ref="H43:H45"/>
    <mergeCell ref="A46:A48"/>
    <mergeCell ref="B46:B48"/>
    <mergeCell ref="C46:C48"/>
    <mergeCell ref="G46:G48"/>
    <mergeCell ref="H46:H48"/>
    <mergeCell ref="G37:G39"/>
    <mergeCell ref="A43:A45"/>
    <mergeCell ref="B43:B45"/>
    <mergeCell ref="C43:C45"/>
    <mergeCell ref="D43:D55"/>
    <mergeCell ref="G43:G45"/>
    <mergeCell ref="A49:A51"/>
    <mergeCell ref="B49:B51"/>
    <mergeCell ref="C49:C51"/>
    <mergeCell ref="G49:G51"/>
    <mergeCell ref="B33:D33"/>
    <mergeCell ref="E33:F33"/>
    <mergeCell ref="A37:A39"/>
    <mergeCell ref="C37:C39"/>
    <mergeCell ref="E37:E39"/>
    <mergeCell ref="F37:F39"/>
    <mergeCell ref="B30:D30"/>
    <mergeCell ref="E30:F30"/>
    <mergeCell ref="B31:D31"/>
    <mergeCell ref="E31:F31"/>
    <mergeCell ref="B32:D32"/>
    <mergeCell ref="E32:F32"/>
    <mergeCell ref="B27:D27"/>
    <mergeCell ref="E27:F27"/>
    <mergeCell ref="B28:D28"/>
    <mergeCell ref="E28:F28"/>
    <mergeCell ref="B29:D29"/>
    <mergeCell ref="E29:F29"/>
    <mergeCell ref="B24:D24"/>
    <mergeCell ref="E24:F24"/>
    <mergeCell ref="B25:D25"/>
    <mergeCell ref="E25:F25"/>
    <mergeCell ref="B26:D26"/>
    <mergeCell ref="E26:F26"/>
    <mergeCell ref="B19:D19"/>
    <mergeCell ref="E19:F19"/>
    <mergeCell ref="B20:D20"/>
    <mergeCell ref="E20:F20"/>
    <mergeCell ref="B23:D23"/>
    <mergeCell ref="E23:F23"/>
    <mergeCell ref="B16:D16"/>
    <mergeCell ref="A1:C1"/>
    <mergeCell ref="A3:D3"/>
    <mergeCell ref="B7:D7"/>
    <mergeCell ref="B8:D8"/>
    <mergeCell ref="B9:D9"/>
    <mergeCell ref="B10:D10"/>
    <mergeCell ref="B11:D11"/>
    <mergeCell ref="B12:D12"/>
    <mergeCell ref="B13:D13"/>
    <mergeCell ref="B14:D14"/>
    <mergeCell ref="B15:D15"/>
  </mergeCells>
  <dataValidations count="6">
    <dataValidation type="list" allowBlank="1" showInputMessage="1" showErrorMessage="1" sqref="B8">
      <formula1>bb</formula1>
    </dataValidation>
    <dataValidation type="list" allowBlank="1" showInputMessage="1" showErrorMessage="1" sqref="B11">
      <formula1>pp</formula1>
    </dataValidation>
    <dataValidation type="list" allowBlank="1" showInputMessage="1" showErrorMessage="1" sqref="B10">
      <formula1>Category</formula1>
    </dataValidation>
    <dataValidation type="list" allowBlank="1" showInputMessage="1" showErrorMessage="1" sqref="B9">
      <formula1>Method</formula1>
    </dataValidation>
    <dataValidation type="list" allowBlank="1" showInputMessage="1" showErrorMessage="1" sqref="F59:F62">
      <formula1>LifetimeDataSourceTypes</formula1>
    </dataValidation>
    <dataValidation type="list" allowBlank="1" showInputMessage="1" showErrorMessage="1" sqref="F43:F55">
      <formula1>CostDataSourceTypes</formula1>
    </dataValidation>
  </dataValidation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sheetPr codeName="Sheet13">
    <tabColor theme="6"/>
  </sheetPr>
  <dimension ref="A1:H54"/>
  <sheetViews>
    <sheetView workbookViewId="0">
      <selection activeCell="E10" sqref="E10"/>
    </sheetView>
  </sheetViews>
  <sheetFormatPr defaultRowHeight="12.75"/>
  <cols>
    <col min="1" max="2" width="22.28515625" customWidth="1"/>
    <col min="3" max="3" width="36" customWidth="1"/>
    <col min="4" max="4" width="38.140625" customWidth="1"/>
    <col min="5" max="5" width="34.140625" customWidth="1"/>
    <col min="6" max="6" width="35.85546875" customWidth="1"/>
    <col min="7" max="7" width="41.28515625" customWidth="1"/>
    <col min="8" max="8" width="35.85546875" customWidth="1"/>
  </cols>
  <sheetData>
    <row r="1" spans="1:8">
      <c r="A1" s="590" t="s">
        <v>424</v>
      </c>
      <c r="B1" s="590"/>
      <c r="C1" s="590"/>
      <c r="D1" s="174"/>
      <c r="E1" s="175"/>
      <c r="F1" s="175"/>
      <c r="G1" s="176"/>
      <c r="H1" s="176"/>
    </row>
    <row r="2" spans="1:8">
      <c r="A2" s="178"/>
      <c r="B2" s="178"/>
      <c r="C2" s="178"/>
      <c r="D2" s="178"/>
      <c r="E2" s="178"/>
      <c r="F2" s="178"/>
      <c r="G2" s="178"/>
      <c r="H2" s="178"/>
    </row>
    <row r="3" spans="1:8">
      <c r="A3" s="579" t="s">
        <v>425</v>
      </c>
      <c r="B3" s="580"/>
      <c r="C3" s="580"/>
      <c r="D3" s="581"/>
      <c r="E3" s="177"/>
      <c r="F3" s="177"/>
      <c r="G3" s="178"/>
      <c r="H3" s="178"/>
    </row>
    <row r="4" spans="1:8">
      <c r="A4" s="179" t="s">
        <v>426</v>
      </c>
      <c r="B4" s="180" t="s">
        <v>427</v>
      </c>
      <c r="C4" s="181"/>
      <c r="D4" s="182"/>
      <c r="E4" s="177"/>
      <c r="F4" s="177"/>
      <c r="G4" s="178"/>
      <c r="H4" s="178"/>
    </row>
    <row r="5" spans="1:8">
      <c r="A5" s="179" t="s">
        <v>428</v>
      </c>
      <c r="B5" s="183" t="s">
        <v>429</v>
      </c>
      <c r="C5" s="184"/>
      <c r="D5" s="185"/>
      <c r="E5" s="177"/>
      <c r="F5" s="177"/>
      <c r="G5" s="178"/>
      <c r="H5" s="178"/>
    </row>
    <row r="6" spans="1:8">
      <c r="A6" s="186" t="s">
        <v>182</v>
      </c>
      <c r="B6" s="187" t="s">
        <v>972</v>
      </c>
      <c r="C6" s="181"/>
      <c r="D6" s="182"/>
      <c r="E6" s="177"/>
      <c r="F6" s="177"/>
      <c r="G6" s="178"/>
      <c r="H6" s="178"/>
    </row>
    <row r="7" spans="1:8">
      <c r="A7" s="186" t="s">
        <v>431</v>
      </c>
      <c r="B7" s="575" t="s">
        <v>973</v>
      </c>
      <c r="C7" s="576"/>
      <c r="D7" s="577"/>
      <c r="E7" s="177"/>
      <c r="F7" s="177"/>
      <c r="G7" s="178"/>
      <c r="H7" s="178"/>
    </row>
    <row r="8" spans="1:8">
      <c r="A8" s="186" t="s">
        <v>70</v>
      </c>
      <c r="B8" s="575" t="s">
        <v>433</v>
      </c>
      <c r="C8" s="576"/>
      <c r="D8" s="577"/>
      <c r="E8" s="177"/>
      <c r="F8" s="177"/>
      <c r="G8" s="178"/>
      <c r="H8" s="178"/>
    </row>
    <row r="9" spans="1:8">
      <c r="A9" s="186" t="s">
        <v>434</v>
      </c>
      <c r="B9" s="575" t="s">
        <v>435</v>
      </c>
      <c r="C9" s="576"/>
      <c r="D9" s="577"/>
      <c r="E9" s="177"/>
      <c r="F9" s="177"/>
      <c r="G9" s="178"/>
      <c r="H9" s="178"/>
    </row>
    <row r="10" spans="1:8">
      <c r="A10" s="186" t="s">
        <v>181</v>
      </c>
      <c r="B10" s="575" t="s">
        <v>436</v>
      </c>
      <c r="C10" s="576"/>
      <c r="D10" s="577"/>
      <c r="E10" s="177"/>
      <c r="F10" s="177"/>
      <c r="G10" s="178"/>
      <c r="H10" s="178"/>
    </row>
    <row r="11" spans="1:8">
      <c r="A11" s="186" t="s">
        <v>437</v>
      </c>
      <c r="B11" s="575" t="s">
        <v>438</v>
      </c>
      <c r="C11" s="576"/>
      <c r="D11" s="577"/>
      <c r="E11" s="177"/>
      <c r="F11" s="177"/>
      <c r="G11" s="178"/>
      <c r="H11" s="178"/>
    </row>
    <row r="12" spans="1:8">
      <c r="A12" s="186" t="s">
        <v>439</v>
      </c>
      <c r="B12" s="582">
        <v>43312</v>
      </c>
      <c r="C12" s="583"/>
      <c r="D12" s="584"/>
      <c r="E12" s="177"/>
      <c r="F12" s="177"/>
      <c r="G12" s="178"/>
      <c r="H12" s="178"/>
    </row>
    <row r="13" spans="1:8">
      <c r="A13" s="186" t="s">
        <v>440</v>
      </c>
      <c r="B13" s="582" t="s">
        <v>441</v>
      </c>
      <c r="C13" s="583"/>
      <c r="D13" s="584"/>
      <c r="E13" s="177"/>
      <c r="F13" s="177"/>
      <c r="G13" s="178"/>
      <c r="H13" s="178"/>
    </row>
    <row r="14" spans="1:8">
      <c r="A14" s="186" t="s">
        <v>442</v>
      </c>
      <c r="B14" s="575" t="str">
        <f ca="1">MID(CELL("filename"),SEARCH("[",CELL("filename"))+1, SEARCH("]",CELL("filename"))-SEARCH("[",CELL("filename"))-1)</f>
        <v>COM-Cooking-7P_V5.xlsm</v>
      </c>
      <c r="C14" s="576"/>
      <c r="D14" s="577"/>
      <c r="E14" s="177"/>
      <c r="F14" s="177"/>
      <c r="G14" s="178"/>
      <c r="H14" s="178"/>
    </row>
    <row r="15" spans="1:8">
      <c r="A15" s="179" t="s">
        <v>443</v>
      </c>
      <c r="B15" s="575" t="s">
        <v>527</v>
      </c>
      <c r="C15" s="576"/>
      <c r="D15" s="577"/>
      <c r="E15" s="177"/>
      <c r="F15" s="177"/>
      <c r="G15" s="178"/>
      <c r="H15" s="178"/>
    </row>
    <row r="16" spans="1:8" ht="25.5">
      <c r="A16" s="186" t="s">
        <v>445</v>
      </c>
      <c r="B16" s="575" t="e">
        <f>COUNTIF([13]MeasureTable!A8:A298,"*")&amp;" measure applications defined by 2 cabinet sizes"</f>
        <v>#VALUE!</v>
      </c>
      <c r="C16" s="576"/>
      <c r="D16" s="577"/>
      <c r="E16" s="177"/>
      <c r="F16" s="177"/>
      <c r="G16" s="178"/>
      <c r="H16" s="178"/>
    </row>
    <row r="17" spans="1:8">
      <c r="A17" s="188"/>
      <c r="B17" s="188"/>
      <c r="C17" s="189"/>
      <c r="D17" s="177"/>
      <c r="E17" s="177"/>
      <c r="F17" s="177"/>
      <c r="G17" s="178"/>
      <c r="H17" s="178"/>
    </row>
    <row r="18" spans="1:8">
      <c r="A18" s="190" t="s">
        <v>446</v>
      </c>
      <c r="B18" s="191"/>
      <c r="C18" s="191"/>
      <c r="D18" s="191"/>
      <c r="E18" s="191"/>
      <c r="F18" s="191"/>
      <c r="G18" s="178"/>
      <c r="H18" s="178"/>
    </row>
    <row r="19" spans="1:8">
      <c r="A19" s="190" t="s">
        <v>447</v>
      </c>
      <c r="B19" s="564" t="s">
        <v>448</v>
      </c>
      <c r="C19" s="565"/>
      <c r="D19" s="566"/>
      <c r="E19" s="567" t="s">
        <v>449</v>
      </c>
      <c r="F19" s="567"/>
      <c r="G19" s="178"/>
      <c r="H19" s="178"/>
    </row>
    <row r="20" spans="1:8">
      <c r="A20" s="342" t="s">
        <v>974</v>
      </c>
      <c r="B20" s="568" t="s">
        <v>975</v>
      </c>
      <c r="C20" s="569"/>
      <c r="D20" s="570"/>
      <c r="E20" s="561" t="s">
        <v>976</v>
      </c>
      <c r="F20" s="561"/>
      <c r="G20" s="178"/>
      <c r="H20" s="178"/>
    </row>
    <row r="21" spans="1:8">
      <c r="A21" s="188"/>
      <c r="B21" s="188"/>
      <c r="C21" s="189"/>
      <c r="D21" s="177"/>
      <c r="E21" s="177"/>
      <c r="F21" s="177"/>
      <c r="G21" s="178"/>
      <c r="H21" s="178"/>
    </row>
    <row r="22" spans="1:8">
      <c r="A22" s="193" t="s">
        <v>453</v>
      </c>
      <c r="B22" s="194"/>
      <c r="C22" s="194"/>
      <c r="D22" s="194"/>
      <c r="E22" s="194"/>
      <c r="F22" s="194"/>
      <c r="G22" s="178"/>
      <c r="H22" s="178"/>
    </row>
    <row r="23" spans="1:8">
      <c r="A23" s="195" t="s">
        <v>454</v>
      </c>
      <c r="B23" s="571" t="s">
        <v>448</v>
      </c>
      <c r="C23" s="572"/>
      <c r="D23" s="573"/>
      <c r="E23" s="574" t="s">
        <v>449</v>
      </c>
      <c r="F23" s="574"/>
      <c r="G23" s="178"/>
      <c r="H23" s="178"/>
    </row>
    <row r="24" spans="1:8" ht="25.5">
      <c r="A24" s="196" t="s">
        <v>455</v>
      </c>
      <c r="B24" s="594">
        <f>'[12]HOU Averages'!$B$54</f>
        <v>2689.126735714286</v>
      </c>
      <c r="C24" s="595"/>
      <c r="D24" s="596"/>
      <c r="E24" s="552" t="s">
        <v>977</v>
      </c>
      <c r="F24" s="553"/>
      <c r="G24" s="176"/>
      <c r="H24" s="176"/>
    </row>
    <row r="25" spans="1:8">
      <c r="A25" s="196" t="s">
        <v>470</v>
      </c>
      <c r="B25" s="588" t="s">
        <v>978</v>
      </c>
      <c r="C25" s="562"/>
      <c r="D25" s="553"/>
      <c r="E25" s="552" t="s">
        <v>979</v>
      </c>
      <c r="F25" s="553"/>
      <c r="G25" s="176"/>
      <c r="H25" s="176"/>
    </row>
    <row r="26" spans="1:8">
      <c r="A26" s="188"/>
      <c r="B26" s="188"/>
      <c r="C26" s="189"/>
      <c r="D26" s="177"/>
      <c r="E26" s="177"/>
      <c r="F26" s="177"/>
      <c r="G26" s="178"/>
      <c r="H26" s="178"/>
    </row>
    <row r="27" spans="1:8">
      <c r="A27" s="199" t="s">
        <v>472</v>
      </c>
      <c r="B27" s="200"/>
      <c r="C27" s="201"/>
      <c r="D27" s="202"/>
      <c r="E27" s="202"/>
      <c r="F27" s="202"/>
      <c r="G27" s="203"/>
      <c r="H27" s="202"/>
    </row>
    <row r="28" spans="1:8" ht="25.5">
      <c r="A28" s="204" t="s">
        <v>446</v>
      </c>
      <c r="B28" s="204" t="s">
        <v>473</v>
      </c>
      <c r="C28" s="204" t="s">
        <v>474</v>
      </c>
      <c r="D28" s="204" t="s">
        <v>475</v>
      </c>
      <c r="E28" s="204" t="s">
        <v>70</v>
      </c>
      <c r="F28" s="204" t="s">
        <v>476</v>
      </c>
      <c r="G28" s="204" t="s">
        <v>477</v>
      </c>
      <c r="H28" s="204" t="s">
        <v>478</v>
      </c>
    </row>
    <row r="29" spans="1:8">
      <c r="A29" s="554" t="s">
        <v>980</v>
      </c>
      <c r="B29" s="597" t="s">
        <v>481</v>
      </c>
      <c r="C29" s="558" t="s">
        <v>981</v>
      </c>
      <c r="D29" s="558" t="s">
        <v>982</v>
      </c>
      <c r="E29" s="554" t="str">
        <f>B8</f>
        <v>Current Practice</v>
      </c>
      <c r="F29" s="585" t="s">
        <v>983</v>
      </c>
      <c r="G29" s="585" t="s">
        <v>984</v>
      </c>
      <c r="H29" s="599" t="s">
        <v>985</v>
      </c>
    </row>
    <row r="30" spans="1:8">
      <c r="A30" s="556"/>
      <c r="B30" s="598"/>
      <c r="C30" s="560"/>
      <c r="D30" s="560"/>
      <c r="E30" s="556"/>
      <c r="F30" s="587"/>
      <c r="G30" s="587"/>
      <c r="H30" s="600"/>
    </row>
    <row r="31" spans="1:8">
      <c r="A31" s="188"/>
      <c r="B31" s="188"/>
      <c r="C31" s="189"/>
      <c r="D31" s="177"/>
      <c r="E31" s="177"/>
      <c r="F31" s="177"/>
      <c r="G31" s="178"/>
      <c r="H31" s="178"/>
    </row>
    <row r="32" spans="1:8">
      <c r="A32" s="210" t="s">
        <v>495</v>
      </c>
      <c r="B32" s="211"/>
      <c r="C32" s="177"/>
      <c r="D32" s="177"/>
      <c r="E32" s="177"/>
      <c r="F32" s="177"/>
      <c r="G32" s="178"/>
      <c r="H32" s="178"/>
    </row>
    <row r="33" spans="1:8">
      <c r="A33" s="212" t="s">
        <v>446</v>
      </c>
      <c r="B33" s="212" t="s">
        <v>496</v>
      </c>
      <c r="C33" s="212" t="s">
        <v>497</v>
      </c>
      <c r="D33" s="212" t="s">
        <v>70</v>
      </c>
      <c r="E33" s="213" t="s">
        <v>498</v>
      </c>
      <c r="F33" s="214" t="s">
        <v>499</v>
      </c>
      <c r="G33" s="213" t="s">
        <v>500</v>
      </c>
      <c r="H33" s="215" t="s">
        <v>501</v>
      </c>
    </row>
    <row r="34" spans="1:8" ht="51">
      <c r="A34" s="537" t="s">
        <v>339</v>
      </c>
      <c r="B34" s="540" t="s">
        <v>502</v>
      </c>
      <c r="C34" s="543" t="s">
        <v>986</v>
      </c>
      <c r="D34" s="546" t="str">
        <f>B8</f>
        <v>Current Practice</v>
      </c>
      <c r="E34" s="258" t="s">
        <v>970</v>
      </c>
      <c r="F34" s="217" t="s">
        <v>505</v>
      </c>
      <c r="G34" s="530">
        <v>2006</v>
      </c>
      <c r="H34" s="530" t="s">
        <v>506</v>
      </c>
    </row>
    <row r="35" spans="1:8">
      <c r="A35" s="538"/>
      <c r="B35" s="541"/>
      <c r="C35" s="544"/>
      <c r="D35" s="547"/>
      <c r="E35" s="218"/>
      <c r="F35" s="219"/>
      <c r="G35" s="531"/>
      <c r="H35" s="531"/>
    </row>
    <row r="36" spans="1:8">
      <c r="A36" s="539"/>
      <c r="B36" s="542"/>
      <c r="C36" s="545"/>
      <c r="D36" s="547"/>
      <c r="E36" s="220"/>
      <c r="F36" s="221"/>
      <c r="G36" s="532"/>
      <c r="H36" s="532"/>
    </row>
    <row r="37" spans="1:8">
      <c r="A37" s="527" t="s">
        <v>339</v>
      </c>
      <c r="B37" s="514" t="s">
        <v>507</v>
      </c>
      <c r="C37" s="517" t="s">
        <v>371</v>
      </c>
      <c r="D37" s="547"/>
      <c r="E37" s="220"/>
      <c r="F37" s="221"/>
      <c r="G37" s="533"/>
      <c r="H37" s="524" t="s">
        <v>508</v>
      </c>
    </row>
    <row r="38" spans="1:8">
      <c r="A38" s="528"/>
      <c r="B38" s="515"/>
      <c r="C38" s="518"/>
      <c r="D38" s="547"/>
      <c r="E38" s="220"/>
      <c r="F38" s="221"/>
      <c r="G38" s="534"/>
      <c r="H38" s="525"/>
    </row>
    <row r="39" spans="1:8">
      <c r="A39" s="529"/>
      <c r="B39" s="516"/>
      <c r="C39" s="519"/>
      <c r="D39" s="547"/>
      <c r="E39" s="220"/>
      <c r="F39" s="221"/>
      <c r="G39" s="535"/>
      <c r="H39" s="526"/>
    </row>
    <row r="40" spans="1:8">
      <c r="A40" s="527" t="s">
        <v>339</v>
      </c>
      <c r="B40" s="514" t="s">
        <v>509</v>
      </c>
      <c r="C40" s="517" t="s">
        <v>371</v>
      </c>
      <c r="D40" s="547"/>
      <c r="E40" s="220"/>
      <c r="F40" s="221"/>
      <c r="G40" s="533"/>
      <c r="H40" s="524" t="s">
        <v>508</v>
      </c>
    </row>
    <row r="41" spans="1:8">
      <c r="A41" s="528"/>
      <c r="B41" s="515"/>
      <c r="C41" s="518"/>
      <c r="D41" s="547"/>
      <c r="E41" s="220"/>
      <c r="F41" s="221"/>
      <c r="G41" s="534"/>
      <c r="H41" s="525"/>
    </row>
    <row r="42" spans="1:8">
      <c r="A42" s="529"/>
      <c r="B42" s="516"/>
      <c r="C42" s="519"/>
      <c r="D42" s="547"/>
      <c r="E42" s="220"/>
      <c r="F42" s="221"/>
      <c r="G42" s="535"/>
      <c r="H42" s="526"/>
    </row>
    <row r="43" spans="1:8">
      <c r="A43" s="527" t="s">
        <v>339</v>
      </c>
      <c r="B43" s="514" t="s">
        <v>510</v>
      </c>
      <c r="C43" s="517" t="s">
        <v>371</v>
      </c>
      <c r="D43" s="547"/>
      <c r="E43" s="220"/>
      <c r="F43" s="221"/>
      <c r="G43" s="533"/>
      <c r="H43" s="524" t="s">
        <v>508</v>
      </c>
    </row>
    <row r="44" spans="1:8">
      <c r="A44" s="528"/>
      <c r="B44" s="515"/>
      <c r="C44" s="518"/>
      <c r="D44" s="547"/>
      <c r="E44" s="220"/>
      <c r="F44" s="221"/>
      <c r="G44" s="534"/>
      <c r="H44" s="525"/>
    </row>
    <row r="45" spans="1:8">
      <c r="A45" s="529"/>
      <c r="B45" s="516"/>
      <c r="C45" s="519"/>
      <c r="D45" s="547"/>
      <c r="E45" s="220"/>
      <c r="F45" s="221"/>
      <c r="G45" s="535"/>
      <c r="H45" s="526"/>
    </row>
    <row r="46" spans="1:8" ht="25.5">
      <c r="A46" s="345" t="s">
        <v>339</v>
      </c>
      <c r="B46" s="224" t="s">
        <v>514</v>
      </c>
      <c r="C46" s="225"/>
      <c r="D46" s="548"/>
      <c r="E46" s="226"/>
      <c r="F46" s="227"/>
      <c r="G46" s="228"/>
      <c r="H46" s="229"/>
    </row>
    <row r="47" spans="1:8">
      <c r="A47" s="344"/>
      <c r="B47" s="231"/>
      <c r="C47" s="231"/>
      <c r="D47" s="232"/>
      <c r="E47" s="233"/>
      <c r="F47" s="233"/>
      <c r="G47" s="194"/>
      <c r="H47" s="234"/>
    </row>
    <row r="48" spans="1:8">
      <c r="A48" s="235" t="s">
        <v>515</v>
      </c>
      <c r="B48" s="203"/>
      <c r="C48" s="203"/>
      <c r="D48" s="203"/>
      <c r="E48" s="203"/>
      <c r="F48" s="203"/>
      <c r="G48" s="203"/>
      <c r="H48" s="236"/>
    </row>
    <row r="49" spans="1:8">
      <c r="A49" s="237" t="s">
        <v>446</v>
      </c>
      <c r="B49" s="237"/>
      <c r="C49" s="237" t="s">
        <v>497</v>
      </c>
      <c r="D49" s="238" t="s">
        <v>70</v>
      </c>
      <c r="E49" s="237" t="s">
        <v>498</v>
      </c>
      <c r="F49" s="239"/>
      <c r="G49" s="237"/>
      <c r="H49" s="240" t="s">
        <v>501</v>
      </c>
    </row>
    <row r="50" spans="1:8" ht="89.25">
      <c r="A50" s="514" t="s">
        <v>339</v>
      </c>
      <c r="B50" s="241"/>
      <c r="C50" s="543" t="s">
        <v>987</v>
      </c>
      <c r="D50" s="520" t="str">
        <f>B8</f>
        <v>Current Practice</v>
      </c>
      <c r="E50" s="221" t="s">
        <v>517</v>
      </c>
      <c r="F50" s="242"/>
      <c r="G50" s="243"/>
      <c r="H50" s="523" t="s">
        <v>518</v>
      </c>
    </row>
    <row r="51" spans="1:8" ht="25.5">
      <c r="A51" s="515"/>
      <c r="B51" s="244"/>
      <c r="C51" s="544"/>
      <c r="D51" s="521"/>
      <c r="E51" s="221" t="s">
        <v>988</v>
      </c>
      <c r="F51" s="242"/>
      <c r="G51" s="245"/>
      <c r="H51" s="523"/>
    </row>
    <row r="52" spans="1:8">
      <c r="A52" s="515"/>
      <c r="B52" s="244"/>
      <c r="C52" s="544"/>
      <c r="D52" s="521"/>
      <c r="E52" s="221" t="s">
        <v>519</v>
      </c>
      <c r="F52" s="242"/>
      <c r="G52" s="245"/>
      <c r="H52" s="523"/>
    </row>
    <row r="53" spans="1:8">
      <c r="A53" s="516"/>
      <c r="B53" s="247"/>
      <c r="C53" s="545"/>
      <c r="D53" s="522"/>
      <c r="E53" s="355" t="s">
        <v>527</v>
      </c>
      <c r="F53" s="248"/>
      <c r="G53" s="249"/>
      <c r="H53" s="523"/>
    </row>
    <row r="54" spans="1:8">
      <c r="A54" s="203"/>
      <c r="B54" s="203"/>
      <c r="C54" s="203"/>
      <c r="D54" s="203"/>
      <c r="E54" s="203"/>
      <c r="F54" s="236"/>
      <c r="G54" s="203"/>
      <c r="H54" s="236"/>
    </row>
  </sheetData>
  <mergeCells count="55">
    <mergeCell ref="A50:A53"/>
    <mergeCell ref="C50:C53"/>
    <mergeCell ref="D50:D53"/>
    <mergeCell ref="H50:H53"/>
    <mergeCell ref="C37:C39"/>
    <mergeCell ref="G37:G39"/>
    <mergeCell ref="H37:H39"/>
    <mergeCell ref="A40:A42"/>
    <mergeCell ref="B40:B42"/>
    <mergeCell ref="C40:C42"/>
    <mergeCell ref="G40:G42"/>
    <mergeCell ref="H40:H42"/>
    <mergeCell ref="A43:A45"/>
    <mergeCell ref="B43:B45"/>
    <mergeCell ref="C43:C45"/>
    <mergeCell ref="G43:G45"/>
    <mergeCell ref="G29:G30"/>
    <mergeCell ref="H29:H30"/>
    <mergeCell ref="A34:A36"/>
    <mergeCell ref="B34:B36"/>
    <mergeCell ref="C34:C36"/>
    <mergeCell ref="D34:D46"/>
    <mergeCell ref="G34:G36"/>
    <mergeCell ref="H34:H36"/>
    <mergeCell ref="A37:A39"/>
    <mergeCell ref="B37:B39"/>
    <mergeCell ref="H43:H45"/>
    <mergeCell ref="B24:D24"/>
    <mergeCell ref="E24:F24"/>
    <mergeCell ref="B25:D25"/>
    <mergeCell ref="E25:F25"/>
    <mergeCell ref="A29:A30"/>
    <mergeCell ref="B29:B30"/>
    <mergeCell ref="C29:C30"/>
    <mergeCell ref="D29:D30"/>
    <mergeCell ref="E29:E30"/>
    <mergeCell ref="F29:F30"/>
    <mergeCell ref="B19:D19"/>
    <mergeCell ref="E19:F19"/>
    <mergeCell ref="B20:D20"/>
    <mergeCell ref="E20:F20"/>
    <mergeCell ref="B23:D23"/>
    <mergeCell ref="E23:F23"/>
    <mergeCell ref="B16:D16"/>
    <mergeCell ref="A1:C1"/>
    <mergeCell ref="A3:D3"/>
    <mergeCell ref="B7:D7"/>
    <mergeCell ref="B8:D8"/>
    <mergeCell ref="B9:D9"/>
    <mergeCell ref="B10:D10"/>
    <mergeCell ref="B11:D11"/>
    <mergeCell ref="B12:D12"/>
    <mergeCell ref="B13:D13"/>
    <mergeCell ref="B14:D14"/>
    <mergeCell ref="B15:D15"/>
  </mergeCells>
  <dataValidations count="6">
    <dataValidation type="list" allowBlank="1" showInputMessage="1" showErrorMessage="1" sqref="B8">
      <formula1>Baseline</formula1>
    </dataValidation>
    <dataValidation type="list" allowBlank="1" showInputMessage="1" showErrorMessage="1" sqref="B11">
      <formula1>Procedure</formula1>
    </dataValidation>
    <dataValidation type="list" allowBlank="1" showInputMessage="1" showErrorMessage="1" sqref="B10">
      <formula1>Category</formula1>
    </dataValidation>
    <dataValidation type="list" allowBlank="1" showInputMessage="1" showErrorMessage="1" sqref="B9">
      <formula1>Method</formula1>
    </dataValidation>
    <dataValidation type="list" allowBlank="1" showInputMessage="1" showErrorMessage="1" sqref="F50:F53">
      <formula1>LifetimeDataSourceTypes</formula1>
    </dataValidation>
    <dataValidation type="list" allowBlank="1" showInputMessage="1" showErrorMessage="1" sqref="F34:F46">
      <formula1>CostDataSourceTypes</formula1>
    </dataValidation>
  </dataValidation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sheetPr codeName="Sheet14">
    <tabColor theme="6"/>
  </sheetPr>
  <dimension ref="A1:J81"/>
  <sheetViews>
    <sheetView workbookViewId="0">
      <selection activeCell="B15" sqref="B15:D15"/>
    </sheetView>
  </sheetViews>
  <sheetFormatPr defaultRowHeight="12.75"/>
  <cols>
    <col min="1" max="2" width="22.28515625" style="203" customWidth="1"/>
    <col min="3" max="3" width="36" style="203" customWidth="1"/>
    <col min="4" max="4" width="38.140625" style="203" customWidth="1"/>
    <col min="5" max="5" width="34.140625" style="203" customWidth="1"/>
    <col min="6" max="6" width="35.85546875" style="203" customWidth="1"/>
    <col min="7" max="7" width="41.28515625" style="203" customWidth="1"/>
    <col min="8" max="8" width="35.85546875" style="203" customWidth="1"/>
    <col min="9" max="9" width="41.28515625" style="203" customWidth="1"/>
    <col min="10" max="10" width="9.140625" style="203"/>
    <col min="11" max="16384" width="9.140625" style="222"/>
  </cols>
  <sheetData>
    <row r="1" spans="1:10" s="177" customFormat="1">
      <c r="A1" s="590" t="s">
        <v>424</v>
      </c>
      <c r="B1" s="590"/>
      <c r="C1" s="590"/>
      <c r="D1" s="174"/>
      <c r="E1" s="175"/>
      <c r="F1" s="175"/>
      <c r="G1" s="176"/>
      <c r="H1" s="176"/>
      <c r="I1" s="176"/>
      <c r="J1" s="176"/>
    </row>
    <row r="2" spans="1:10" s="177" customFormat="1">
      <c r="A2" s="178"/>
      <c r="B2" s="178"/>
      <c r="C2" s="178"/>
      <c r="D2" s="178"/>
      <c r="E2" s="178"/>
      <c r="F2" s="178"/>
      <c r="G2" s="178"/>
      <c r="H2" s="178"/>
      <c r="I2" s="178"/>
      <c r="J2" s="178"/>
    </row>
    <row r="3" spans="1:10" s="177" customFormat="1">
      <c r="A3" s="579" t="s">
        <v>425</v>
      </c>
      <c r="B3" s="580"/>
      <c r="C3" s="580"/>
      <c r="D3" s="581"/>
      <c r="G3" s="178"/>
      <c r="H3" s="178"/>
      <c r="I3" s="178"/>
      <c r="J3" s="178"/>
    </row>
    <row r="4" spans="1:10" s="177" customFormat="1">
      <c r="A4" s="179" t="s">
        <v>426</v>
      </c>
      <c r="B4" s="180" t="s">
        <v>427</v>
      </c>
      <c r="C4" s="181"/>
      <c r="D4" s="182"/>
      <c r="G4" s="178"/>
      <c r="H4" s="178"/>
      <c r="I4" s="178"/>
      <c r="J4" s="178"/>
    </row>
    <row r="5" spans="1:10" s="177" customFormat="1">
      <c r="A5" s="179" t="s">
        <v>428</v>
      </c>
      <c r="B5" s="183" t="s">
        <v>429</v>
      </c>
      <c r="C5" s="184"/>
      <c r="D5" s="185"/>
      <c r="G5" s="178"/>
      <c r="H5" s="178"/>
      <c r="I5" s="178"/>
      <c r="J5" s="178"/>
    </row>
    <row r="6" spans="1:10" s="177" customFormat="1">
      <c r="A6" s="186" t="s">
        <v>182</v>
      </c>
      <c r="B6" s="180" t="s">
        <v>989</v>
      </c>
      <c r="C6" s="181"/>
      <c r="D6" s="182"/>
      <c r="G6" s="178"/>
      <c r="H6" s="178"/>
      <c r="I6" s="178"/>
      <c r="J6" s="178"/>
    </row>
    <row r="7" spans="1:10" s="177" customFormat="1">
      <c r="A7" s="186" t="s">
        <v>431</v>
      </c>
      <c r="B7" s="575" t="s">
        <v>990</v>
      </c>
      <c r="C7" s="576"/>
      <c r="D7" s="577"/>
      <c r="G7" s="178"/>
      <c r="H7" s="178"/>
      <c r="I7" s="178"/>
      <c r="J7" s="178"/>
    </row>
    <row r="8" spans="1:10" s="177" customFormat="1" ht="16.5" customHeight="1">
      <c r="A8" s="186" t="s">
        <v>70</v>
      </c>
      <c r="B8" s="575" t="s">
        <v>433</v>
      </c>
      <c r="C8" s="576"/>
      <c r="D8" s="577"/>
      <c r="G8" s="178"/>
      <c r="H8" s="178"/>
      <c r="I8" s="178"/>
      <c r="J8" s="178"/>
    </row>
    <row r="9" spans="1:10" s="177" customFormat="1" ht="16.5" customHeight="1">
      <c r="A9" s="186" t="s">
        <v>434</v>
      </c>
      <c r="B9" s="575" t="s">
        <v>435</v>
      </c>
      <c r="C9" s="576"/>
      <c r="D9" s="577"/>
      <c r="G9" s="178"/>
      <c r="H9" s="178"/>
      <c r="I9" s="178"/>
      <c r="J9" s="178"/>
    </row>
    <row r="10" spans="1:10" s="177" customFormat="1" ht="16.5" customHeight="1">
      <c r="A10" s="186" t="s">
        <v>181</v>
      </c>
      <c r="B10" s="575" t="s">
        <v>436</v>
      </c>
      <c r="C10" s="576"/>
      <c r="D10" s="577"/>
      <c r="G10" s="178"/>
      <c r="H10" s="178"/>
      <c r="I10" s="178"/>
      <c r="J10" s="178"/>
    </row>
    <row r="11" spans="1:10" s="177" customFormat="1" ht="16.5" customHeight="1">
      <c r="A11" s="186" t="s">
        <v>437</v>
      </c>
      <c r="B11" s="575" t="s">
        <v>438</v>
      </c>
      <c r="C11" s="576"/>
      <c r="D11" s="577"/>
      <c r="G11" s="178"/>
      <c r="H11" s="178"/>
      <c r="I11" s="178"/>
      <c r="J11" s="178"/>
    </row>
    <row r="12" spans="1:10" s="177" customFormat="1" ht="17.25" customHeight="1">
      <c r="A12" s="186" t="s">
        <v>439</v>
      </c>
      <c r="B12" s="582">
        <v>43312</v>
      </c>
      <c r="C12" s="583"/>
      <c r="D12" s="584"/>
      <c r="G12" s="178"/>
      <c r="H12" s="178"/>
      <c r="I12" s="178"/>
      <c r="J12" s="178"/>
    </row>
    <row r="13" spans="1:10" s="177" customFormat="1" ht="17.25" customHeight="1">
      <c r="A13" s="186" t="s">
        <v>440</v>
      </c>
      <c r="B13" s="582" t="s">
        <v>441</v>
      </c>
      <c r="C13" s="583"/>
      <c r="D13" s="584"/>
      <c r="G13" s="178"/>
      <c r="H13" s="178"/>
      <c r="I13" s="178"/>
      <c r="J13" s="178"/>
    </row>
    <row r="14" spans="1:10" s="177" customFormat="1" ht="18" customHeight="1">
      <c r="A14" s="186" t="s">
        <v>442</v>
      </c>
      <c r="B14" s="575" t="str">
        <f ca="1">MID(CELL("filename"),SEARCH("[",CELL("filename"))+1, SEARCH("]",CELL("filename"))-SEARCH("[",CELL("filename"))-1)</f>
        <v>COM-Cooking-7P_V5.xlsm</v>
      </c>
      <c r="C14" s="576"/>
      <c r="D14" s="577"/>
      <c r="G14" s="178"/>
      <c r="H14" s="178"/>
      <c r="I14" s="178"/>
      <c r="J14" s="178"/>
    </row>
    <row r="15" spans="1:10" s="177" customFormat="1" ht="18.75" customHeight="1">
      <c r="A15" s="179" t="s">
        <v>443</v>
      </c>
      <c r="B15" s="575" t="s">
        <v>991</v>
      </c>
      <c r="C15" s="576"/>
      <c r="D15" s="577"/>
      <c r="G15" s="178"/>
      <c r="H15" s="178"/>
      <c r="I15" s="178"/>
      <c r="J15" s="178"/>
    </row>
    <row r="16" spans="1:10" s="177" customFormat="1" ht="25.5" customHeight="1">
      <c r="A16" s="186" t="s">
        <v>445</v>
      </c>
      <c r="B16" s="575" t="e">
        <f>COUNTIF([14]MeasureTable!A8:A300,"*")&amp;" measure application defined by 5 pan sizes"</f>
        <v>#VALUE!</v>
      </c>
      <c r="C16" s="576"/>
      <c r="D16" s="577"/>
      <c r="G16" s="178"/>
      <c r="H16" s="178"/>
      <c r="I16" s="178"/>
      <c r="J16" s="178"/>
    </row>
    <row r="17" spans="1:10" s="177" customFormat="1">
      <c r="A17" s="188"/>
      <c r="B17" s="188"/>
      <c r="C17" s="189"/>
      <c r="G17" s="178"/>
      <c r="H17" s="178"/>
      <c r="I17" s="178"/>
      <c r="J17" s="178"/>
    </row>
    <row r="18" spans="1:10" s="177" customFormat="1">
      <c r="A18" s="190" t="s">
        <v>446</v>
      </c>
      <c r="B18" s="191"/>
      <c r="C18" s="191"/>
      <c r="D18" s="191"/>
      <c r="E18" s="191"/>
      <c r="F18" s="191"/>
      <c r="G18" s="178"/>
      <c r="H18" s="178"/>
      <c r="I18" s="178"/>
      <c r="J18" s="178"/>
    </row>
    <row r="19" spans="1:10" s="177" customFormat="1">
      <c r="A19" s="190" t="s">
        <v>447</v>
      </c>
      <c r="B19" s="564" t="s">
        <v>448</v>
      </c>
      <c r="C19" s="565"/>
      <c r="D19" s="566"/>
      <c r="E19" s="567" t="s">
        <v>449</v>
      </c>
      <c r="F19" s="567"/>
      <c r="G19" s="178"/>
      <c r="H19" s="178"/>
      <c r="I19" s="178"/>
      <c r="J19" s="178"/>
    </row>
    <row r="20" spans="1:10" s="177" customFormat="1" ht="78.75" customHeight="1">
      <c r="A20" s="342" t="s">
        <v>992</v>
      </c>
      <c r="B20" s="568" t="s">
        <v>993</v>
      </c>
      <c r="C20" s="569"/>
      <c r="D20" s="570"/>
      <c r="E20" s="561"/>
      <c r="F20" s="561"/>
      <c r="G20" s="178"/>
      <c r="H20" s="178"/>
      <c r="I20" s="178"/>
      <c r="J20" s="178"/>
    </row>
    <row r="21" spans="1:10" s="177" customFormat="1">
      <c r="A21" s="188"/>
      <c r="B21" s="188"/>
      <c r="C21" s="189"/>
      <c r="G21" s="178"/>
      <c r="H21" s="178"/>
      <c r="I21" s="178"/>
      <c r="J21" s="178"/>
    </row>
    <row r="22" spans="1:10" s="177" customFormat="1">
      <c r="A22" s="193" t="s">
        <v>453</v>
      </c>
      <c r="B22" s="194"/>
      <c r="C22" s="194"/>
      <c r="D22" s="194"/>
      <c r="E22" s="194"/>
      <c r="F22" s="194"/>
      <c r="G22" s="178"/>
      <c r="H22" s="178"/>
      <c r="I22" s="178"/>
      <c r="J22" s="178"/>
    </row>
    <row r="23" spans="1:10" s="177" customFormat="1">
      <c r="A23" s="195" t="s">
        <v>454</v>
      </c>
      <c r="B23" s="571" t="s">
        <v>448</v>
      </c>
      <c r="C23" s="572"/>
      <c r="D23" s="573"/>
      <c r="E23" s="574" t="s">
        <v>449</v>
      </c>
      <c r="F23" s="574"/>
      <c r="G23" s="178"/>
      <c r="H23" s="178"/>
      <c r="I23" s="178"/>
      <c r="J23" s="178"/>
    </row>
    <row r="24" spans="1:10" s="177" customFormat="1" ht="147.75" customHeight="1">
      <c r="A24" s="196" t="s">
        <v>455</v>
      </c>
      <c r="B24" s="563">
        <f>'[12]HOU Averages'!$B$53</f>
        <v>4782.68857801185</v>
      </c>
      <c r="C24" s="562"/>
      <c r="D24" s="553"/>
      <c r="E24" s="552" t="s">
        <v>456</v>
      </c>
      <c r="F24" s="553"/>
      <c r="G24" s="176"/>
      <c r="H24" s="176"/>
      <c r="I24" s="176"/>
      <c r="J24" s="176"/>
    </row>
    <row r="25" spans="1:10" s="177" customFormat="1" ht="19.5" customHeight="1">
      <c r="A25" s="352" t="s">
        <v>457</v>
      </c>
      <c r="B25" s="552">
        <v>15</v>
      </c>
      <c r="C25" s="562"/>
      <c r="D25" s="553"/>
      <c r="E25" s="552" t="s">
        <v>458</v>
      </c>
      <c r="F25" s="553"/>
      <c r="G25" s="178"/>
      <c r="H25" s="178"/>
      <c r="I25" s="178"/>
      <c r="J25" s="178"/>
    </row>
    <row r="26" spans="1:10" s="177" customFormat="1" ht="33" customHeight="1">
      <c r="A26" s="352" t="s">
        <v>459</v>
      </c>
      <c r="B26" s="552">
        <v>1</v>
      </c>
      <c r="C26" s="562"/>
      <c r="D26" s="553"/>
      <c r="E26" s="552" t="s">
        <v>458</v>
      </c>
      <c r="F26" s="553"/>
      <c r="G26" s="178"/>
      <c r="H26" s="178"/>
      <c r="I26" s="178"/>
      <c r="J26" s="178"/>
    </row>
    <row r="27" spans="1:10" s="177" customFormat="1" ht="54.75" customHeight="1">
      <c r="A27" s="353" t="s">
        <v>460</v>
      </c>
      <c r="B27" s="552" t="s">
        <v>994</v>
      </c>
      <c r="C27" s="562"/>
      <c r="D27" s="553"/>
      <c r="E27" s="552" t="s">
        <v>462</v>
      </c>
      <c r="F27" s="553"/>
      <c r="G27" s="178"/>
      <c r="H27" s="178"/>
      <c r="I27" s="178"/>
      <c r="J27" s="178"/>
    </row>
    <row r="28" spans="1:10" s="177" customFormat="1" ht="54.75" customHeight="1">
      <c r="A28" s="353" t="s">
        <v>463</v>
      </c>
      <c r="B28" s="552" t="s">
        <v>994</v>
      </c>
      <c r="C28" s="562"/>
      <c r="D28" s="553"/>
      <c r="E28" s="552" t="s">
        <v>462</v>
      </c>
      <c r="F28" s="553"/>
      <c r="G28" s="178"/>
      <c r="H28" s="178"/>
      <c r="I28" s="178"/>
      <c r="J28" s="178"/>
    </row>
    <row r="29" spans="1:10" s="177" customFormat="1" ht="54.75" customHeight="1">
      <c r="A29" s="353" t="s">
        <v>464</v>
      </c>
      <c r="B29" s="552" t="s">
        <v>994</v>
      </c>
      <c r="C29" s="562"/>
      <c r="D29" s="553"/>
      <c r="E29" s="552" t="s">
        <v>462</v>
      </c>
      <c r="F29" s="553"/>
      <c r="G29" s="178"/>
      <c r="H29" s="178"/>
      <c r="I29" s="178"/>
      <c r="J29" s="178"/>
    </row>
    <row r="30" spans="1:10" s="177" customFormat="1" ht="65.25" customHeight="1">
      <c r="A30" s="196" t="s">
        <v>995</v>
      </c>
      <c r="B30" s="552" t="s">
        <v>994</v>
      </c>
      <c r="C30" s="562"/>
      <c r="D30" s="553"/>
      <c r="E30" s="552" t="s">
        <v>462</v>
      </c>
      <c r="F30" s="553"/>
      <c r="G30" s="176"/>
      <c r="H30" s="176"/>
      <c r="I30" s="176"/>
      <c r="J30" s="176"/>
    </row>
    <row r="31" spans="1:10" s="177" customFormat="1" ht="65.25" customHeight="1">
      <c r="A31" s="198" t="s">
        <v>466</v>
      </c>
      <c r="B31" s="552" t="s">
        <v>994</v>
      </c>
      <c r="C31" s="562"/>
      <c r="D31" s="553"/>
      <c r="E31" s="552" t="s">
        <v>462</v>
      </c>
      <c r="F31" s="553"/>
      <c r="G31" s="176"/>
      <c r="H31" s="176"/>
      <c r="I31" s="176"/>
      <c r="J31" s="176"/>
    </row>
    <row r="32" spans="1:10" s="177" customFormat="1" ht="84" customHeight="1">
      <c r="A32" s="346" t="s">
        <v>467</v>
      </c>
      <c r="B32" s="552" t="s">
        <v>996</v>
      </c>
      <c r="C32" s="562"/>
      <c r="D32" s="553"/>
      <c r="E32" s="552" t="s">
        <v>997</v>
      </c>
      <c r="F32" s="553"/>
      <c r="G32" s="176"/>
      <c r="H32" s="176"/>
      <c r="I32" s="176"/>
      <c r="J32" s="176"/>
    </row>
    <row r="33" spans="1:10" s="177" customFormat="1" ht="68.25" customHeight="1">
      <c r="A33" s="196" t="s">
        <v>470</v>
      </c>
      <c r="B33" s="588">
        <v>0.38</v>
      </c>
      <c r="C33" s="562"/>
      <c r="D33" s="553"/>
      <c r="E33" s="552" t="s">
        <v>532</v>
      </c>
      <c r="F33" s="553"/>
      <c r="G33" s="176"/>
      <c r="H33" s="176"/>
      <c r="I33" s="176"/>
      <c r="J33" s="176"/>
    </row>
    <row r="34" spans="1:10" s="177" customFormat="1" ht="16.5" customHeight="1">
      <c r="A34" s="356"/>
      <c r="B34" s="357"/>
      <c r="C34" s="358"/>
      <c r="D34" s="359"/>
      <c r="E34" s="359"/>
      <c r="F34" s="359"/>
      <c r="G34" s="176"/>
      <c r="H34" s="176"/>
      <c r="I34" s="176"/>
      <c r="J34" s="176"/>
    </row>
    <row r="35" spans="1:10" s="177" customFormat="1">
      <c r="A35" s="199" t="s">
        <v>472</v>
      </c>
      <c r="B35" s="200"/>
      <c r="C35" s="201"/>
      <c r="D35" s="202"/>
      <c r="E35" s="202"/>
      <c r="F35" s="202"/>
      <c r="G35" s="203"/>
      <c r="H35" s="202"/>
      <c r="I35" s="203"/>
      <c r="J35" s="178"/>
    </row>
    <row r="36" spans="1:10" s="177" customFormat="1" ht="25.5">
      <c r="A36" s="204" t="s">
        <v>446</v>
      </c>
      <c r="B36" s="204" t="s">
        <v>473</v>
      </c>
      <c r="C36" s="204" t="s">
        <v>474</v>
      </c>
      <c r="D36" s="204" t="s">
        <v>475</v>
      </c>
      <c r="E36" s="204" t="s">
        <v>70</v>
      </c>
      <c r="F36" s="204" t="s">
        <v>476</v>
      </c>
      <c r="G36" s="204" t="s">
        <v>477</v>
      </c>
      <c r="H36" s="204" t="s">
        <v>478</v>
      </c>
      <c r="I36" s="204" t="s">
        <v>479</v>
      </c>
      <c r="J36" s="178"/>
    </row>
    <row r="37" spans="1:10" s="177" customFormat="1" ht="132" customHeight="1">
      <c r="A37" s="561" t="s">
        <v>998</v>
      </c>
      <c r="B37" s="347" t="s">
        <v>534</v>
      </c>
      <c r="C37" s="601" t="s">
        <v>999</v>
      </c>
      <c r="D37" s="347" t="s">
        <v>483</v>
      </c>
      <c r="E37" s="561" t="str">
        <f>B8</f>
        <v>Current Practice</v>
      </c>
      <c r="F37" s="554" t="s">
        <v>1000</v>
      </c>
      <c r="G37" s="554" t="s">
        <v>1001</v>
      </c>
      <c r="H37" s="206" t="s">
        <v>1002</v>
      </c>
      <c r="I37" s="206" t="s">
        <v>1003</v>
      </c>
      <c r="J37" s="178"/>
    </row>
    <row r="38" spans="1:10" s="177" customFormat="1" ht="132" customHeight="1">
      <c r="A38" s="561"/>
      <c r="B38" s="207" t="s">
        <v>540</v>
      </c>
      <c r="C38" s="601"/>
      <c r="D38" s="207" t="s">
        <v>488</v>
      </c>
      <c r="E38" s="561"/>
      <c r="F38" s="555"/>
      <c r="G38" s="555"/>
      <c r="H38" s="206" t="s">
        <v>1002</v>
      </c>
      <c r="I38" s="206" t="s">
        <v>1003</v>
      </c>
      <c r="J38" s="178"/>
    </row>
    <row r="39" spans="1:10" s="177" customFormat="1" ht="132" customHeight="1">
      <c r="A39" s="561"/>
      <c r="B39" s="207" t="s">
        <v>460</v>
      </c>
      <c r="C39" s="601"/>
      <c r="D39" s="207" t="s">
        <v>489</v>
      </c>
      <c r="E39" s="561"/>
      <c r="F39" s="556"/>
      <c r="G39" s="556"/>
      <c r="H39" s="206" t="s">
        <v>1002</v>
      </c>
      <c r="I39" s="206" t="s">
        <v>1003</v>
      </c>
      <c r="J39" s="178"/>
    </row>
    <row r="40" spans="1:10" s="177" customFormat="1" ht="145.5" customHeight="1">
      <c r="A40" s="561"/>
      <c r="B40" s="343" t="s">
        <v>490</v>
      </c>
      <c r="C40" s="347" t="s">
        <v>1004</v>
      </c>
      <c r="D40" s="207" t="s">
        <v>492</v>
      </c>
      <c r="E40" s="561"/>
      <c r="F40" s="342" t="s">
        <v>1005</v>
      </c>
      <c r="G40" s="342" t="s">
        <v>1006</v>
      </c>
      <c r="H40" s="206" t="s">
        <v>1002</v>
      </c>
      <c r="I40" s="206" t="s">
        <v>1003</v>
      </c>
      <c r="J40" s="178"/>
    </row>
    <row r="41" spans="1:10" s="177" customFormat="1">
      <c r="A41" s="188"/>
      <c r="B41" s="188"/>
      <c r="C41" s="189"/>
      <c r="G41" s="178"/>
      <c r="H41" s="178"/>
      <c r="I41" s="178"/>
      <c r="J41" s="178"/>
    </row>
    <row r="42" spans="1:10" s="177" customFormat="1">
      <c r="A42" s="210" t="s">
        <v>495</v>
      </c>
      <c r="B42" s="211"/>
      <c r="G42" s="178"/>
      <c r="H42" s="178"/>
      <c r="I42" s="178"/>
      <c r="J42" s="178"/>
    </row>
    <row r="43" spans="1:10" s="177" customFormat="1">
      <c r="A43" s="212" t="s">
        <v>446</v>
      </c>
      <c r="B43" s="212" t="s">
        <v>496</v>
      </c>
      <c r="C43" s="212" t="s">
        <v>497</v>
      </c>
      <c r="D43" s="212" t="s">
        <v>70</v>
      </c>
      <c r="E43" s="213" t="s">
        <v>498</v>
      </c>
      <c r="F43" s="214" t="s">
        <v>499</v>
      </c>
      <c r="G43" s="213" t="s">
        <v>500</v>
      </c>
      <c r="H43" s="215" t="s">
        <v>501</v>
      </c>
      <c r="I43" s="178"/>
      <c r="J43" s="178"/>
    </row>
    <row r="44" spans="1:10" s="177" customFormat="1" ht="59.25" customHeight="1">
      <c r="A44" s="537" t="s">
        <v>339</v>
      </c>
      <c r="B44" s="540" t="s">
        <v>502</v>
      </c>
      <c r="C44" s="543" t="s">
        <v>503</v>
      </c>
      <c r="D44" s="546" t="str">
        <f>B8</f>
        <v>Current Practice</v>
      </c>
      <c r="E44" s="360" t="s">
        <v>1007</v>
      </c>
      <c r="F44" s="217" t="s">
        <v>505</v>
      </c>
      <c r="G44" s="530">
        <v>2006</v>
      </c>
      <c r="H44" s="530" t="s">
        <v>506</v>
      </c>
      <c r="I44" s="178"/>
      <c r="J44" s="178"/>
    </row>
    <row r="45" spans="1:10" s="177" customFormat="1" ht="38.25">
      <c r="A45" s="538"/>
      <c r="B45" s="541"/>
      <c r="C45" s="544"/>
      <c r="D45" s="547"/>
      <c r="E45" s="360" t="s">
        <v>1008</v>
      </c>
      <c r="F45" s="217" t="s">
        <v>1009</v>
      </c>
      <c r="G45" s="531"/>
      <c r="H45" s="531"/>
      <c r="I45" s="178"/>
      <c r="J45" s="178"/>
    </row>
    <row r="46" spans="1:10" s="177" customFormat="1">
      <c r="A46" s="539"/>
      <c r="B46" s="542"/>
      <c r="C46" s="545"/>
      <c r="D46" s="547"/>
      <c r="E46" s="224"/>
      <c r="F46" s="224"/>
      <c r="G46" s="532"/>
      <c r="H46" s="532"/>
      <c r="I46" s="178"/>
      <c r="J46" s="178"/>
    </row>
    <row r="47" spans="1:10" ht="12.75" customHeight="1">
      <c r="A47" s="527" t="s">
        <v>339</v>
      </c>
      <c r="B47" s="514" t="s">
        <v>507</v>
      </c>
      <c r="C47" s="517" t="s">
        <v>371</v>
      </c>
      <c r="D47" s="547"/>
      <c r="E47" s="224"/>
      <c r="F47" s="224"/>
      <c r="G47" s="533"/>
      <c r="H47" s="524" t="s">
        <v>508</v>
      </c>
    </row>
    <row r="48" spans="1:10" ht="12.75" customHeight="1">
      <c r="A48" s="528"/>
      <c r="B48" s="515"/>
      <c r="C48" s="518"/>
      <c r="D48" s="547"/>
      <c r="E48" s="224"/>
      <c r="F48" s="224"/>
      <c r="G48" s="534"/>
      <c r="H48" s="525"/>
    </row>
    <row r="49" spans="1:8">
      <c r="A49" s="529"/>
      <c r="B49" s="516"/>
      <c r="C49" s="519"/>
      <c r="D49" s="547"/>
      <c r="E49" s="224"/>
      <c r="F49" s="224"/>
      <c r="G49" s="535"/>
      <c r="H49" s="526"/>
    </row>
    <row r="50" spans="1:8" ht="12.75" customHeight="1">
      <c r="A50" s="527" t="s">
        <v>339</v>
      </c>
      <c r="B50" s="514" t="s">
        <v>509</v>
      </c>
      <c r="C50" s="517" t="s">
        <v>371</v>
      </c>
      <c r="D50" s="547"/>
      <c r="E50" s="224"/>
      <c r="F50" s="224"/>
      <c r="G50" s="533"/>
      <c r="H50" s="524" t="s">
        <v>508</v>
      </c>
    </row>
    <row r="51" spans="1:8" ht="12.75" customHeight="1">
      <c r="A51" s="528"/>
      <c r="B51" s="515"/>
      <c r="C51" s="518"/>
      <c r="D51" s="547"/>
      <c r="E51" s="224"/>
      <c r="F51" s="224"/>
      <c r="G51" s="534"/>
      <c r="H51" s="525"/>
    </row>
    <row r="52" spans="1:8">
      <c r="A52" s="529"/>
      <c r="B52" s="516"/>
      <c r="C52" s="519"/>
      <c r="D52" s="547"/>
      <c r="E52" s="224"/>
      <c r="F52" s="224"/>
      <c r="G52" s="535"/>
      <c r="H52" s="526"/>
    </row>
    <row r="53" spans="1:8" ht="23.25" customHeight="1">
      <c r="A53" s="527" t="s">
        <v>339</v>
      </c>
      <c r="B53" s="514" t="s">
        <v>510</v>
      </c>
      <c r="C53" s="517" t="s">
        <v>511</v>
      </c>
      <c r="D53" s="547"/>
      <c r="E53" s="514" t="s">
        <v>512</v>
      </c>
      <c r="F53" s="514" t="s">
        <v>513</v>
      </c>
      <c r="G53" s="530">
        <v>2006</v>
      </c>
      <c r="H53" s="524" t="s">
        <v>506</v>
      </c>
    </row>
    <row r="54" spans="1:8" ht="30.75" customHeight="1">
      <c r="A54" s="528"/>
      <c r="B54" s="515"/>
      <c r="C54" s="518"/>
      <c r="D54" s="547"/>
      <c r="E54" s="515"/>
      <c r="F54" s="515"/>
      <c r="G54" s="531"/>
      <c r="H54" s="525"/>
    </row>
    <row r="55" spans="1:8" ht="40.5" customHeight="1">
      <c r="A55" s="529"/>
      <c r="B55" s="516"/>
      <c r="C55" s="519"/>
      <c r="D55" s="547"/>
      <c r="E55" s="516"/>
      <c r="F55" s="516"/>
      <c r="G55" s="532"/>
      <c r="H55" s="526"/>
    </row>
    <row r="56" spans="1:8" ht="27" customHeight="1">
      <c r="A56" s="345" t="s">
        <v>339</v>
      </c>
      <c r="B56" s="224" t="s">
        <v>514</v>
      </c>
      <c r="C56" s="225"/>
      <c r="D56" s="548"/>
      <c r="E56" s="226"/>
      <c r="F56" s="227"/>
      <c r="G56" s="228"/>
      <c r="H56" s="229"/>
    </row>
    <row r="57" spans="1:8">
      <c r="A57" s="344"/>
      <c r="B57" s="231"/>
      <c r="C57" s="231"/>
      <c r="D57" s="232"/>
      <c r="E57" s="233"/>
      <c r="F57" s="233"/>
      <c r="G57" s="194"/>
      <c r="H57" s="234"/>
    </row>
    <row r="58" spans="1:8">
      <c r="A58" s="235" t="s">
        <v>515</v>
      </c>
      <c r="H58" s="236"/>
    </row>
    <row r="59" spans="1:8">
      <c r="A59" s="237" t="s">
        <v>446</v>
      </c>
      <c r="B59" s="237"/>
      <c r="C59" s="237" t="s">
        <v>497</v>
      </c>
      <c r="D59" s="238" t="s">
        <v>70</v>
      </c>
      <c r="E59" s="237" t="s">
        <v>498</v>
      </c>
      <c r="F59" s="239"/>
      <c r="G59" s="237"/>
      <c r="H59" s="240" t="s">
        <v>501</v>
      </c>
    </row>
    <row r="60" spans="1:8" ht="95.25" customHeight="1">
      <c r="A60" s="514" t="s">
        <v>339</v>
      </c>
      <c r="B60" s="241"/>
      <c r="C60" s="517" t="s">
        <v>516</v>
      </c>
      <c r="D60" s="520" t="str">
        <f>B8</f>
        <v>Current Practice</v>
      </c>
      <c r="E60" s="221" t="s">
        <v>517</v>
      </c>
      <c r="F60" s="242"/>
      <c r="G60" s="243"/>
      <c r="H60" s="523" t="s">
        <v>518</v>
      </c>
    </row>
    <row r="61" spans="1:8" ht="67.5" customHeight="1">
      <c r="A61" s="515"/>
      <c r="B61" s="244"/>
      <c r="C61" s="518"/>
      <c r="D61" s="521"/>
      <c r="E61" s="221" t="s">
        <v>519</v>
      </c>
      <c r="F61" s="242"/>
      <c r="G61" s="245"/>
      <c r="H61" s="523"/>
    </row>
    <row r="62" spans="1:8" ht="43.5" customHeight="1">
      <c r="A62" s="515"/>
      <c r="B62" s="244"/>
      <c r="C62" s="518"/>
      <c r="D62" s="521"/>
      <c r="E62" s="246"/>
      <c r="F62" s="242"/>
      <c r="G62" s="245"/>
      <c r="H62" s="523"/>
    </row>
    <row r="63" spans="1:8" ht="75.75" customHeight="1">
      <c r="A63" s="516"/>
      <c r="B63" s="247"/>
      <c r="C63" s="519"/>
      <c r="D63" s="522"/>
      <c r="E63" s="246"/>
      <c r="F63" s="248"/>
      <c r="G63" s="249"/>
      <c r="H63" s="523"/>
    </row>
    <row r="64" spans="1:8">
      <c r="F64" s="236"/>
      <c r="H64" s="236"/>
    </row>
    <row r="65" spans="6:8">
      <c r="F65" s="236"/>
      <c r="H65" s="236"/>
    </row>
    <row r="66" spans="6:8">
      <c r="F66" s="236"/>
      <c r="H66" s="236"/>
    </row>
    <row r="67" spans="6:8">
      <c r="F67" s="236"/>
      <c r="H67" s="236"/>
    </row>
    <row r="68" spans="6:8">
      <c r="F68" s="236"/>
      <c r="H68" s="236"/>
    </row>
    <row r="69" spans="6:8">
      <c r="F69" s="236"/>
      <c r="H69" s="236"/>
    </row>
    <row r="70" spans="6:8">
      <c r="F70" s="236"/>
      <c r="H70" s="236"/>
    </row>
    <row r="71" spans="6:8">
      <c r="F71" s="236"/>
      <c r="H71" s="236"/>
    </row>
    <row r="72" spans="6:8">
      <c r="F72" s="236"/>
      <c r="H72" s="236"/>
    </row>
    <row r="73" spans="6:8">
      <c r="F73" s="236"/>
      <c r="H73" s="236"/>
    </row>
    <row r="74" spans="6:8">
      <c r="F74" s="236"/>
      <c r="H74" s="236"/>
    </row>
    <row r="75" spans="6:8">
      <c r="F75" s="236"/>
      <c r="H75" s="236"/>
    </row>
    <row r="76" spans="6:8">
      <c r="F76" s="250"/>
      <c r="H76" s="236"/>
    </row>
    <row r="77" spans="6:8">
      <c r="F77" s="250"/>
      <c r="H77" s="236"/>
    </row>
    <row r="78" spans="6:8">
      <c r="H78" s="236"/>
    </row>
    <row r="79" spans="6:8">
      <c r="H79" s="236"/>
    </row>
    <row r="80" spans="6:8">
      <c r="H80" s="250"/>
    </row>
    <row r="81" spans="8:8">
      <c r="H81" s="250"/>
    </row>
  </sheetData>
  <mergeCells count="70">
    <mergeCell ref="A60:A63"/>
    <mergeCell ref="C60:C63"/>
    <mergeCell ref="D60:D63"/>
    <mergeCell ref="H60:H63"/>
    <mergeCell ref="H50:H52"/>
    <mergeCell ref="A53:A55"/>
    <mergeCell ref="B53:B55"/>
    <mergeCell ref="C53:C55"/>
    <mergeCell ref="E53:E55"/>
    <mergeCell ref="F53:F55"/>
    <mergeCell ref="G53:G55"/>
    <mergeCell ref="H53:H55"/>
    <mergeCell ref="H44:H46"/>
    <mergeCell ref="A47:A49"/>
    <mergeCell ref="B47:B49"/>
    <mergeCell ref="C47:C49"/>
    <mergeCell ref="G47:G49"/>
    <mergeCell ref="H47:H49"/>
    <mergeCell ref="G37:G39"/>
    <mergeCell ref="A44:A46"/>
    <mergeCell ref="B44:B46"/>
    <mergeCell ref="C44:C46"/>
    <mergeCell ref="D44:D56"/>
    <mergeCell ref="G44:G46"/>
    <mergeCell ref="A50:A52"/>
    <mergeCell ref="B50:B52"/>
    <mergeCell ref="C50:C52"/>
    <mergeCell ref="G50:G52"/>
    <mergeCell ref="B33:D33"/>
    <mergeCell ref="E33:F33"/>
    <mergeCell ref="A37:A40"/>
    <mergeCell ref="C37:C39"/>
    <mergeCell ref="E37:E40"/>
    <mergeCell ref="F37:F39"/>
    <mergeCell ref="B30:D30"/>
    <mergeCell ref="E30:F30"/>
    <mergeCell ref="B31:D31"/>
    <mergeCell ref="E31:F31"/>
    <mergeCell ref="B32:D32"/>
    <mergeCell ref="E32:F32"/>
    <mergeCell ref="B27:D27"/>
    <mergeCell ref="E27:F27"/>
    <mergeCell ref="B28:D28"/>
    <mergeCell ref="E28:F28"/>
    <mergeCell ref="B29:D29"/>
    <mergeCell ref="E29:F29"/>
    <mergeCell ref="B24:D24"/>
    <mergeCell ref="E24:F24"/>
    <mergeCell ref="B25:D25"/>
    <mergeCell ref="E25:F25"/>
    <mergeCell ref="B26:D26"/>
    <mergeCell ref="E26:F26"/>
    <mergeCell ref="B19:D19"/>
    <mergeCell ref="E19:F19"/>
    <mergeCell ref="B20:D20"/>
    <mergeCell ref="E20:F20"/>
    <mergeCell ref="B23:D23"/>
    <mergeCell ref="E23:F23"/>
    <mergeCell ref="B16:D16"/>
    <mergeCell ref="A1:C1"/>
    <mergeCell ref="A3:D3"/>
    <mergeCell ref="B7:D7"/>
    <mergeCell ref="B8:D8"/>
    <mergeCell ref="B9:D9"/>
    <mergeCell ref="B10:D10"/>
    <mergeCell ref="B11:D11"/>
    <mergeCell ref="B12:D12"/>
    <mergeCell ref="B13:D13"/>
    <mergeCell ref="B14:D14"/>
    <mergeCell ref="B15:D15"/>
  </mergeCells>
  <dataValidations count="6">
    <dataValidation type="list" allowBlank="1" showInputMessage="1" showErrorMessage="1" sqref="B8">
      <formula1>Baseline</formula1>
    </dataValidation>
    <dataValidation type="list" allowBlank="1" showInputMessage="1" showErrorMessage="1" sqref="B11">
      <formula1>Procedure</formula1>
    </dataValidation>
    <dataValidation type="list" allowBlank="1" showInputMessage="1" showErrorMessage="1" sqref="B10">
      <formula1>Category</formula1>
    </dataValidation>
    <dataValidation type="list" allowBlank="1" showInputMessage="1" showErrorMessage="1" sqref="B9">
      <formula1>Method</formula1>
    </dataValidation>
    <dataValidation type="list" allowBlank="1" showInputMessage="1" showErrorMessage="1" sqref="F60:F63">
      <formula1>LifetimeDataSourceTypes</formula1>
    </dataValidation>
    <dataValidation type="list" allowBlank="1" showInputMessage="1" showErrorMessage="1" sqref="F44:F56">
      <formula1>CostDataSourceTypes</formula1>
    </dataValidation>
  </dataValidations>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sheetPr codeName="Sheet9"/>
  <dimension ref="B1:H28"/>
  <sheetViews>
    <sheetView workbookViewId="0">
      <selection activeCell="B4" sqref="B4"/>
    </sheetView>
  </sheetViews>
  <sheetFormatPr defaultRowHeight="12.75"/>
  <cols>
    <col min="3" max="3" width="8.7109375" bestFit="1" customWidth="1"/>
    <col min="4" max="4" width="15.140625" bestFit="1" customWidth="1"/>
    <col min="5" max="5" width="10" bestFit="1" customWidth="1"/>
    <col min="6" max="6" width="10.28515625" bestFit="1" customWidth="1"/>
    <col min="7" max="7" width="11.28515625" bestFit="1" customWidth="1"/>
    <col min="8" max="8" width="7.7109375" bestFit="1" customWidth="1"/>
  </cols>
  <sheetData>
    <row r="1" spans="2:8">
      <c r="B1" t="s">
        <v>551</v>
      </c>
    </row>
    <row r="3" spans="2:8">
      <c r="C3" s="172" t="s">
        <v>545</v>
      </c>
      <c r="D3" s="172" t="s">
        <v>546</v>
      </c>
      <c r="E3" s="172" t="s">
        <v>547</v>
      </c>
      <c r="F3" s="172" t="s">
        <v>548</v>
      </c>
      <c r="G3" s="172" t="s">
        <v>549</v>
      </c>
      <c r="H3" s="172" t="s">
        <v>550</v>
      </c>
    </row>
    <row r="4" spans="2:8">
      <c r="B4" s="261" t="s">
        <v>543</v>
      </c>
      <c r="C4" s="262">
        <v>22815.719191984099</v>
      </c>
      <c r="D4" s="262">
        <v>54082.853381856272</v>
      </c>
      <c r="E4" s="262">
        <v>15246.466476793195</v>
      </c>
      <c r="F4" s="262">
        <v>21053.146675409411</v>
      </c>
      <c r="G4" s="262">
        <v>14773.632402660394</v>
      </c>
      <c r="H4" s="262">
        <v>36011.138865914276</v>
      </c>
    </row>
    <row r="5" spans="2:8">
      <c r="B5" t="s">
        <v>544</v>
      </c>
      <c r="C5" s="262">
        <v>8519.179572417599</v>
      </c>
      <c r="D5" s="262">
        <v>11295.5209410112</v>
      </c>
      <c r="E5" s="262">
        <v>32629.399601463294</v>
      </c>
      <c r="F5" s="262">
        <v>44973.882738671171</v>
      </c>
      <c r="G5" s="262">
        <v>30925.057053821802</v>
      </c>
      <c r="H5" s="262">
        <v>39251.769562580317</v>
      </c>
    </row>
    <row r="24" spans="2:5">
      <c r="B24" t="s">
        <v>1122</v>
      </c>
    </row>
    <row r="26" spans="2:5">
      <c r="B26" s="450" t="s">
        <v>1123</v>
      </c>
      <c r="C26" s="450"/>
      <c r="D26" s="451">
        <v>0.6</v>
      </c>
      <c r="E26" t="s">
        <v>1126</v>
      </c>
    </row>
    <row r="28" spans="2:5">
      <c r="B28" t="s">
        <v>1124</v>
      </c>
      <c r="D28" s="158">
        <v>0.38</v>
      </c>
      <c r="E28" t="s">
        <v>1125</v>
      </c>
    </row>
  </sheetData>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codeName="Sheet15"/>
  <dimension ref="A2:F42"/>
  <sheetViews>
    <sheetView workbookViewId="0">
      <selection activeCell="H33" sqref="H33"/>
    </sheetView>
  </sheetViews>
  <sheetFormatPr defaultRowHeight="12.75"/>
  <cols>
    <col min="1" max="1" width="19.85546875" style="266" customWidth="1"/>
    <col min="2" max="2" width="12.7109375" style="266" bestFit="1" customWidth="1"/>
    <col min="3" max="3" width="10.28515625" style="266" bestFit="1" customWidth="1"/>
    <col min="4" max="4" width="24" style="266" bestFit="1" customWidth="1"/>
    <col min="5" max="5" width="12.140625" style="266" bestFit="1" customWidth="1"/>
    <col min="6" max="16384" width="9.140625" style="266"/>
  </cols>
  <sheetData>
    <row r="2" spans="1:6" ht="15.75">
      <c r="A2" s="267" t="s">
        <v>554</v>
      </c>
    </row>
    <row r="3" spans="1:6" ht="45">
      <c r="A3" s="268" t="s">
        <v>555</v>
      </c>
      <c r="B3" s="268" t="s">
        <v>556</v>
      </c>
      <c r="C3" s="268" t="s">
        <v>557</v>
      </c>
      <c r="D3" s="268" t="s">
        <v>558</v>
      </c>
      <c r="E3" s="268" t="s">
        <v>559</v>
      </c>
    </row>
    <row r="4" spans="1:6" ht="15">
      <c r="A4" s="269" t="s">
        <v>560</v>
      </c>
      <c r="B4" s="270">
        <f>AVERAGEIFS($F$10:$F$32,$D$10:$D$32,"half-size",$A$10:$A$32,"baseline")</f>
        <v>3604.6</v>
      </c>
      <c r="C4" s="270">
        <f>AVERAGEIFS($F$10:$F$32,$D$10:$D$32,"half-size",$A$10:$A$32,"energy efficient")</f>
        <v>4397.5</v>
      </c>
      <c r="D4" s="271">
        <f>C4-B4</f>
        <v>792.90000000000009</v>
      </c>
      <c r="E4" s="272">
        <f>D4*$E$6</f>
        <v>709.58811839874829</v>
      </c>
    </row>
    <row r="5" spans="1:6" ht="15">
      <c r="A5" s="269" t="s">
        <v>561</v>
      </c>
      <c r="B5" s="270">
        <f>AVERAGEIFS($F$10:$F$32,$D$10:$D$32,"full-size",$A$10:$A$32,"baseline")</f>
        <v>4107.875</v>
      </c>
      <c r="C5" s="270">
        <f>AVERAGEIFS($F$10:$F$32,$D$10:$D$32,"full-size",$A$10:$A$32,"energy efficient")</f>
        <v>5115</v>
      </c>
      <c r="D5" s="271">
        <f>C5-B5</f>
        <v>1007.125</v>
      </c>
      <c r="E5" s="272">
        <f>D5*$E$6</f>
        <v>901.30399008997256</v>
      </c>
    </row>
    <row r="6" spans="1:6" ht="15">
      <c r="D6" s="273" t="s">
        <v>562</v>
      </c>
      <c r="E6" s="274">
        <v>0.89492763072108483</v>
      </c>
    </row>
    <row r="8" spans="1:6" ht="13.5" thickBot="1">
      <c r="A8" s="266" t="s">
        <v>563</v>
      </c>
    </row>
    <row r="9" spans="1:6" ht="13.5" thickBot="1">
      <c r="A9" s="275" t="s">
        <v>564</v>
      </c>
      <c r="B9" s="276" t="s">
        <v>565</v>
      </c>
      <c r="C9" s="276" t="s">
        <v>566</v>
      </c>
      <c r="D9" s="276" t="s">
        <v>555</v>
      </c>
      <c r="E9" s="276" t="s">
        <v>567</v>
      </c>
      <c r="F9" s="276" t="s">
        <v>568</v>
      </c>
    </row>
    <row r="10" spans="1:6" ht="15">
      <c r="A10" s="277" t="s">
        <v>70</v>
      </c>
      <c r="B10" s="278" t="s">
        <v>569</v>
      </c>
      <c r="C10" s="279" t="s">
        <v>570</v>
      </c>
      <c r="D10" s="278" t="s">
        <v>571</v>
      </c>
      <c r="E10" s="280">
        <v>5354</v>
      </c>
      <c r="F10" s="280">
        <v>2677</v>
      </c>
    </row>
    <row r="11" spans="1:6" ht="15">
      <c r="A11" s="277" t="s">
        <v>70</v>
      </c>
      <c r="B11" s="278" t="s">
        <v>572</v>
      </c>
      <c r="C11" s="279" t="s">
        <v>573</v>
      </c>
      <c r="D11" s="278" t="s">
        <v>574</v>
      </c>
      <c r="E11" s="280">
        <v>14600</v>
      </c>
      <c r="F11" s="280">
        <v>7300</v>
      </c>
    </row>
    <row r="12" spans="1:6" ht="15">
      <c r="A12" s="277" t="s">
        <v>70</v>
      </c>
      <c r="B12" s="278" t="s">
        <v>575</v>
      </c>
      <c r="C12" s="279" t="s">
        <v>576</v>
      </c>
      <c r="D12" s="278" t="s">
        <v>577</v>
      </c>
      <c r="E12" s="280">
        <v>6826</v>
      </c>
      <c r="F12" s="280">
        <v>3413</v>
      </c>
    </row>
    <row r="13" spans="1:6" ht="15">
      <c r="A13" s="277" t="s">
        <v>70</v>
      </c>
      <c r="B13" s="278" t="s">
        <v>575</v>
      </c>
      <c r="C13" s="279" t="s">
        <v>578</v>
      </c>
      <c r="D13" s="278" t="s">
        <v>571</v>
      </c>
      <c r="E13" s="280">
        <v>9404</v>
      </c>
      <c r="F13" s="280">
        <v>4702</v>
      </c>
    </row>
    <row r="14" spans="1:6" ht="15">
      <c r="A14" s="277" t="s">
        <v>70</v>
      </c>
      <c r="B14" s="278" t="s">
        <v>575</v>
      </c>
      <c r="C14" s="279" t="s">
        <v>579</v>
      </c>
      <c r="D14" s="278" t="s">
        <v>571</v>
      </c>
      <c r="E14" s="280">
        <v>6818</v>
      </c>
      <c r="F14" s="280">
        <v>3409</v>
      </c>
    </row>
    <row r="15" spans="1:6" ht="15">
      <c r="A15" s="277" t="s">
        <v>70</v>
      </c>
      <c r="B15" s="278" t="s">
        <v>580</v>
      </c>
      <c r="C15" s="279" t="s">
        <v>581</v>
      </c>
      <c r="D15" s="278" t="s">
        <v>577</v>
      </c>
      <c r="E15" s="280">
        <v>8710</v>
      </c>
      <c r="F15" s="280">
        <v>4355</v>
      </c>
    </row>
    <row r="16" spans="1:6" ht="15">
      <c r="A16" s="277" t="s">
        <v>70</v>
      </c>
      <c r="B16" s="278" t="s">
        <v>582</v>
      </c>
      <c r="C16" s="279" t="s">
        <v>583</v>
      </c>
      <c r="D16" s="278" t="s">
        <v>571</v>
      </c>
      <c r="E16" s="280">
        <v>6499</v>
      </c>
      <c r="F16" s="280">
        <v>3250</v>
      </c>
    </row>
    <row r="17" spans="1:6" ht="15">
      <c r="A17" s="277" t="s">
        <v>70</v>
      </c>
      <c r="B17" s="278" t="s">
        <v>584</v>
      </c>
      <c r="C17" s="279" t="s">
        <v>585</v>
      </c>
      <c r="D17" s="278" t="s">
        <v>577</v>
      </c>
      <c r="E17" s="280">
        <v>8240</v>
      </c>
      <c r="F17" s="280">
        <v>4120</v>
      </c>
    </row>
    <row r="18" spans="1:6" ht="15">
      <c r="A18" s="277" t="s">
        <v>70</v>
      </c>
      <c r="B18" s="278" t="s">
        <v>586</v>
      </c>
      <c r="C18" s="279">
        <v>3000</v>
      </c>
      <c r="D18" s="278" t="s">
        <v>571</v>
      </c>
      <c r="E18" s="280">
        <v>7956</v>
      </c>
      <c r="F18" s="280">
        <v>3978</v>
      </c>
    </row>
    <row r="19" spans="1:6" ht="15">
      <c r="A19" s="277" t="s">
        <v>70</v>
      </c>
      <c r="B19" s="278" t="s">
        <v>586</v>
      </c>
      <c r="C19" s="279" t="s">
        <v>587</v>
      </c>
      <c r="D19" s="278" t="s">
        <v>571</v>
      </c>
      <c r="E19" s="280">
        <v>8788</v>
      </c>
      <c r="F19" s="280">
        <v>4394</v>
      </c>
    </row>
    <row r="20" spans="1:6" ht="15">
      <c r="A20" s="277" t="s">
        <v>70</v>
      </c>
      <c r="B20" s="278" t="s">
        <v>588</v>
      </c>
      <c r="C20" s="279" t="s">
        <v>589</v>
      </c>
      <c r="D20" s="278" t="s">
        <v>577</v>
      </c>
      <c r="E20" s="280">
        <v>3900</v>
      </c>
      <c r="F20" s="280">
        <v>1950</v>
      </c>
    </row>
    <row r="21" spans="1:6" ht="15">
      <c r="A21" s="277" t="s">
        <v>70</v>
      </c>
      <c r="B21" s="278" t="s">
        <v>590</v>
      </c>
      <c r="C21" s="279" t="s">
        <v>591</v>
      </c>
      <c r="D21" s="278" t="s">
        <v>571</v>
      </c>
      <c r="E21" s="280">
        <v>10696</v>
      </c>
      <c r="F21" s="280">
        <v>5348</v>
      </c>
    </row>
    <row r="22" spans="1:6" ht="15">
      <c r="A22" s="277" t="s">
        <v>70</v>
      </c>
      <c r="B22" s="278" t="s">
        <v>592</v>
      </c>
      <c r="C22" s="279" t="s">
        <v>593</v>
      </c>
      <c r="D22" s="278" t="s">
        <v>577</v>
      </c>
      <c r="E22" s="280">
        <v>8370</v>
      </c>
      <c r="F22" s="280">
        <v>4185</v>
      </c>
    </row>
    <row r="23" spans="1:6" ht="15">
      <c r="A23" s="277" t="s">
        <v>70</v>
      </c>
      <c r="B23" s="278" t="s">
        <v>592</v>
      </c>
      <c r="C23" s="279" t="s">
        <v>594</v>
      </c>
      <c r="D23" s="278" t="s">
        <v>571</v>
      </c>
      <c r="E23" s="280">
        <v>10210</v>
      </c>
      <c r="F23" s="280">
        <v>5105</v>
      </c>
    </row>
    <row r="24" spans="1:6" ht="15">
      <c r="A24" s="277" t="s">
        <v>595</v>
      </c>
      <c r="B24" s="278" t="s">
        <v>596</v>
      </c>
      <c r="C24" s="279" t="s">
        <v>597</v>
      </c>
      <c r="D24" s="278" t="s">
        <v>571</v>
      </c>
      <c r="E24" s="280">
        <v>10864</v>
      </c>
      <c r="F24" s="280">
        <v>5432</v>
      </c>
    </row>
    <row r="25" spans="1:6" ht="15">
      <c r="A25" s="277" t="s">
        <v>595</v>
      </c>
      <c r="B25" s="278" t="s">
        <v>598</v>
      </c>
      <c r="C25" s="279" t="s">
        <v>599</v>
      </c>
      <c r="D25" s="278" t="s">
        <v>577</v>
      </c>
      <c r="E25" s="280">
        <v>8470</v>
      </c>
      <c r="F25" s="280">
        <v>4235</v>
      </c>
    </row>
    <row r="26" spans="1:6" ht="15">
      <c r="A26" s="277" t="s">
        <v>595</v>
      </c>
      <c r="B26" s="278" t="s">
        <v>598</v>
      </c>
      <c r="C26" s="279" t="s">
        <v>600</v>
      </c>
      <c r="D26" s="278" t="s">
        <v>571</v>
      </c>
      <c r="E26" s="280">
        <v>12775</v>
      </c>
      <c r="F26" s="280">
        <v>6388</v>
      </c>
    </row>
    <row r="27" spans="1:6" ht="15">
      <c r="A27" s="277" t="s">
        <v>595</v>
      </c>
      <c r="B27" s="278" t="s">
        <v>598</v>
      </c>
      <c r="C27" s="279" t="s">
        <v>601</v>
      </c>
      <c r="D27" s="278" t="s">
        <v>577</v>
      </c>
      <c r="E27" s="280">
        <v>9120</v>
      </c>
      <c r="F27" s="280">
        <v>4560</v>
      </c>
    </row>
    <row r="28" spans="1:6" ht="15">
      <c r="A28" s="277" t="s">
        <v>595</v>
      </c>
      <c r="B28" s="278" t="s">
        <v>598</v>
      </c>
      <c r="C28" s="279" t="s">
        <v>602</v>
      </c>
      <c r="D28" s="278" t="s">
        <v>571</v>
      </c>
      <c r="E28" s="280">
        <v>9405</v>
      </c>
      <c r="F28" s="280">
        <v>4703</v>
      </c>
    </row>
    <row r="29" spans="1:6" ht="15">
      <c r="A29" s="277" t="s">
        <v>595</v>
      </c>
      <c r="B29" s="278" t="s">
        <v>588</v>
      </c>
      <c r="C29" s="279" t="s">
        <v>603</v>
      </c>
      <c r="D29" s="278" t="s">
        <v>571</v>
      </c>
      <c r="E29" s="280">
        <v>11915</v>
      </c>
      <c r="F29" s="280">
        <v>5958</v>
      </c>
    </row>
    <row r="30" spans="1:6" ht="15">
      <c r="A30" s="277" t="s">
        <v>595</v>
      </c>
      <c r="B30" s="278" t="s">
        <v>588</v>
      </c>
      <c r="C30" s="279" t="s">
        <v>603</v>
      </c>
      <c r="D30" s="278" t="s">
        <v>574</v>
      </c>
      <c r="E30" s="280">
        <v>11915</v>
      </c>
      <c r="F30" s="280">
        <v>5958</v>
      </c>
    </row>
    <row r="31" spans="1:6" ht="15">
      <c r="A31" s="277" t="s">
        <v>595</v>
      </c>
      <c r="B31" s="278" t="s">
        <v>604</v>
      </c>
      <c r="C31" s="279">
        <v>7803</v>
      </c>
      <c r="D31" s="278" t="s">
        <v>574</v>
      </c>
      <c r="E31" s="280">
        <v>19882</v>
      </c>
      <c r="F31" s="280">
        <v>9941</v>
      </c>
    </row>
    <row r="32" spans="1:6" ht="15.75" thickBot="1">
      <c r="A32" s="281" t="s">
        <v>595</v>
      </c>
      <c r="B32" s="282" t="s">
        <v>605</v>
      </c>
      <c r="C32" s="283" t="s">
        <v>606</v>
      </c>
      <c r="D32" s="282" t="s">
        <v>571</v>
      </c>
      <c r="E32" s="284">
        <v>6188</v>
      </c>
      <c r="F32" s="284">
        <v>3094</v>
      </c>
    </row>
    <row r="33" spans="2:5" ht="13.5" thickBot="1"/>
    <row r="34" spans="2:5">
      <c r="B34" s="285" t="s">
        <v>339</v>
      </c>
      <c r="C34" s="286" t="s">
        <v>607</v>
      </c>
      <c r="D34" s="286">
        <f>COUNTIF($D$10:$D$32,"Half-Size")</f>
        <v>7</v>
      </c>
      <c r="E34" s="287">
        <f>D34/D36</f>
        <v>0.35</v>
      </c>
    </row>
    <row r="35" spans="2:5">
      <c r="B35" s="288"/>
      <c r="C35" s="289" t="s">
        <v>608</v>
      </c>
      <c r="D35" s="289">
        <f>COUNTIF($D$10:$D$32,"Full-Size")</f>
        <v>13</v>
      </c>
      <c r="E35" s="290">
        <f>D35/D36</f>
        <v>0.65</v>
      </c>
    </row>
    <row r="36" spans="2:5" ht="13.5" thickBot="1">
      <c r="B36" s="291"/>
      <c r="C36" s="292"/>
      <c r="D36" s="292">
        <f>SUM(D34:D35)</f>
        <v>20</v>
      </c>
      <c r="E36" s="293"/>
    </row>
    <row r="37" spans="2:5">
      <c r="B37" s="285" t="s">
        <v>70</v>
      </c>
      <c r="C37" s="286" t="s">
        <v>607</v>
      </c>
      <c r="D37" s="286">
        <f>COUNTIF($D$10:$D$23,"Half-Size")</f>
        <v>5</v>
      </c>
      <c r="E37" s="287">
        <f>D37/D39</f>
        <v>0.38461538461538464</v>
      </c>
    </row>
    <row r="38" spans="2:5">
      <c r="B38" s="288"/>
      <c r="C38" s="289" t="s">
        <v>608</v>
      </c>
      <c r="D38" s="289">
        <f>COUNTIF($D$10:$D$23,"Full-Size")</f>
        <v>8</v>
      </c>
      <c r="E38" s="290">
        <f>D38/D39</f>
        <v>0.61538461538461542</v>
      </c>
    </row>
    <row r="39" spans="2:5" ht="13.5" thickBot="1">
      <c r="B39" s="291"/>
      <c r="C39" s="292"/>
      <c r="D39" s="292">
        <f>SUM(D37:D38)</f>
        <v>13</v>
      </c>
      <c r="E39" s="293"/>
    </row>
    <row r="40" spans="2:5">
      <c r="B40" s="285" t="s">
        <v>609</v>
      </c>
      <c r="C40" s="286" t="s">
        <v>607</v>
      </c>
      <c r="D40" s="286">
        <f>COUNTIF($D$24:$D$32,"Half-Size")</f>
        <v>2</v>
      </c>
      <c r="E40" s="287">
        <f>D40/D42</f>
        <v>0.2857142857142857</v>
      </c>
    </row>
    <row r="41" spans="2:5">
      <c r="B41" s="288"/>
      <c r="C41" s="289" t="s">
        <v>608</v>
      </c>
      <c r="D41" s="289">
        <f>COUNTIF($D$24:$D$32,"Full-Size")</f>
        <v>5</v>
      </c>
      <c r="E41" s="290">
        <f>D41/D42</f>
        <v>0.7142857142857143</v>
      </c>
    </row>
    <row r="42" spans="2:5" ht="13.5" thickBot="1">
      <c r="B42" s="291"/>
      <c r="C42" s="292"/>
      <c r="D42" s="292">
        <f>SUM(D40:D41)</f>
        <v>7</v>
      </c>
      <c r="E42" s="293"/>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sheetPr codeName="Sheet16"/>
  <dimension ref="A1:L73"/>
  <sheetViews>
    <sheetView topLeftCell="A52" workbookViewId="0"/>
  </sheetViews>
  <sheetFormatPr defaultRowHeight="12.75"/>
  <cols>
    <col min="1" max="1" width="55.5703125" bestFit="1" customWidth="1"/>
    <col min="2" max="2" width="24" bestFit="1" customWidth="1"/>
    <col min="3" max="3" width="21.85546875" bestFit="1" customWidth="1"/>
    <col min="4" max="4" width="12.140625" bestFit="1" customWidth="1"/>
    <col min="5" max="5" width="12.85546875" bestFit="1" customWidth="1"/>
    <col min="6" max="6" width="15" bestFit="1" customWidth="1"/>
    <col min="7" max="7" width="10.5703125" bestFit="1" customWidth="1"/>
    <col min="8" max="8" width="24" bestFit="1" customWidth="1"/>
  </cols>
  <sheetData>
    <row r="1" spans="1:12">
      <c r="A1" s="266"/>
      <c r="B1" s="266"/>
      <c r="C1" s="266"/>
      <c r="D1" s="266"/>
      <c r="E1" s="266"/>
      <c r="F1" s="266"/>
      <c r="G1" s="266"/>
      <c r="H1" s="266"/>
      <c r="I1" s="266"/>
      <c r="J1" s="266"/>
      <c r="K1" s="266"/>
      <c r="L1" s="266"/>
    </row>
    <row r="2" spans="1:12" ht="15.75">
      <c r="A2" s="267" t="s">
        <v>610</v>
      </c>
      <c r="B2" s="266"/>
      <c r="C2" s="266"/>
      <c r="D2" s="266"/>
      <c r="E2" s="266"/>
      <c r="F2" s="266"/>
      <c r="G2" s="266"/>
      <c r="H2" s="266"/>
      <c r="I2" s="266"/>
      <c r="J2" s="266"/>
      <c r="K2" s="266"/>
      <c r="L2" s="266"/>
    </row>
    <row r="3" spans="1:12" ht="30">
      <c r="A3" s="268" t="s">
        <v>611</v>
      </c>
      <c r="B3" s="268" t="s">
        <v>556</v>
      </c>
      <c r="C3" s="268" t="s">
        <v>557</v>
      </c>
      <c r="D3" s="268" t="s">
        <v>558</v>
      </c>
      <c r="E3" s="268" t="s">
        <v>559</v>
      </c>
      <c r="F3" s="268" t="s">
        <v>679</v>
      </c>
      <c r="G3" s="268" t="s">
        <v>680</v>
      </c>
      <c r="H3" s="266"/>
      <c r="I3" s="266"/>
      <c r="J3" s="266"/>
      <c r="K3" s="266"/>
      <c r="L3" s="266"/>
    </row>
    <row r="4" spans="1:12" ht="15">
      <c r="A4" s="269">
        <v>3</v>
      </c>
      <c r="B4" s="270">
        <f>AVERAGEIFS($E$14:$E$64,$F$14:$F$64,"3",$A$14:$A$64,"Baseline")</f>
        <v>4368.166666666667</v>
      </c>
      <c r="C4" s="270">
        <f>AVERAGEIFS($E$14:$E$64,$A$14:$A$64,"Energy Efficient",$F$14:$F$64,"3")</f>
        <v>4720.333333333333</v>
      </c>
      <c r="D4" s="271">
        <f t="shared" ref="D4:D9" si="0">C4-B4</f>
        <v>352.16666666666606</v>
      </c>
      <c r="E4" s="272">
        <f t="shared" ref="E4:E9" si="1">D4*$E$10</f>
        <v>315.1636806189415</v>
      </c>
      <c r="F4" s="289">
        <f>COUNTIF($F$14:$F$64,A4)</f>
        <v>12</v>
      </c>
      <c r="G4" s="310">
        <f>F4/$F$9</f>
        <v>0.23529411764705882</v>
      </c>
      <c r="H4" s="266"/>
      <c r="I4" s="266"/>
      <c r="J4" s="266"/>
      <c r="K4" s="266"/>
      <c r="L4" s="266"/>
    </row>
    <row r="5" spans="1:12" ht="15">
      <c r="A5" s="269">
        <v>4</v>
      </c>
      <c r="B5" s="270">
        <f>444.15*A5+3368.8</f>
        <v>5145.3999999999996</v>
      </c>
      <c r="C5" s="270">
        <f>316.23*A5+4014.9</f>
        <v>5279.82</v>
      </c>
      <c r="D5" s="271">
        <f t="shared" si="0"/>
        <v>134.42000000000007</v>
      </c>
      <c r="E5" s="272">
        <f t="shared" si="1"/>
        <v>120.29617212152829</v>
      </c>
      <c r="F5" s="289">
        <f>COUNTIF($F$14:$F$64,A5)</f>
        <v>0</v>
      </c>
      <c r="G5" s="310">
        <f>F5/$F$9</f>
        <v>0</v>
      </c>
      <c r="H5" s="266"/>
      <c r="I5" s="266"/>
      <c r="J5" s="266"/>
      <c r="K5" s="266"/>
      <c r="L5" s="266"/>
    </row>
    <row r="6" spans="1:12" ht="15">
      <c r="A6" s="269">
        <v>5</v>
      </c>
      <c r="B6" s="270">
        <f>AVERAGEIFS($E$14:$E$64,$F$14:$F$64,"5",$A$14:$A$64,"Baseline")</f>
        <v>6589</v>
      </c>
      <c r="C6" s="270">
        <f>AVERAGEIFS($E$14:$E$64,$A$14:$A$64,"Energy Efficient",$F$14:$F$64,"5")</f>
        <v>6325.666666666667</v>
      </c>
      <c r="D6" s="271">
        <f t="shared" si="0"/>
        <v>-263.33333333333303</v>
      </c>
      <c r="E6" s="272">
        <f t="shared" si="1"/>
        <v>-235.66427608988539</v>
      </c>
      <c r="F6" s="289">
        <f>COUNTIF($F$14:$F$64,A6)</f>
        <v>12</v>
      </c>
      <c r="G6" s="310">
        <f>F6/$F$9</f>
        <v>0.23529411764705882</v>
      </c>
      <c r="H6" s="266"/>
      <c r="I6" s="266"/>
      <c r="J6" s="266"/>
      <c r="K6" s="266"/>
      <c r="L6" s="266"/>
    </row>
    <row r="7" spans="1:12" ht="15">
      <c r="A7" s="269">
        <v>6</v>
      </c>
      <c r="B7" s="270">
        <f>AVERAGEIFS($E$14:$E$64,$F$14:$F$64,"6",$A$14:$A$64,"Baseline")</f>
        <v>5367.5</v>
      </c>
      <c r="C7" s="270">
        <f>AVERAGEIFS($E$14:$E$64,$A$14:$A$64,"Energy Efficient",$F$14:$F$64,"6")</f>
        <v>5425.8</v>
      </c>
      <c r="D7" s="271">
        <f t="shared" si="0"/>
        <v>58.300000000000182</v>
      </c>
      <c r="E7" s="272">
        <f t="shared" si="1"/>
        <v>52.174280871039407</v>
      </c>
      <c r="F7" s="289">
        <f>COUNTIF($F$14:$F$64,A7)</f>
        <v>17</v>
      </c>
      <c r="G7" s="310">
        <f>F7/$F$9</f>
        <v>0.33333333333333331</v>
      </c>
      <c r="H7" s="266"/>
      <c r="I7" s="266"/>
      <c r="J7" s="266"/>
      <c r="K7" s="266"/>
      <c r="L7" s="266"/>
    </row>
    <row r="8" spans="1:12" ht="15">
      <c r="A8" s="269">
        <v>10</v>
      </c>
      <c r="B8" s="270">
        <f>AVERAGEIFS($E$14:$E$64,$F$14:$F$64,"10",$A$14:$A$64,"Baseline")</f>
        <v>13166.25</v>
      </c>
      <c r="C8" s="270">
        <f>AVERAGEIFS($E$14:$E$64,$A$14:$A$64,"Energy Efficient",$F$14:$F$64,"10")</f>
        <v>17158.333333333332</v>
      </c>
      <c r="D8" s="271">
        <f t="shared" si="0"/>
        <v>3992.0833333333321</v>
      </c>
      <c r="E8" s="272">
        <f t="shared" si="1"/>
        <v>3572.6256791411297</v>
      </c>
      <c r="F8" s="289">
        <f>COUNTIF($F$14:$F$64,A8)</f>
        <v>10</v>
      </c>
      <c r="G8" s="310">
        <f>F8/$F$9</f>
        <v>0.19607843137254902</v>
      </c>
      <c r="H8" s="266"/>
      <c r="I8" s="266"/>
      <c r="J8" s="266"/>
      <c r="K8" s="266"/>
      <c r="L8" s="266"/>
    </row>
    <row r="9" spans="1:12" ht="15">
      <c r="A9" s="269" t="s">
        <v>612</v>
      </c>
      <c r="B9" s="270">
        <f>AVERAGEIFS($E$14:$E$64,$A$14:$A$64,"Baseline")</f>
        <v>7174.6111111111113</v>
      </c>
      <c r="C9" s="270">
        <f>AVERAGEIFS($E$14:$E$60,$A$14:$A$60,"Energy Efficient")</f>
        <v>7594.333333333333</v>
      </c>
      <c r="D9" s="271">
        <f t="shared" si="0"/>
        <v>419.72222222222172</v>
      </c>
      <c r="E9" s="272">
        <f t="shared" si="1"/>
        <v>375.62101389432155</v>
      </c>
      <c r="F9" s="289">
        <f>SUM(F4:F8)</f>
        <v>51</v>
      </c>
      <c r="G9" s="314">
        <f>SUM(G4:G8)</f>
        <v>1</v>
      </c>
      <c r="H9" s="266"/>
      <c r="I9" s="266"/>
      <c r="J9" s="266"/>
      <c r="K9" s="266"/>
      <c r="L9" s="266"/>
    </row>
    <row r="10" spans="1:12" ht="15">
      <c r="A10" s="266"/>
      <c r="B10" s="266"/>
      <c r="C10" s="266"/>
      <c r="D10" s="273" t="s">
        <v>562</v>
      </c>
      <c r="E10" s="274">
        <v>0.89492763072108483</v>
      </c>
      <c r="F10" s="266"/>
      <c r="G10" s="266"/>
      <c r="H10" s="266"/>
      <c r="I10" s="266"/>
      <c r="J10" s="266"/>
      <c r="K10" s="266"/>
      <c r="L10" s="266"/>
    </row>
    <row r="11" spans="1:12">
      <c r="A11" s="266"/>
      <c r="B11" s="266"/>
      <c r="C11" s="266"/>
      <c r="D11" s="266"/>
      <c r="E11" s="266"/>
      <c r="F11" s="266"/>
      <c r="G11" s="266"/>
      <c r="H11" s="266"/>
      <c r="I11" s="266"/>
      <c r="J11" s="266"/>
      <c r="K11" s="266"/>
      <c r="L11" s="266"/>
    </row>
    <row r="12" spans="1:12" ht="16.5" thickBot="1">
      <c r="A12" s="295" t="s">
        <v>613</v>
      </c>
      <c r="B12" s="266"/>
      <c r="C12" s="266"/>
      <c r="D12" s="266"/>
      <c r="E12" s="266"/>
      <c r="F12" s="266"/>
      <c r="G12" s="266"/>
      <c r="H12" s="266"/>
      <c r="I12" s="296"/>
      <c r="J12" s="296"/>
      <c r="K12" s="296"/>
      <c r="L12" s="266"/>
    </row>
    <row r="13" spans="1:12" ht="13.5" thickBot="1">
      <c r="A13" s="275" t="s">
        <v>564</v>
      </c>
      <c r="B13" s="276" t="s">
        <v>565</v>
      </c>
      <c r="C13" s="276" t="s">
        <v>566</v>
      </c>
      <c r="D13" s="276" t="s">
        <v>567</v>
      </c>
      <c r="E13" s="276" t="s">
        <v>614</v>
      </c>
      <c r="F13" s="276" t="s">
        <v>615</v>
      </c>
      <c r="G13" s="276" t="s">
        <v>616</v>
      </c>
      <c r="H13" s="266"/>
      <c r="I13" s="266"/>
      <c r="J13" s="266"/>
      <c r="K13" s="266"/>
      <c r="L13" s="266"/>
    </row>
    <row r="14" spans="1:12" ht="15.75" thickBot="1">
      <c r="A14" s="297" t="s">
        <v>70</v>
      </c>
      <c r="B14" s="298" t="s">
        <v>617</v>
      </c>
      <c r="C14" s="298" t="s">
        <v>618</v>
      </c>
      <c r="D14" s="299">
        <v>7880</v>
      </c>
      <c r="E14" s="299">
        <v>3940</v>
      </c>
      <c r="F14" s="300">
        <v>3</v>
      </c>
      <c r="G14" s="301">
        <f t="shared" ref="G14:G64" si="2">E14/F14</f>
        <v>1313.3333333333333</v>
      </c>
      <c r="H14" s="266"/>
      <c r="I14" s="266"/>
      <c r="J14" s="266"/>
      <c r="K14" s="266"/>
      <c r="L14" s="266"/>
    </row>
    <row r="15" spans="1:12" ht="15.75" thickBot="1">
      <c r="A15" s="297" t="s">
        <v>70</v>
      </c>
      <c r="B15" s="298" t="s">
        <v>586</v>
      </c>
      <c r="C15" s="298" t="s">
        <v>619</v>
      </c>
      <c r="D15" s="299">
        <v>7618</v>
      </c>
      <c r="E15" s="299">
        <v>3809</v>
      </c>
      <c r="F15" s="300">
        <v>3</v>
      </c>
      <c r="G15" s="301">
        <f t="shared" si="2"/>
        <v>1269.6666666666667</v>
      </c>
      <c r="H15" s="266"/>
      <c r="I15" s="266"/>
      <c r="J15" s="266"/>
      <c r="K15" s="266"/>
      <c r="L15" s="266"/>
    </row>
    <row r="16" spans="1:12" ht="15.75" thickBot="1">
      <c r="A16" s="297" t="s">
        <v>70</v>
      </c>
      <c r="B16" s="298" t="s">
        <v>586</v>
      </c>
      <c r="C16" s="298" t="s">
        <v>620</v>
      </c>
      <c r="D16" s="299">
        <v>8172</v>
      </c>
      <c r="E16" s="299">
        <v>4086</v>
      </c>
      <c r="F16" s="300">
        <v>3</v>
      </c>
      <c r="G16" s="301">
        <f t="shared" si="2"/>
        <v>1362</v>
      </c>
      <c r="H16" s="266"/>
      <c r="I16" s="266"/>
      <c r="J16" s="266"/>
      <c r="K16" s="266"/>
      <c r="L16" s="266"/>
    </row>
    <row r="17" spans="1:12" ht="15.75" thickBot="1">
      <c r="A17" s="297" t="s">
        <v>70</v>
      </c>
      <c r="B17" s="298" t="s">
        <v>621</v>
      </c>
      <c r="C17" s="298" t="s">
        <v>622</v>
      </c>
      <c r="D17" s="299">
        <v>9795</v>
      </c>
      <c r="E17" s="299">
        <v>4898</v>
      </c>
      <c r="F17" s="300">
        <v>3</v>
      </c>
      <c r="G17" s="301">
        <f t="shared" si="2"/>
        <v>1632.6666666666667</v>
      </c>
      <c r="H17" s="266"/>
      <c r="I17" s="296"/>
      <c r="J17" s="302"/>
      <c r="K17" s="274"/>
      <c r="L17" s="266"/>
    </row>
    <row r="18" spans="1:12" ht="15.75" thickBot="1">
      <c r="A18" s="297" t="s">
        <v>70</v>
      </c>
      <c r="B18" s="298" t="s">
        <v>623</v>
      </c>
      <c r="C18" s="298" t="s">
        <v>624</v>
      </c>
      <c r="D18" s="299">
        <v>9095</v>
      </c>
      <c r="E18" s="299">
        <v>4548</v>
      </c>
      <c r="F18" s="300">
        <v>3</v>
      </c>
      <c r="G18" s="301">
        <f t="shared" si="2"/>
        <v>1516</v>
      </c>
      <c r="H18" s="266"/>
      <c r="I18" s="296"/>
      <c r="J18" s="266"/>
      <c r="K18" s="266"/>
      <c r="L18" s="266"/>
    </row>
    <row r="19" spans="1:12" ht="15.75" thickBot="1">
      <c r="A19" s="297" t="s">
        <v>70</v>
      </c>
      <c r="B19" s="298" t="s">
        <v>623</v>
      </c>
      <c r="C19" s="298" t="s">
        <v>625</v>
      </c>
      <c r="D19" s="299">
        <v>9855</v>
      </c>
      <c r="E19" s="299">
        <v>4928</v>
      </c>
      <c r="F19" s="300">
        <v>3</v>
      </c>
      <c r="G19" s="301">
        <f t="shared" si="2"/>
        <v>1642.6666666666667</v>
      </c>
      <c r="H19" s="266"/>
      <c r="I19" s="266"/>
      <c r="J19" s="266"/>
      <c r="K19" s="266"/>
      <c r="L19" s="266"/>
    </row>
    <row r="20" spans="1:12" ht="15.75" thickBot="1">
      <c r="A20" s="297" t="s">
        <v>70</v>
      </c>
      <c r="B20" s="298" t="s">
        <v>617</v>
      </c>
      <c r="C20" s="298" t="s">
        <v>626</v>
      </c>
      <c r="D20" s="299">
        <v>11375</v>
      </c>
      <c r="E20" s="299">
        <v>5688</v>
      </c>
      <c r="F20" s="300">
        <v>5</v>
      </c>
      <c r="G20" s="301">
        <f t="shared" si="2"/>
        <v>1137.5999999999999</v>
      </c>
      <c r="H20" s="266"/>
      <c r="I20" s="266"/>
      <c r="J20" s="266"/>
      <c r="K20" s="266"/>
      <c r="L20" s="266"/>
    </row>
    <row r="21" spans="1:12" ht="15.75" thickBot="1">
      <c r="A21" s="297" t="s">
        <v>70</v>
      </c>
      <c r="B21" s="298" t="s">
        <v>621</v>
      </c>
      <c r="C21" s="298" t="s">
        <v>627</v>
      </c>
      <c r="D21" s="299">
        <v>11220</v>
      </c>
      <c r="E21" s="299">
        <v>5610</v>
      </c>
      <c r="F21" s="300">
        <v>5</v>
      </c>
      <c r="G21" s="301">
        <f t="shared" si="2"/>
        <v>1122</v>
      </c>
      <c r="H21" s="294"/>
      <c r="I21" s="266"/>
      <c r="J21" s="266"/>
      <c r="K21" s="266"/>
      <c r="L21" s="266"/>
    </row>
    <row r="22" spans="1:12" ht="15.75" thickBot="1">
      <c r="A22" s="297" t="s">
        <v>70</v>
      </c>
      <c r="B22" s="298" t="s">
        <v>623</v>
      </c>
      <c r="C22" s="298" t="s">
        <v>628</v>
      </c>
      <c r="D22" s="299">
        <v>13010</v>
      </c>
      <c r="E22" s="299">
        <v>6505</v>
      </c>
      <c r="F22" s="300">
        <v>5</v>
      </c>
      <c r="G22" s="301">
        <f t="shared" si="2"/>
        <v>1301</v>
      </c>
      <c r="H22" s="294"/>
      <c r="I22" s="266"/>
      <c r="J22" s="266"/>
      <c r="K22" s="266"/>
      <c r="L22" s="266"/>
    </row>
    <row r="23" spans="1:12" ht="15.75" thickBot="1">
      <c r="A23" s="297" t="s">
        <v>70</v>
      </c>
      <c r="B23" s="298" t="s">
        <v>623</v>
      </c>
      <c r="C23" s="298" t="s">
        <v>629</v>
      </c>
      <c r="D23" s="299">
        <v>12990</v>
      </c>
      <c r="E23" s="299">
        <v>6495</v>
      </c>
      <c r="F23" s="300">
        <v>5</v>
      </c>
      <c r="G23" s="301">
        <f t="shared" si="2"/>
        <v>1299</v>
      </c>
      <c r="H23" s="266"/>
      <c r="I23" s="266"/>
      <c r="J23" s="266"/>
      <c r="K23" s="266"/>
      <c r="L23" s="266"/>
    </row>
    <row r="24" spans="1:12" ht="15.75" thickBot="1">
      <c r="A24" s="297" t="s">
        <v>70</v>
      </c>
      <c r="B24" s="298" t="s">
        <v>592</v>
      </c>
      <c r="C24" s="298" t="s">
        <v>630</v>
      </c>
      <c r="D24" s="299">
        <v>14736</v>
      </c>
      <c r="E24" s="299">
        <v>7368</v>
      </c>
      <c r="F24" s="300">
        <v>5</v>
      </c>
      <c r="G24" s="301">
        <f t="shared" si="2"/>
        <v>1473.6</v>
      </c>
      <c r="H24" s="266"/>
      <c r="I24" s="266"/>
      <c r="J24" s="266"/>
      <c r="K24" s="266"/>
      <c r="L24" s="266"/>
    </row>
    <row r="25" spans="1:12" ht="15.75" thickBot="1">
      <c r="A25" s="297" t="s">
        <v>70</v>
      </c>
      <c r="B25" s="298" t="s">
        <v>592</v>
      </c>
      <c r="C25" s="298" t="s">
        <v>631</v>
      </c>
      <c r="D25" s="299">
        <v>15736</v>
      </c>
      <c r="E25" s="299">
        <v>7868</v>
      </c>
      <c r="F25" s="300">
        <v>5</v>
      </c>
      <c r="G25" s="301">
        <f t="shared" si="2"/>
        <v>1573.6</v>
      </c>
      <c r="H25" s="266"/>
      <c r="I25" s="266"/>
      <c r="J25" s="266"/>
      <c r="K25" s="266"/>
      <c r="L25" s="266"/>
    </row>
    <row r="26" spans="1:12" ht="15.75" thickBot="1">
      <c r="A26" s="297" t="s">
        <v>70</v>
      </c>
      <c r="B26" s="298" t="s">
        <v>586</v>
      </c>
      <c r="C26" s="298" t="s">
        <v>632</v>
      </c>
      <c r="D26" s="299">
        <v>10159</v>
      </c>
      <c r="E26" s="299">
        <v>5080</v>
      </c>
      <c r="F26" s="300">
        <v>6</v>
      </c>
      <c r="G26" s="301">
        <f t="shared" si="2"/>
        <v>846.66666666666663</v>
      </c>
      <c r="H26" s="266"/>
      <c r="I26" s="266"/>
      <c r="J26" s="266"/>
      <c r="K26" s="266"/>
      <c r="L26" s="266"/>
    </row>
    <row r="27" spans="1:12" ht="15.75" thickBot="1">
      <c r="A27" s="297" t="s">
        <v>70</v>
      </c>
      <c r="B27" s="298" t="s">
        <v>586</v>
      </c>
      <c r="C27" s="298" t="s">
        <v>633</v>
      </c>
      <c r="D27" s="299">
        <v>11309</v>
      </c>
      <c r="E27" s="299">
        <v>5655</v>
      </c>
      <c r="F27" s="300">
        <v>6</v>
      </c>
      <c r="G27" s="301">
        <f t="shared" si="2"/>
        <v>942.5</v>
      </c>
      <c r="H27" s="266"/>
      <c r="I27" s="266"/>
      <c r="J27" s="266"/>
      <c r="K27" s="266"/>
      <c r="L27" s="266"/>
    </row>
    <row r="28" spans="1:12" ht="15.75" thickBot="1">
      <c r="A28" s="297" t="s">
        <v>595</v>
      </c>
      <c r="B28" s="298" t="s">
        <v>634</v>
      </c>
      <c r="C28" s="298" t="s">
        <v>635</v>
      </c>
      <c r="D28" s="299">
        <v>8550</v>
      </c>
      <c r="E28" s="299">
        <v>4275</v>
      </c>
      <c r="F28" s="300">
        <v>3</v>
      </c>
      <c r="G28" s="301">
        <f t="shared" si="2"/>
        <v>1425</v>
      </c>
      <c r="H28" s="266"/>
      <c r="I28" s="266"/>
      <c r="J28" s="266"/>
      <c r="K28" s="266"/>
      <c r="L28" s="266"/>
    </row>
    <row r="29" spans="1:12" ht="15.75" thickBot="1">
      <c r="A29" s="297" t="s">
        <v>595</v>
      </c>
      <c r="B29" s="298" t="s">
        <v>617</v>
      </c>
      <c r="C29" s="298" t="s">
        <v>636</v>
      </c>
      <c r="D29" s="299">
        <v>9710</v>
      </c>
      <c r="E29" s="299">
        <v>4855</v>
      </c>
      <c r="F29" s="300">
        <v>3</v>
      </c>
      <c r="G29" s="301">
        <f t="shared" si="2"/>
        <v>1618.3333333333333</v>
      </c>
      <c r="H29" s="266"/>
      <c r="I29" s="266"/>
      <c r="J29" s="266"/>
      <c r="K29" s="266"/>
      <c r="L29" s="266"/>
    </row>
    <row r="30" spans="1:12" ht="15.75" thickBot="1">
      <c r="A30" s="297" t="s">
        <v>595</v>
      </c>
      <c r="B30" s="298" t="s">
        <v>637</v>
      </c>
      <c r="C30" s="298" t="s">
        <v>638</v>
      </c>
      <c r="D30" s="299">
        <v>9600</v>
      </c>
      <c r="E30" s="299">
        <v>4800</v>
      </c>
      <c r="F30" s="300">
        <v>3</v>
      </c>
      <c r="G30" s="301">
        <f t="shared" si="2"/>
        <v>1600</v>
      </c>
      <c r="H30" s="266"/>
      <c r="I30" s="266"/>
      <c r="J30" s="266"/>
      <c r="K30" s="266"/>
      <c r="L30" s="266"/>
    </row>
    <row r="31" spans="1:12" ht="15.75" thickBot="1">
      <c r="A31" s="297" t="s">
        <v>595</v>
      </c>
      <c r="B31" s="298" t="s">
        <v>586</v>
      </c>
      <c r="C31" s="298" t="s">
        <v>639</v>
      </c>
      <c r="D31" s="299">
        <v>9332</v>
      </c>
      <c r="E31" s="299">
        <v>4666</v>
      </c>
      <c r="F31" s="300">
        <v>3</v>
      </c>
      <c r="G31" s="301">
        <f t="shared" si="2"/>
        <v>1555.3333333333333</v>
      </c>
      <c r="H31" s="266"/>
      <c r="I31" s="266"/>
      <c r="J31" s="266"/>
      <c r="K31" s="266"/>
      <c r="L31" s="266"/>
    </row>
    <row r="32" spans="1:12" ht="15.75" thickBot="1">
      <c r="A32" s="297" t="s">
        <v>595</v>
      </c>
      <c r="B32" s="298" t="s">
        <v>621</v>
      </c>
      <c r="C32" s="298" t="s">
        <v>640</v>
      </c>
      <c r="D32" s="299">
        <v>9168</v>
      </c>
      <c r="E32" s="299">
        <v>4584</v>
      </c>
      <c r="F32" s="300">
        <v>3</v>
      </c>
      <c r="G32" s="301">
        <f t="shared" si="2"/>
        <v>1528</v>
      </c>
      <c r="H32" s="266"/>
      <c r="I32" s="266"/>
      <c r="J32" s="266"/>
      <c r="K32" s="266"/>
      <c r="L32" s="266"/>
    </row>
    <row r="33" spans="1:12" ht="15.75" thickBot="1">
      <c r="A33" s="297" t="s">
        <v>595</v>
      </c>
      <c r="B33" s="298" t="s">
        <v>592</v>
      </c>
      <c r="C33" s="298" t="s">
        <v>641</v>
      </c>
      <c r="D33" s="299">
        <v>10284</v>
      </c>
      <c r="E33" s="299">
        <v>5142</v>
      </c>
      <c r="F33" s="300">
        <v>3</v>
      </c>
      <c r="G33" s="301">
        <f t="shared" si="2"/>
        <v>1714</v>
      </c>
      <c r="H33" s="266"/>
      <c r="I33" s="266"/>
      <c r="J33" s="266"/>
      <c r="K33" s="266"/>
      <c r="L33" s="266"/>
    </row>
    <row r="34" spans="1:12" ht="15.75" thickBot="1">
      <c r="A34" s="297" t="s">
        <v>595</v>
      </c>
      <c r="B34" s="298" t="s">
        <v>617</v>
      </c>
      <c r="C34" s="298" t="s">
        <v>642</v>
      </c>
      <c r="D34" s="299">
        <v>12050</v>
      </c>
      <c r="E34" s="299">
        <v>6025</v>
      </c>
      <c r="F34" s="300">
        <v>5</v>
      </c>
      <c r="G34" s="301">
        <f t="shared" si="2"/>
        <v>1205</v>
      </c>
      <c r="H34" s="294"/>
      <c r="I34" s="266"/>
      <c r="J34" s="266"/>
      <c r="K34" s="266"/>
      <c r="L34" s="266"/>
    </row>
    <row r="35" spans="1:12" ht="15.75" thickBot="1">
      <c r="A35" s="297" t="s">
        <v>595</v>
      </c>
      <c r="B35" s="298" t="s">
        <v>637</v>
      </c>
      <c r="C35" s="298" t="s">
        <v>643</v>
      </c>
      <c r="D35" s="299">
        <v>10310</v>
      </c>
      <c r="E35" s="299">
        <v>5155</v>
      </c>
      <c r="F35" s="300">
        <v>5</v>
      </c>
      <c r="G35" s="301">
        <f t="shared" si="2"/>
        <v>1031</v>
      </c>
      <c r="H35" s="294"/>
      <c r="I35" s="266"/>
      <c r="J35" s="266"/>
      <c r="K35" s="266"/>
      <c r="L35" s="266"/>
    </row>
    <row r="36" spans="1:12" ht="15.75" thickBot="1">
      <c r="A36" s="297" t="s">
        <v>595</v>
      </c>
      <c r="B36" s="298" t="s">
        <v>637</v>
      </c>
      <c r="C36" s="298" t="s">
        <v>644</v>
      </c>
      <c r="D36" s="299">
        <v>11520</v>
      </c>
      <c r="E36" s="299">
        <v>5760</v>
      </c>
      <c r="F36" s="300">
        <v>5</v>
      </c>
      <c r="G36" s="301">
        <f t="shared" si="2"/>
        <v>1152</v>
      </c>
      <c r="H36" s="266"/>
      <c r="I36" s="266"/>
      <c r="J36" s="266"/>
      <c r="K36" s="266"/>
      <c r="L36" s="266"/>
    </row>
    <row r="37" spans="1:12" ht="15.75" thickBot="1">
      <c r="A37" s="297" t="s">
        <v>595</v>
      </c>
      <c r="B37" s="298" t="s">
        <v>586</v>
      </c>
      <c r="C37" s="298" t="s">
        <v>645</v>
      </c>
      <c r="D37" s="299">
        <v>17737</v>
      </c>
      <c r="E37" s="299">
        <v>8869</v>
      </c>
      <c r="F37" s="300">
        <v>5</v>
      </c>
      <c r="G37" s="301">
        <f t="shared" si="2"/>
        <v>1773.8</v>
      </c>
      <c r="H37" s="266"/>
      <c r="I37" s="266"/>
      <c r="J37" s="266"/>
      <c r="K37" s="266"/>
      <c r="L37" s="266"/>
    </row>
    <row r="38" spans="1:12" ht="15.75" thickBot="1">
      <c r="A38" s="297" t="s">
        <v>595</v>
      </c>
      <c r="B38" s="298" t="s">
        <v>621</v>
      </c>
      <c r="C38" s="298" t="s">
        <v>646</v>
      </c>
      <c r="D38" s="299">
        <v>10018</v>
      </c>
      <c r="E38" s="299">
        <v>5009</v>
      </c>
      <c r="F38" s="300">
        <v>5</v>
      </c>
      <c r="G38" s="301">
        <f t="shared" si="2"/>
        <v>1001.8</v>
      </c>
      <c r="H38" s="266"/>
      <c r="I38" s="266"/>
      <c r="J38" s="266"/>
      <c r="K38" s="266"/>
      <c r="L38" s="266"/>
    </row>
    <row r="39" spans="1:12" ht="15.75" thickBot="1">
      <c r="A39" s="297" t="s">
        <v>595</v>
      </c>
      <c r="B39" s="298" t="s">
        <v>592</v>
      </c>
      <c r="C39" s="298" t="s">
        <v>647</v>
      </c>
      <c r="D39" s="299">
        <v>14272</v>
      </c>
      <c r="E39" s="299">
        <v>7136</v>
      </c>
      <c r="F39" s="300">
        <v>5</v>
      </c>
      <c r="G39" s="301">
        <f t="shared" si="2"/>
        <v>1427.2</v>
      </c>
      <c r="H39" s="266"/>
      <c r="I39" s="266"/>
      <c r="J39" s="266"/>
      <c r="K39" s="266"/>
      <c r="L39" s="266"/>
    </row>
    <row r="40" spans="1:12" ht="15.75" thickBot="1">
      <c r="A40" s="297" t="s">
        <v>595</v>
      </c>
      <c r="B40" s="298" t="s">
        <v>634</v>
      </c>
      <c r="C40" s="298" t="s">
        <v>648</v>
      </c>
      <c r="D40" s="299">
        <v>12005</v>
      </c>
      <c r="E40" s="299">
        <v>6003</v>
      </c>
      <c r="F40" s="300">
        <v>6</v>
      </c>
      <c r="G40" s="301">
        <f t="shared" si="2"/>
        <v>1000.5</v>
      </c>
      <c r="H40" s="266"/>
      <c r="I40" s="266"/>
      <c r="J40" s="266"/>
      <c r="K40" s="266"/>
      <c r="L40" s="266"/>
    </row>
    <row r="41" spans="1:12" ht="15.75" thickBot="1">
      <c r="A41" s="297" t="s">
        <v>595</v>
      </c>
      <c r="B41" s="298" t="s">
        <v>634</v>
      </c>
      <c r="C41" s="298" t="s">
        <v>649</v>
      </c>
      <c r="D41" s="299">
        <v>10795</v>
      </c>
      <c r="E41" s="299">
        <v>5398</v>
      </c>
      <c r="F41" s="300">
        <v>6</v>
      </c>
      <c r="G41" s="301">
        <f t="shared" si="2"/>
        <v>899.66666666666663</v>
      </c>
      <c r="H41" s="266"/>
      <c r="I41" s="266"/>
      <c r="J41" s="266"/>
      <c r="K41" s="266"/>
      <c r="L41" s="266"/>
    </row>
    <row r="42" spans="1:12" ht="15.75" thickBot="1">
      <c r="A42" s="297" t="s">
        <v>595</v>
      </c>
      <c r="B42" s="298" t="s">
        <v>634</v>
      </c>
      <c r="C42" s="298" t="s">
        <v>650</v>
      </c>
      <c r="D42" s="299">
        <v>11250</v>
      </c>
      <c r="E42" s="299">
        <v>5625</v>
      </c>
      <c r="F42" s="300">
        <v>6</v>
      </c>
      <c r="G42" s="301">
        <f t="shared" si="2"/>
        <v>937.5</v>
      </c>
      <c r="H42" s="266"/>
      <c r="I42" s="266"/>
      <c r="J42" s="266"/>
      <c r="K42" s="266"/>
      <c r="L42" s="266"/>
    </row>
    <row r="43" spans="1:12" ht="15.75" thickBot="1">
      <c r="A43" s="297" t="s">
        <v>595</v>
      </c>
      <c r="B43" s="298" t="s">
        <v>634</v>
      </c>
      <c r="C43" s="298" t="s">
        <v>651</v>
      </c>
      <c r="D43" s="299">
        <v>10340</v>
      </c>
      <c r="E43" s="299">
        <v>5170</v>
      </c>
      <c r="F43" s="300">
        <v>6</v>
      </c>
      <c r="G43" s="301">
        <f t="shared" si="2"/>
        <v>861.66666666666663</v>
      </c>
      <c r="H43" s="266"/>
      <c r="I43" s="266"/>
      <c r="J43" s="266"/>
      <c r="K43" s="266"/>
      <c r="L43" s="266"/>
    </row>
    <row r="44" spans="1:12" ht="15.75" thickBot="1">
      <c r="A44" s="297" t="s">
        <v>595</v>
      </c>
      <c r="B44" s="298" t="s">
        <v>634</v>
      </c>
      <c r="C44" s="298" t="s">
        <v>652</v>
      </c>
      <c r="D44" s="299">
        <v>11250</v>
      </c>
      <c r="E44" s="299">
        <v>5625</v>
      </c>
      <c r="F44" s="300">
        <v>6</v>
      </c>
      <c r="G44" s="301">
        <f t="shared" si="2"/>
        <v>937.5</v>
      </c>
      <c r="H44" s="266"/>
      <c r="I44" s="266"/>
      <c r="J44" s="266"/>
      <c r="K44" s="266"/>
      <c r="L44" s="266"/>
    </row>
    <row r="45" spans="1:12" ht="15.75" thickBot="1">
      <c r="A45" s="297" t="s">
        <v>595</v>
      </c>
      <c r="B45" s="298" t="s">
        <v>637</v>
      </c>
      <c r="C45" s="298" t="s">
        <v>653</v>
      </c>
      <c r="D45" s="299">
        <v>12710</v>
      </c>
      <c r="E45" s="299">
        <v>6355</v>
      </c>
      <c r="F45" s="300">
        <v>6</v>
      </c>
      <c r="G45" s="301">
        <f t="shared" si="2"/>
        <v>1059.1666666666667</v>
      </c>
      <c r="H45" s="266"/>
      <c r="I45" s="266"/>
      <c r="J45" s="266"/>
      <c r="K45" s="266"/>
      <c r="L45" s="266"/>
    </row>
    <row r="46" spans="1:12" ht="15.75" thickBot="1">
      <c r="A46" s="297" t="s">
        <v>595</v>
      </c>
      <c r="B46" s="298" t="s">
        <v>654</v>
      </c>
      <c r="C46" s="298" t="s">
        <v>655</v>
      </c>
      <c r="D46" s="299">
        <v>9750</v>
      </c>
      <c r="E46" s="299">
        <v>4875</v>
      </c>
      <c r="F46" s="300">
        <v>6</v>
      </c>
      <c r="G46" s="301">
        <f t="shared" si="2"/>
        <v>812.5</v>
      </c>
      <c r="H46" s="266"/>
      <c r="I46" s="266"/>
      <c r="J46" s="266"/>
      <c r="K46" s="266"/>
      <c r="L46" s="266"/>
    </row>
    <row r="47" spans="1:12" ht="15.75" thickBot="1">
      <c r="A47" s="297" t="s">
        <v>595</v>
      </c>
      <c r="B47" s="298" t="s">
        <v>654</v>
      </c>
      <c r="C47" s="298" t="s">
        <v>656</v>
      </c>
      <c r="D47" s="299">
        <v>9750</v>
      </c>
      <c r="E47" s="299">
        <v>4875</v>
      </c>
      <c r="F47" s="300">
        <v>6</v>
      </c>
      <c r="G47" s="301">
        <f t="shared" si="2"/>
        <v>812.5</v>
      </c>
      <c r="H47" s="266"/>
      <c r="I47" s="266"/>
      <c r="J47" s="266"/>
      <c r="K47" s="266"/>
      <c r="L47" s="266"/>
    </row>
    <row r="48" spans="1:12" ht="15.75" thickBot="1">
      <c r="A48" s="297" t="s">
        <v>595</v>
      </c>
      <c r="B48" s="298" t="s">
        <v>654</v>
      </c>
      <c r="C48" s="298" t="s">
        <v>657</v>
      </c>
      <c r="D48" s="299">
        <v>9750</v>
      </c>
      <c r="E48" s="299">
        <v>4875</v>
      </c>
      <c r="F48" s="300">
        <v>6</v>
      </c>
      <c r="G48" s="301">
        <f t="shared" si="2"/>
        <v>812.5</v>
      </c>
      <c r="H48" s="266"/>
      <c r="I48" s="266"/>
      <c r="J48" s="266"/>
      <c r="K48" s="266"/>
      <c r="L48" s="266"/>
    </row>
    <row r="49" spans="1:12" ht="15.75" thickBot="1">
      <c r="A49" s="297" t="s">
        <v>595</v>
      </c>
      <c r="B49" s="298" t="s">
        <v>654</v>
      </c>
      <c r="C49" s="298" t="s">
        <v>658</v>
      </c>
      <c r="D49" s="299">
        <v>9750</v>
      </c>
      <c r="E49" s="299">
        <v>4875</v>
      </c>
      <c r="F49" s="300">
        <v>6</v>
      </c>
      <c r="G49" s="301">
        <f t="shared" si="2"/>
        <v>812.5</v>
      </c>
      <c r="H49" s="266"/>
      <c r="I49" s="266"/>
      <c r="J49" s="266"/>
      <c r="K49" s="266"/>
      <c r="L49" s="266"/>
    </row>
    <row r="50" spans="1:12" ht="15.75" thickBot="1">
      <c r="A50" s="297" t="s">
        <v>595</v>
      </c>
      <c r="B50" s="298" t="s">
        <v>654</v>
      </c>
      <c r="C50" s="298" t="s">
        <v>659</v>
      </c>
      <c r="D50" s="299">
        <v>9750</v>
      </c>
      <c r="E50" s="299">
        <v>4875</v>
      </c>
      <c r="F50" s="300">
        <v>6</v>
      </c>
      <c r="G50" s="301">
        <f t="shared" si="2"/>
        <v>812.5</v>
      </c>
      <c r="H50" s="266"/>
      <c r="I50" s="266"/>
      <c r="J50" s="266"/>
      <c r="K50" s="266"/>
      <c r="L50" s="266"/>
    </row>
    <row r="51" spans="1:12" ht="15.75" thickBot="1">
      <c r="A51" s="297" t="s">
        <v>595</v>
      </c>
      <c r="B51" s="298" t="s">
        <v>586</v>
      </c>
      <c r="C51" s="298" t="s">
        <v>660</v>
      </c>
      <c r="D51" s="299">
        <v>11718</v>
      </c>
      <c r="E51" s="299">
        <v>5859</v>
      </c>
      <c r="F51" s="300">
        <v>6</v>
      </c>
      <c r="G51" s="301">
        <f t="shared" si="2"/>
        <v>976.5</v>
      </c>
      <c r="H51" s="266"/>
      <c r="I51" s="266"/>
      <c r="J51" s="266"/>
      <c r="K51" s="266"/>
      <c r="L51" s="266"/>
    </row>
    <row r="52" spans="1:12" ht="15.75" thickBot="1">
      <c r="A52" s="297" t="s">
        <v>595</v>
      </c>
      <c r="B52" s="298" t="s">
        <v>661</v>
      </c>
      <c r="C52" s="298" t="s">
        <v>662</v>
      </c>
      <c r="D52" s="299">
        <v>12601</v>
      </c>
      <c r="E52" s="299">
        <v>6301</v>
      </c>
      <c r="F52" s="300">
        <v>6</v>
      </c>
      <c r="G52" s="301">
        <f t="shared" si="2"/>
        <v>1050.1666666666667</v>
      </c>
      <c r="H52" s="266"/>
      <c r="I52" s="266"/>
      <c r="J52" s="266"/>
      <c r="K52" s="266"/>
      <c r="L52" s="266"/>
    </row>
    <row r="53" spans="1:12" ht="15.75" thickBot="1">
      <c r="A53" s="297" t="s">
        <v>595</v>
      </c>
      <c r="B53" s="298" t="s">
        <v>661</v>
      </c>
      <c r="C53" s="298" t="s">
        <v>663</v>
      </c>
      <c r="D53" s="299">
        <v>10651</v>
      </c>
      <c r="E53" s="299">
        <v>5326</v>
      </c>
      <c r="F53" s="300">
        <v>6</v>
      </c>
      <c r="G53" s="301">
        <f t="shared" si="2"/>
        <v>887.66666666666663</v>
      </c>
      <c r="H53" s="266"/>
      <c r="I53" s="266"/>
      <c r="J53" s="266"/>
      <c r="K53" s="266"/>
      <c r="L53" s="266"/>
    </row>
    <row r="54" spans="1:12" ht="15.75" thickBot="1">
      <c r="A54" s="297" t="s">
        <v>595</v>
      </c>
      <c r="B54" s="298" t="s">
        <v>623</v>
      </c>
      <c r="C54" s="298" t="s">
        <v>664</v>
      </c>
      <c r="D54" s="299">
        <v>10700</v>
      </c>
      <c r="E54" s="299">
        <v>5350</v>
      </c>
      <c r="F54" s="300">
        <v>6</v>
      </c>
      <c r="G54" s="301">
        <f t="shared" si="2"/>
        <v>891.66666666666663</v>
      </c>
      <c r="H54" s="266"/>
      <c r="I54" s="266"/>
      <c r="J54" s="266"/>
      <c r="K54" s="266"/>
      <c r="L54" s="266"/>
    </row>
    <row r="55" spans="1:12" ht="15.75" thickBot="1">
      <c r="A55" s="297" t="s">
        <v>595</v>
      </c>
      <c r="B55" s="298" t="s">
        <v>586</v>
      </c>
      <c r="C55" s="298" t="s">
        <v>665</v>
      </c>
      <c r="D55" s="299">
        <v>27578</v>
      </c>
      <c r="E55" s="299">
        <v>13789</v>
      </c>
      <c r="F55" s="300">
        <v>10</v>
      </c>
      <c r="G55" s="301">
        <f t="shared" si="2"/>
        <v>1378.9</v>
      </c>
      <c r="H55" s="266"/>
      <c r="I55" s="266"/>
      <c r="J55" s="266"/>
      <c r="K55" s="266"/>
      <c r="L55" s="266"/>
    </row>
    <row r="56" spans="1:12" ht="15.75" thickBot="1">
      <c r="A56" s="297" t="s">
        <v>595</v>
      </c>
      <c r="B56" s="298" t="s">
        <v>586</v>
      </c>
      <c r="C56" s="298" t="s">
        <v>666</v>
      </c>
      <c r="D56" s="299">
        <v>34394</v>
      </c>
      <c r="E56" s="299">
        <v>17197</v>
      </c>
      <c r="F56" s="300">
        <v>10</v>
      </c>
      <c r="G56" s="301">
        <f t="shared" si="2"/>
        <v>1719.7</v>
      </c>
      <c r="H56" s="266"/>
      <c r="I56" s="266"/>
      <c r="J56" s="266"/>
      <c r="K56" s="266"/>
      <c r="L56" s="266"/>
    </row>
    <row r="57" spans="1:12" ht="15.75" thickBot="1">
      <c r="A57" s="297" t="s">
        <v>595</v>
      </c>
      <c r="B57" s="298" t="s">
        <v>586</v>
      </c>
      <c r="C57" s="298" t="s">
        <v>667</v>
      </c>
      <c r="D57" s="299">
        <v>35038</v>
      </c>
      <c r="E57" s="299">
        <v>17519</v>
      </c>
      <c r="F57" s="300">
        <v>10</v>
      </c>
      <c r="G57" s="301">
        <f t="shared" si="2"/>
        <v>1751.9</v>
      </c>
      <c r="H57" s="266"/>
      <c r="I57" s="266"/>
      <c r="J57" s="266"/>
      <c r="K57" s="266"/>
      <c r="L57" s="266"/>
    </row>
    <row r="58" spans="1:12" ht="15.75" thickBot="1">
      <c r="A58" s="297" t="s">
        <v>595</v>
      </c>
      <c r="B58" s="298" t="s">
        <v>586</v>
      </c>
      <c r="C58" s="298" t="s">
        <v>668</v>
      </c>
      <c r="D58" s="299">
        <v>35558</v>
      </c>
      <c r="E58" s="299">
        <v>17779</v>
      </c>
      <c r="F58" s="300">
        <v>10</v>
      </c>
      <c r="G58" s="301">
        <f t="shared" si="2"/>
        <v>1777.9</v>
      </c>
      <c r="H58" s="266"/>
      <c r="I58" s="266"/>
      <c r="J58" s="266"/>
      <c r="K58" s="266"/>
      <c r="L58" s="266"/>
    </row>
    <row r="59" spans="1:12" ht="15.75" thickBot="1">
      <c r="A59" s="297" t="s">
        <v>595</v>
      </c>
      <c r="B59" s="298" t="s">
        <v>586</v>
      </c>
      <c r="C59" s="298" t="s">
        <v>669</v>
      </c>
      <c r="D59" s="299">
        <v>36466</v>
      </c>
      <c r="E59" s="299">
        <v>18233</v>
      </c>
      <c r="F59" s="300">
        <v>10</v>
      </c>
      <c r="G59" s="301">
        <f t="shared" si="2"/>
        <v>1823.3</v>
      </c>
      <c r="H59" s="266"/>
      <c r="I59" s="266"/>
      <c r="J59" s="266"/>
      <c r="K59" s="266"/>
      <c r="L59" s="266"/>
    </row>
    <row r="60" spans="1:12" ht="15.75" thickBot="1">
      <c r="A60" s="297" t="s">
        <v>595</v>
      </c>
      <c r="B60" s="298" t="s">
        <v>586</v>
      </c>
      <c r="C60" s="298" t="s">
        <v>670</v>
      </c>
      <c r="D60" s="299">
        <v>36866</v>
      </c>
      <c r="E60" s="299">
        <v>18433</v>
      </c>
      <c r="F60" s="300">
        <v>10</v>
      </c>
      <c r="G60" s="301">
        <f t="shared" si="2"/>
        <v>1843.3</v>
      </c>
      <c r="H60" s="266"/>
      <c r="I60" s="266"/>
      <c r="J60" s="266"/>
      <c r="K60" s="266"/>
      <c r="L60" s="266"/>
    </row>
    <row r="61" spans="1:12" ht="15.75" thickBot="1">
      <c r="A61" s="303" t="s">
        <v>70</v>
      </c>
      <c r="B61" s="304" t="s">
        <v>586</v>
      </c>
      <c r="C61" s="304" t="s">
        <v>671</v>
      </c>
      <c r="D61" s="305">
        <f>E61*2</f>
        <v>21244</v>
      </c>
      <c r="E61" s="305">
        <v>10622</v>
      </c>
      <c r="F61" s="306">
        <v>10</v>
      </c>
      <c r="G61" s="307">
        <f t="shared" si="2"/>
        <v>1062.2</v>
      </c>
      <c r="H61" s="308" t="s">
        <v>672</v>
      </c>
      <c r="I61" s="309"/>
      <c r="J61" s="266"/>
      <c r="K61" s="266"/>
      <c r="L61" s="266"/>
    </row>
    <row r="62" spans="1:12" ht="15.75" thickBot="1">
      <c r="A62" s="303" t="s">
        <v>70</v>
      </c>
      <c r="B62" s="304" t="s">
        <v>623</v>
      </c>
      <c r="C62" s="304" t="s">
        <v>673</v>
      </c>
      <c r="D62" s="305">
        <v>24842</v>
      </c>
      <c r="E62" s="305">
        <f>D62*0.5</f>
        <v>12421</v>
      </c>
      <c r="F62" s="306">
        <v>10</v>
      </c>
      <c r="G62" s="307">
        <f t="shared" si="2"/>
        <v>1242.0999999999999</v>
      </c>
      <c r="H62" s="308" t="s">
        <v>674</v>
      </c>
      <c r="I62" s="309"/>
      <c r="J62" s="266"/>
      <c r="K62" s="266"/>
      <c r="L62" s="266"/>
    </row>
    <row r="63" spans="1:12" ht="15.75" thickBot="1">
      <c r="A63" s="303" t="s">
        <v>70</v>
      </c>
      <c r="B63" s="304" t="s">
        <v>592</v>
      </c>
      <c r="C63" s="304" t="s">
        <v>675</v>
      </c>
      <c r="D63" s="305">
        <f>E63*2</f>
        <v>28560</v>
      </c>
      <c r="E63" s="305">
        <v>14280</v>
      </c>
      <c r="F63" s="306">
        <v>10</v>
      </c>
      <c r="G63" s="307">
        <f t="shared" si="2"/>
        <v>1428</v>
      </c>
      <c r="H63" s="308" t="s">
        <v>672</v>
      </c>
      <c r="I63" s="309"/>
      <c r="J63" s="266"/>
      <c r="K63" s="266"/>
      <c r="L63" s="266"/>
    </row>
    <row r="64" spans="1:12" ht="15.75" thickBot="1">
      <c r="A64" s="303" t="s">
        <v>70</v>
      </c>
      <c r="B64" s="304" t="s">
        <v>637</v>
      </c>
      <c r="C64" s="304" t="s">
        <v>676</v>
      </c>
      <c r="D64" s="305">
        <f>E64*2</f>
        <v>30684</v>
      </c>
      <c r="E64" s="305">
        <v>15342</v>
      </c>
      <c r="F64" s="306">
        <v>10</v>
      </c>
      <c r="G64" s="307">
        <f t="shared" si="2"/>
        <v>1534.2</v>
      </c>
      <c r="H64" s="308" t="s">
        <v>677</v>
      </c>
      <c r="I64" s="309"/>
      <c r="J64" s="266"/>
      <c r="K64" s="266"/>
      <c r="L64" s="266"/>
    </row>
    <row r="65" spans="1:12">
      <c r="A65" s="266" t="s">
        <v>678</v>
      </c>
      <c r="B65" s="266"/>
      <c r="C65" s="266"/>
      <c r="D65" s="266"/>
      <c r="E65" s="266"/>
      <c r="F65" s="266"/>
      <c r="G65" s="266"/>
      <c r="H65" s="266"/>
      <c r="I65" s="266"/>
      <c r="J65" s="266"/>
      <c r="K65" s="266"/>
      <c r="L65" s="266"/>
    </row>
    <row r="66" spans="1:12">
      <c r="A66" s="266"/>
      <c r="B66" s="266"/>
      <c r="C66" s="266"/>
      <c r="D66" s="266"/>
      <c r="E66" s="311"/>
      <c r="F66" s="311"/>
      <c r="G66" s="311"/>
      <c r="H66" s="266"/>
      <c r="I66" s="266"/>
      <c r="J66" s="266"/>
      <c r="K66" s="266"/>
      <c r="L66" s="266"/>
    </row>
    <row r="67" spans="1:12" ht="15">
      <c r="A67" s="266"/>
      <c r="B67" s="266"/>
      <c r="C67" s="266"/>
      <c r="D67" s="266"/>
      <c r="E67" s="312"/>
      <c r="F67" s="311"/>
      <c r="G67" s="313"/>
      <c r="H67" s="266"/>
      <c r="I67" s="266"/>
      <c r="J67" s="266"/>
      <c r="K67" s="266"/>
      <c r="L67" s="266"/>
    </row>
    <row r="68" spans="1:12" ht="15">
      <c r="A68" s="266"/>
      <c r="B68" s="266"/>
      <c r="C68" s="266"/>
      <c r="D68" s="266"/>
      <c r="E68" s="312"/>
      <c r="F68" s="311"/>
      <c r="G68" s="313"/>
      <c r="H68" s="266"/>
      <c r="I68" s="266"/>
      <c r="J68" s="266"/>
      <c r="K68" s="266"/>
      <c r="L68" s="266"/>
    </row>
    <row r="69" spans="1:12" ht="15">
      <c r="A69" s="266"/>
      <c r="B69" s="266"/>
      <c r="C69" s="266"/>
      <c r="D69" s="266"/>
      <c r="E69" s="312"/>
      <c r="F69" s="311"/>
      <c r="G69" s="313"/>
      <c r="H69" s="266"/>
      <c r="I69" s="266"/>
      <c r="J69" s="266"/>
      <c r="K69" s="266"/>
      <c r="L69" s="266"/>
    </row>
    <row r="70" spans="1:12" ht="15">
      <c r="A70" s="266"/>
      <c r="B70" s="266"/>
      <c r="C70" s="266"/>
      <c r="D70" s="266"/>
      <c r="E70" s="312"/>
      <c r="F70" s="311"/>
      <c r="G70" s="313"/>
      <c r="H70" s="266"/>
      <c r="I70" s="266"/>
      <c r="J70" s="266"/>
      <c r="K70" s="266"/>
      <c r="L70" s="266"/>
    </row>
    <row r="71" spans="1:12" ht="15">
      <c r="A71" s="266"/>
      <c r="B71" s="266"/>
      <c r="C71" s="266"/>
      <c r="D71" s="266"/>
      <c r="E71" s="312"/>
      <c r="F71" s="311"/>
      <c r="G71" s="313"/>
      <c r="H71" s="266"/>
      <c r="I71" s="266"/>
      <c r="J71" s="266"/>
      <c r="K71" s="266"/>
      <c r="L71" s="266"/>
    </row>
    <row r="72" spans="1:12">
      <c r="A72" s="266"/>
      <c r="B72" s="266"/>
      <c r="C72" s="266"/>
      <c r="D72" s="266"/>
      <c r="E72" s="311"/>
      <c r="F72" s="311"/>
      <c r="G72" s="311"/>
      <c r="H72" s="266"/>
      <c r="I72" s="266"/>
      <c r="J72" s="266"/>
      <c r="K72" s="266"/>
      <c r="L72" s="266"/>
    </row>
    <row r="73" spans="1:12">
      <c r="A73" s="266"/>
      <c r="B73" s="266"/>
      <c r="C73" s="266"/>
      <c r="D73" s="266"/>
      <c r="E73" s="311"/>
      <c r="F73" s="311"/>
      <c r="G73" s="311"/>
      <c r="H73" s="266"/>
      <c r="I73" s="266"/>
      <c r="J73" s="266"/>
      <c r="K73" s="266"/>
      <c r="L73" s="266"/>
    </row>
  </sheetData>
  <hyperlinks>
    <hyperlink ref="H62" r:id="rId1" display="https://www.google.com/aclk?sa=l&amp;ai=CxVcAkADwUYWoO-X3iQL3y4HwDpGl7cMDoYv8tFqo4LuORAgJEAEg1s7PHigCUI6cl579_____wFgyYb-i8yk1BmgAdOu3P4DyAEHqgQjT9DTe99ec-F19IdwQdXHxFDMoOzABuyPl-UimbbYdpUqRsjABQWgBia4BgGAB5XRowHgEtu1psjWxNWWMw&amp;sig=AOD64_2j46gAzctMe9slWhrcmbt9dx5XNw&amp;ctype=5&amp;ved=0CAsQqxI&amp;adurl=http://www.rewonline.com/cgi-bin/rex/rex.cgi%3Fcommand%3Ddetailid%26src%3Dfrg%26prodid%3DGRN-2SSB-10EF-LH-240-3"/>
    <hyperlink ref="H61" r:id="rId2" display="https://www.google.com/aclk?sa=l&amp;ai=CEltDqgDwUfr9Ba3iiQLGkoD4Dvi5kIMGqKm8lF7wya3i0gEICRABINbOzx4oAlDYx7rcB2DJhv6LzKTUGaABoJe21APIAQeqBCdP0EfTwhqPzTXlwDjNVVm4NpUVF6wWWYyNX3MVVX8tyVPG47URj9DABQWgBia4BgGAB8joySvgEpXl0pD3uKbPsAE&amp;sig=AOD64_3P8i4mxUTkS2yJ4KJqaoGSvPxxtQ&amp;ctype=5&amp;ved=0CAsQqxI&amp;adurl=http://www.restaurantequipmentsolutions.com/MRKT-EJ-10E.html"/>
    <hyperlink ref="H63" r:id="rId3" display="https://www.google.com/aclk?sa=l&amp;ai=C8NIOvgDwUbXAG-yEigKu24HABvi5kIMGuNS8lF6olv-ntAEICRACINbOzx4oCFCbwP3SBWDJhv6LzKTUGaABoJe21APIAQeqBCdP0D1V0lRp-dORmohtqA2MNLh8nZqO2rinwNZAzbL0ZV5srVRW0crABQWgBia4BgGAB8joySvgEoPB77nlk6_lPA&amp;sig=AOD64_1TaDBixfxCc0iEgyPmriNnokjXbw&amp;ctype=5&amp;ved=0CA8QqxI&amp;adurl=http://www.restaurantequipmentsolutions.com/VLCN-C24EA10-DLX.html"/>
    <hyperlink ref="H64" r:id="rId4"/>
  </hyperlinks>
  <pageMargins left="0.7" right="0.7" top="0.75" bottom="0.75" header="0.3" footer="0.3"/>
</worksheet>
</file>

<file path=xl/worksheets/sheet18.xml><?xml version="1.0" encoding="utf-8"?>
<worksheet xmlns="http://schemas.openxmlformats.org/spreadsheetml/2006/main" xmlns:r="http://schemas.openxmlformats.org/officeDocument/2006/relationships">
  <sheetPr codeName="Sheet17"/>
  <dimension ref="A2:H53"/>
  <sheetViews>
    <sheetView topLeftCell="A28" workbookViewId="0">
      <selection activeCell="J4" sqref="J4"/>
    </sheetView>
  </sheetViews>
  <sheetFormatPr defaultRowHeight="12.75"/>
  <cols>
    <col min="1" max="1" width="35.28515625" style="266" customWidth="1"/>
    <col min="2" max="2" width="23.42578125" style="266" bestFit="1" customWidth="1"/>
    <col min="3" max="3" width="17.5703125" style="266" bestFit="1" customWidth="1"/>
    <col min="4" max="4" width="14.85546875" style="266" customWidth="1"/>
    <col min="5" max="5" width="12.5703125" style="266" customWidth="1"/>
    <col min="6" max="6" width="9.140625" style="266"/>
    <col min="7" max="7" width="9.7109375" style="266" bestFit="1" customWidth="1"/>
    <col min="8" max="8" width="8.7109375" style="266" customWidth="1"/>
    <col min="9" max="9" width="20.28515625" style="266" bestFit="1" customWidth="1"/>
    <col min="10" max="10" width="29.7109375" style="266" bestFit="1" customWidth="1"/>
    <col min="11" max="11" width="12.140625" style="266" bestFit="1" customWidth="1"/>
    <col min="12" max="12" width="7.7109375" style="266" bestFit="1" customWidth="1"/>
    <col min="13" max="16384" width="9.140625" style="266"/>
  </cols>
  <sheetData>
    <row r="2" spans="1:8" ht="15.75">
      <c r="A2" s="267" t="s">
        <v>681</v>
      </c>
    </row>
    <row r="3" spans="1:8" ht="45">
      <c r="A3" s="268" t="s">
        <v>555</v>
      </c>
      <c r="B3" s="268" t="s">
        <v>682</v>
      </c>
      <c r="C3" s="268" t="s">
        <v>556</v>
      </c>
      <c r="D3" s="268" t="s">
        <v>557</v>
      </c>
      <c r="E3" s="268" t="s">
        <v>558</v>
      </c>
      <c r="F3" s="268" t="s">
        <v>559</v>
      </c>
      <c r="G3" s="268" t="s">
        <v>679</v>
      </c>
      <c r="H3" s="268" t="s">
        <v>680</v>
      </c>
    </row>
    <row r="4" spans="1:8" ht="15">
      <c r="A4" s="315" t="s">
        <v>683</v>
      </c>
      <c r="B4" s="316">
        <f>AVERAGEIFS(D9:D48,$D$11:$D$50,"&gt;=6",$D$11:$D$50,"&lt;=15")</f>
        <v>7.666666666666667</v>
      </c>
      <c r="C4" s="270">
        <f>AVERAGEIFS($F$11:$F$50,$D$11:$D$50,"&gt;=6",$D$11:$D$50,"&lt;=15",$A$11:$A$50,"baseline")</f>
        <v>9113.4166666666661</v>
      </c>
      <c r="D4" s="270">
        <f>AVERAGEIFS($F$11:$F$50,$D$11:$D$50,"&gt;=6",$D$11:$D$50,"&lt;=15",$A$11:$A$50,"Energy Efficient")</f>
        <v>10705.5</v>
      </c>
      <c r="E4" s="271">
        <f>D4-C4</f>
        <v>1592.0833333333339</v>
      </c>
      <c r="F4" s="272">
        <f>E4*$F$7</f>
        <v>1424.7993654105278</v>
      </c>
      <c r="G4" s="289">
        <f>COUNTIF($D$11:$D$50,"&lt;=15")</f>
        <v>17</v>
      </c>
      <c r="H4" s="332">
        <f>G4/G7</f>
        <v>0.53125</v>
      </c>
    </row>
    <row r="5" spans="1:8" ht="15">
      <c r="A5" s="315" t="s">
        <v>684</v>
      </c>
      <c r="B5" s="316">
        <f>AVERAGEIFS(D10:D49,$D$11:$D$50,"&gt;=16",$D$11:$D$50,"&lt;=20")</f>
        <v>19.600000000000001</v>
      </c>
      <c r="C5" s="270">
        <f>AVERAGEIFS($F$11:$F$50,$D$11:$D$50,"&gt;=16",$D$11:$D$50,"&lt;=20",$A$11:$A$50,"baseline")</f>
        <v>15023.875</v>
      </c>
      <c r="D5" s="270">
        <f>AVERAGEIFS($F$11:$F$50,$D$11:$D$50,"&gt;=15",$D$11:$D$50,"&lt;=20",$A$11:$A$50,"Energy Efficient")</f>
        <v>15458.857142857143</v>
      </c>
      <c r="E5" s="271">
        <f>D5-C5</f>
        <v>434.98214285714312</v>
      </c>
      <c r="F5" s="272">
        <f>E5*$F$7</f>
        <v>389.27753851312355</v>
      </c>
      <c r="G5" s="289">
        <f>COUNTIF($D$11:$D$50,"&lt;=20")-G4</f>
        <v>15</v>
      </c>
      <c r="H5" s="332">
        <f>G5/G7</f>
        <v>0.46875</v>
      </c>
    </row>
    <row r="6" spans="1:8" ht="15">
      <c r="A6" s="315" t="s">
        <v>685</v>
      </c>
      <c r="B6" s="316">
        <f>AVERAGEIFS(D11:D50,$D$11:$D$50,"&gt;=6",$D$11:$D$50,"&lt;=20")</f>
        <v>14.129032258064516</v>
      </c>
      <c r="C6" s="270">
        <f>AVERAGEIFS($G$11:$G$50,$D$11:$D$50,"&gt;=6",$D$11:$D$50,"&lt;=20",$A$11:$A$50,"baseline")</f>
        <v>1041.4450000000002</v>
      </c>
      <c r="D6" s="270">
        <f>AVERAGEIFS($G$11:$G$50,$D$11:$D$50,"&gt;=6",$D$11:$D$50,"&lt;=20",$A$11:$A$50,"Energy Efficient")</f>
        <v>880.24502164502167</v>
      </c>
      <c r="E6" s="272">
        <f>D6-C6</f>
        <v>-161.1999783549785</v>
      </c>
      <c r="F6" s="272">
        <f>E6*$F$7</f>
        <v>-144.26231470151106</v>
      </c>
      <c r="G6" s="266" t="s">
        <v>686</v>
      </c>
    </row>
    <row r="7" spans="1:8" ht="15">
      <c r="E7" s="273" t="s">
        <v>562</v>
      </c>
      <c r="F7" s="274">
        <v>0.89492763072108483</v>
      </c>
      <c r="G7" s="289">
        <f>G4+G5</f>
        <v>32</v>
      </c>
      <c r="H7" s="289"/>
    </row>
    <row r="9" spans="1:8" ht="16.5" thickBot="1">
      <c r="A9" s="295" t="s">
        <v>687</v>
      </c>
    </row>
    <row r="10" spans="1:8" ht="26.25" thickBot="1">
      <c r="A10" s="317" t="s">
        <v>564</v>
      </c>
      <c r="B10" s="318" t="s">
        <v>565</v>
      </c>
      <c r="C10" s="318" t="s">
        <v>566</v>
      </c>
      <c r="D10" s="319" t="s">
        <v>688</v>
      </c>
      <c r="E10" s="320" t="s">
        <v>567</v>
      </c>
      <c r="F10" s="320" t="s">
        <v>614</v>
      </c>
      <c r="G10" s="319" t="s">
        <v>689</v>
      </c>
    </row>
    <row r="11" spans="1:8" ht="15.75" thickBot="1">
      <c r="A11" s="321" t="s">
        <v>595</v>
      </c>
      <c r="B11" s="322" t="s">
        <v>690</v>
      </c>
      <c r="C11" s="322" t="s">
        <v>691</v>
      </c>
      <c r="D11" s="323">
        <v>5</v>
      </c>
      <c r="E11" s="324">
        <v>16025</v>
      </c>
      <c r="F11" s="324">
        <v>8013</v>
      </c>
      <c r="G11" s="324">
        <f t="shared" ref="G11:G50" si="0">F11/D11</f>
        <v>1602.6</v>
      </c>
    </row>
    <row r="12" spans="1:8" ht="15.75" thickBot="1">
      <c r="A12" s="321" t="s">
        <v>70</v>
      </c>
      <c r="B12" s="322" t="s">
        <v>692</v>
      </c>
      <c r="C12" s="322" t="s">
        <v>693</v>
      </c>
      <c r="D12" s="323">
        <v>6</v>
      </c>
      <c r="E12" s="324">
        <v>18200</v>
      </c>
      <c r="F12" s="324">
        <v>9100</v>
      </c>
      <c r="G12" s="324">
        <f t="shared" si="0"/>
        <v>1516.6666666666667</v>
      </c>
    </row>
    <row r="13" spans="1:8" ht="15.75" thickBot="1">
      <c r="A13" s="321" t="s">
        <v>70</v>
      </c>
      <c r="B13" s="322" t="s">
        <v>692</v>
      </c>
      <c r="C13" s="322" t="s">
        <v>694</v>
      </c>
      <c r="D13" s="323">
        <v>6</v>
      </c>
      <c r="E13" s="324">
        <v>20720</v>
      </c>
      <c r="F13" s="324">
        <v>10360</v>
      </c>
      <c r="G13" s="324">
        <f t="shared" si="0"/>
        <v>1726.6666666666667</v>
      </c>
    </row>
    <row r="14" spans="1:8" ht="15.75" thickBot="1">
      <c r="A14" s="321" t="s">
        <v>70</v>
      </c>
      <c r="B14" s="322" t="s">
        <v>617</v>
      </c>
      <c r="C14" s="322" t="s">
        <v>695</v>
      </c>
      <c r="D14" s="323">
        <v>6</v>
      </c>
      <c r="E14" s="324">
        <v>21000</v>
      </c>
      <c r="F14" s="324">
        <v>10500</v>
      </c>
      <c r="G14" s="324">
        <f t="shared" si="0"/>
        <v>1750</v>
      </c>
    </row>
    <row r="15" spans="1:8" ht="15.75" thickBot="1">
      <c r="A15" s="325" t="s">
        <v>70</v>
      </c>
      <c r="B15" s="326" t="s">
        <v>696</v>
      </c>
      <c r="C15" s="326" t="s">
        <v>697</v>
      </c>
      <c r="D15" s="327">
        <v>6</v>
      </c>
      <c r="E15" s="328">
        <v>15200</v>
      </c>
      <c r="F15" s="328">
        <v>7600</v>
      </c>
      <c r="G15" s="328">
        <f t="shared" si="0"/>
        <v>1266.6666666666667</v>
      </c>
    </row>
    <row r="16" spans="1:8" ht="15.75" thickBot="1">
      <c r="A16" s="321" t="s">
        <v>70</v>
      </c>
      <c r="B16" s="322" t="s">
        <v>690</v>
      </c>
      <c r="C16" s="322" t="s">
        <v>698</v>
      </c>
      <c r="D16" s="323">
        <v>6</v>
      </c>
      <c r="E16" s="324">
        <v>17708</v>
      </c>
      <c r="F16" s="324">
        <v>8854</v>
      </c>
      <c r="G16" s="324">
        <f t="shared" si="0"/>
        <v>1475.6666666666667</v>
      </c>
    </row>
    <row r="17" spans="1:7" ht="15.75" thickBot="1">
      <c r="A17" s="325" t="s">
        <v>70</v>
      </c>
      <c r="B17" s="326" t="s">
        <v>699</v>
      </c>
      <c r="C17" s="326" t="s">
        <v>700</v>
      </c>
      <c r="D17" s="327">
        <v>6</v>
      </c>
      <c r="E17" s="328">
        <v>9450</v>
      </c>
      <c r="F17" s="328">
        <v>4725</v>
      </c>
      <c r="G17" s="328">
        <f t="shared" si="0"/>
        <v>787.5</v>
      </c>
    </row>
    <row r="18" spans="1:7" ht="15.75" thickBot="1">
      <c r="A18" s="321" t="s">
        <v>70</v>
      </c>
      <c r="B18" s="322" t="s">
        <v>592</v>
      </c>
      <c r="C18" s="322" t="s">
        <v>701</v>
      </c>
      <c r="D18" s="323">
        <v>6</v>
      </c>
      <c r="E18" s="324">
        <v>17992</v>
      </c>
      <c r="F18" s="324">
        <v>8996</v>
      </c>
      <c r="G18" s="324">
        <f t="shared" si="0"/>
        <v>1499.3333333333333</v>
      </c>
    </row>
    <row r="19" spans="1:7" ht="15.75" thickBot="1">
      <c r="A19" s="321" t="s">
        <v>595</v>
      </c>
      <c r="B19" s="322" t="s">
        <v>702</v>
      </c>
      <c r="C19" s="322" t="s">
        <v>703</v>
      </c>
      <c r="D19" s="323">
        <v>6</v>
      </c>
      <c r="E19" s="324">
        <v>17930</v>
      </c>
      <c r="F19" s="324">
        <v>8965</v>
      </c>
      <c r="G19" s="324">
        <f t="shared" si="0"/>
        <v>1494.1666666666667</v>
      </c>
    </row>
    <row r="20" spans="1:7" ht="15.75" thickBot="1">
      <c r="A20" s="325" t="s">
        <v>70</v>
      </c>
      <c r="B20" s="326" t="s">
        <v>617</v>
      </c>
      <c r="C20" s="326" t="s">
        <v>704</v>
      </c>
      <c r="D20" s="327">
        <v>10</v>
      </c>
      <c r="E20" s="328">
        <v>24900</v>
      </c>
      <c r="F20" s="328">
        <v>12450</v>
      </c>
      <c r="G20" s="328">
        <f t="shared" si="0"/>
        <v>1245</v>
      </c>
    </row>
    <row r="21" spans="1:7" ht="15.75" thickBot="1">
      <c r="A21" s="321" t="s">
        <v>70</v>
      </c>
      <c r="B21" s="322" t="s">
        <v>696</v>
      </c>
      <c r="C21" s="322" t="s">
        <v>705</v>
      </c>
      <c r="D21" s="323">
        <v>10</v>
      </c>
      <c r="E21" s="324">
        <v>19950</v>
      </c>
      <c r="F21" s="324">
        <v>9975</v>
      </c>
      <c r="G21" s="324">
        <f t="shared" si="0"/>
        <v>997.5</v>
      </c>
    </row>
    <row r="22" spans="1:7" ht="15.75" thickBot="1">
      <c r="A22" s="325" t="s">
        <v>70</v>
      </c>
      <c r="B22" s="326" t="s">
        <v>699</v>
      </c>
      <c r="C22" s="326" t="s">
        <v>706</v>
      </c>
      <c r="D22" s="327">
        <v>10</v>
      </c>
      <c r="E22" s="328">
        <v>14130</v>
      </c>
      <c r="F22" s="328">
        <v>7065</v>
      </c>
      <c r="G22" s="328">
        <f t="shared" si="0"/>
        <v>706.5</v>
      </c>
    </row>
    <row r="23" spans="1:7" ht="15.75" thickBot="1">
      <c r="A23" s="325" t="s">
        <v>70</v>
      </c>
      <c r="B23" s="326" t="s">
        <v>592</v>
      </c>
      <c r="C23" s="326" t="s">
        <v>707</v>
      </c>
      <c r="D23" s="327">
        <v>10</v>
      </c>
      <c r="E23" s="328">
        <v>24382</v>
      </c>
      <c r="F23" s="328">
        <v>12191</v>
      </c>
      <c r="G23" s="328">
        <f t="shared" si="0"/>
        <v>1219.0999999999999</v>
      </c>
    </row>
    <row r="24" spans="1:7" ht="15.75" thickBot="1">
      <c r="A24" s="325" t="s">
        <v>595</v>
      </c>
      <c r="B24" s="326" t="s">
        <v>708</v>
      </c>
      <c r="C24" s="326" t="s">
        <v>709</v>
      </c>
      <c r="D24" s="327">
        <v>10</v>
      </c>
      <c r="E24" s="328">
        <v>25170</v>
      </c>
      <c r="F24" s="328">
        <v>12585</v>
      </c>
      <c r="G24" s="328">
        <f t="shared" si="0"/>
        <v>1258.5</v>
      </c>
    </row>
    <row r="25" spans="1:7" ht="15.75" thickBot="1">
      <c r="A25" s="321" t="s">
        <v>70</v>
      </c>
      <c r="B25" s="322" t="s">
        <v>699</v>
      </c>
      <c r="C25" s="322" t="s">
        <v>710</v>
      </c>
      <c r="D25" s="323">
        <v>12</v>
      </c>
      <c r="E25" s="324">
        <v>15090</v>
      </c>
      <c r="F25" s="324">
        <v>7545</v>
      </c>
      <c r="G25" s="324">
        <f t="shared" si="0"/>
        <v>628.75</v>
      </c>
    </row>
    <row r="26" spans="1:7" ht="15.75" thickBot="1">
      <c r="A26" s="325" t="s">
        <v>595</v>
      </c>
      <c r="B26" s="326" t="s">
        <v>711</v>
      </c>
      <c r="C26" s="326" t="s">
        <v>712</v>
      </c>
      <c r="D26" s="327">
        <v>14</v>
      </c>
      <c r="E26" s="328">
        <v>17063</v>
      </c>
      <c r="F26" s="328">
        <v>8532</v>
      </c>
      <c r="G26" s="328">
        <f t="shared" si="0"/>
        <v>609.42857142857144</v>
      </c>
    </row>
    <row r="27" spans="1:7" ht="15.75" thickBot="1">
      <c r="A27" s="325" t="s">
        <v>595</v>
      </c>
      <c r="B27" s="326" t="s">
        <v>708</v>
      </c>
      <c r="C27" s="326" t="s">
        <v>713</v>
      </c>
      <c r="D27" s="327">
        <v>14</v>
      </c>
      <c r="E27" s="328">
        <v>25480</v>
      </c>
      <c r="F27" s="328">
        <v>12740</v>
      </c>
      <c r="G27" s="328">
        <f t="shared" si="0"/>
        <v>910</v>
      </c>
    </row>
    <row r="28" spans="1:7" ht="15.75" thickBot="1">
      <c r="A28" s="325" t="s">
        <v>70</v>
      </c>
      <c r="B28" s="326" t="s">
        <v>692</v>
      </c>
      <c r="C28" s="326" t="s">
        <v>714</v>
      </c>
      <c r="D28" s="327">
        <v>20</v>
      </c>
      <c r="E28" s="328">
        <v>35984</v>
      </c>
      <c r="F28" s="328">
        <v>17992</v>
      </c>
      <c r="G28" s="328">
        <f t="shared" si="0"/>
        <v>899.6</v>
      </c>
    </row>
    <row r="29" spans="1:7" ht="15.75" thickBot="1">
      <c r="A29" s="321" t="s">
        <v>70</v>
      </c>
      <c r="B29" s="322" t="s">
        <v>617</v>
      </c>
      <c r="C29" s="322" t="s">
        <v>715</v>
      </c>
      <c r="D29" s="323">
        <v>20</v>
      </c>
      <c r="E29" s="324">
        <v>30000</v>
      </c>
      <c r="F29" s="324">
        <v>15000</v>
      </c>
      <c r="G29" s="324">
        <f t="shared" si="0"/>
        <v>750</v>
      </c>
    </row>
    <row r="30" spans="1:7" ht="15.75" thickBot="1">
      <c r="A30" s="325" t="s">
        <v>70</v>
      </c>
      <c r="B30" s="326" t="s">
        <v>617</v>
      </c>
      <c r="C30" s="326" t="s">
        <v>716</v>
      </c>
      <c r="D30" s="327">
        <v>20</v>
      </c>
      <c r="E30" s="328">
        <v>33000</v>
      </c>
      <c r="F30" s="328">
        <v>16500</v>
      </c>
      <c r="G30" s="328">
        <f t="shared" si="0"/>
        <v>825</v>
      </c>
    </row>
    <row r="31" spans="1:7" ht="15.75" thickBot="1">
      <c r="A31" s="325" t="s">
        <v>70</v>
      </c>
      <c r="B31" s="326" t="s">
        <v>717</v>
      </c>
      <c r="C31" s="329">
        <v>102</v>
      </c>
      <c r="D31" s="327">
        <v>20</v>
      </c>
      <c r="E31" s="328">
        <v>33200</v>
      </c>
      <c r="F31" s="328">
        <v>16600</v>
      </c>
      <c r="G31" s="328">
        <f t="shared" si="0"/>
        <v>830</v>
      </c>
    </row>
    <row r="32" spans="1:7" ht="15.75" thickBot="1">
      <c r="A32" s="325" t="s">
        <v>70</v>
      </c>
      <c r="B32" s="326" t="s">
        <v>702</v>
      </c>
      <c r="C32" s="326" t="s">
        <v>718</v>
      </c>
      <c r="D32" s="327">
        <v>20</v>
      </c>
      <c r="E32" s="328">
        <v>27240</v>
      </c>
      <c r="F32" s="328">
        <v>13620</v>
      </c>
      <c r="G32" s="328">
        <f t="shared" si="0"/>
        <v>681</v>
      </c>
    </row>
    <row r="33" spans="1:7" ht="15.75" thickBot="1">
      <c r="A33" s="321" t="s">
        <v>70</v>
      </c>
      <c r="B33" s="322" t="s">
        <v>702</v>
      </c>
      <c r="C33" s="322" t="s">
        <v>719</v>
      </c>
      <c r="D33" s="323">
        <v>20</v>
      </c>
      <c r="E33" s="324">
        <v>33447</v>
      </c>
      <c r="F33" s="324">
        <v>16724</v>
      </c>
      <c r="G33" s="324">
        <f t="shared" si="0"/>
        <v>836.2</v>
      </c>
    </row>
    <row r="34" spans="1:7" ht="15.75" thickBot="1">
      <c r="A34" s="321" t="s">
        <v>70</v>
      </c>
      <c r="B34" s="322" t="s">
        <v>699</v>
      </c>
      <c r="C34" s="322" t="s">
        <v>720</v>
      </c>
      <c r="D34" s="323">
        <v>20</v>
      </c>
      <c r="E34" s="324">
        <v>19610</v>
      </c>
      <c r="F34" s="324">
        <v>9805</v>
      </c>
      <c r="G34" s="324">
        <f t="shared" si="0"/>
        <v>490.25</v>
      </c>
    </row>
    <row r="35" spans="1:7" ht="15.75" thickBot="1">
      <c r="A35" s="325" t="s">
        <v>70</v>
      </c>
      <c r="B35" s="326" t="s">
        <v>699</v>
      </c>
      <c r="C35" s="326" t="s">
        <v>721</v>
      </c>
      <c r="D35" s="327">
        <v>20</v>
      </c>
      <c r="E35" s="328">
        <v>27900</v>
      </c>
      <c r="F35" s="328">
        <v>13950</v>
      </c>
      <c r="G35" s="328">
        <f t="shared" si="0"/>
        <v>697.5</v>
      </c>
    </row>
    <row r="36" spans="1:7" ht="15.75" thickBot="1">
      <c r="A36" s="325" t="s">
        <v>595</v>
      </c>
      <c r="B36" s="326" t="s">
        <v>711</v>
      </c>
      <c r="C36" s="326" t="s">
        <v>722</v>
      </c>
      <c r="D36" s="327">
        <v>20</v>
      </c>
      <c r="E36" s="328">
        <v>28660</v>
      </c>
      <c r="F36" s="328">
        <v>14330</v>
      </c>
      <c r="G36" s="328">
        <f t="shared" si="0"/>
        <v>716.5</v>
      </c>
    </row>
    <row r="37" spans="1:7" ht="15.75" thickBot="1">
      <c r="A37" s="321" t="s">
        <v>595</v>
      </c>
      <c r="B37" s="322" t="s">
        <v>708</v>
      </c>
      <c r="C37" s="322" t="s">
        <v>723</v>
      </c>
      <c r="D37" s="323">
        <v>20</v>
      </c>
      <c r="E37" s="324">
        <v>32400</v>
      </c>
      <c r="F37" s="324">
        <v>16200</v>
      </c>
      <c r="G37" s="324">
        <f t="shared" si="0"/>
        <v>810</v>
      </c>
    </row>
    <row r="38" spans="1:7" ht="15.75" thickBot="1">
      <c r="A38" s="321" t="s">
        <v>595</v>
      </c>
      <c r="B38" s="322" t="s">
        <v>708</v>
      </c>
      <c r="C38" s="322" t="s">
        <v>724</v>
      </c>
      <c r="D38" s="323">
        <v>20</v>
      </c>
      <c r="E38" s="324">
        <v>31480</v>
      </c>
      <c r="F38" s="324">
        <v>15740</v>
      </c>
      <c r="G38" s="324">
        <f t="shared" si="0"/>
        <v>787</v>
      </c>
    </row>
    <row r="39" spans="1:7" ht="15.75" thickBot="1">
      <c r="A39" s="325" t="s">
        <v>595</v>
      </c>
      <c r="B39" s="326" t="s">
        <v>582</v>
      </c>
      <c r="C39" s="326" t="s">
        <v>725</v>
      </c>
      <c r="D39" s="327">
        <v>20</v>
      </c>
      <c r="E39" s="328">
        <v>26990</v>
      </c>
      <c r="F39" s="328">
        <v>13495</v>
      </c>
      <c r="G39" s="328">
        <f t="shared" si="0"/>
        <v>674.75</v>
      </c>
    </row>
    <row r="40" spans="1:7" ht="15.75" thickBot="1">
      <c r="A40" s="325" t="s">
        <v>595</v>
      </c>
      <c r="B40" s="326" t="s">
        <v>582</v>
      </c>
      <c r="C40" s="326" t="s">
        <v>726</v>
      </c>
      <c r="D40" s="327">
        <v>20</v>
      </c>
      <c r="E40" s="328">
        <v>41244</v>
      </c>
      <c r="F40" s="328">
        <v>20622</v>
      </c>
      <c r="G40" s="328">
        <f t="shared" si="0"/>
        <v>1031.0999999999999</v>
      </c>
    </row>
    <row r="41" spans="1:7" ht="15.75" thickBot="1">
      <c r="A41" s="325" t="s">
        <v>595</v>
      </c>
      <c r="B41" s="326" t="s">
        <v>699</v>
      </c>
      <c r="C41" s="326" t="s">
        <v>727</v>
      </c>
      <c r="D41" s="327">
        <v>20</v>
      </c>
      <c r="E41" s="328">
        <v>22790</v>
      </c>
      <c r="F41" s="328">
        <v>11395</v>
      </c>
      <c r="G41" s="328">
        <f t="shared" si="0"/>
        <v>569.75</v>
      </c>
    </row>
    <row r="42" spans="1:7" ht="15.75" thickBot="1">
      <c r="A42" s="321" t="s">
        <v>595</v>
      </c>
      <c r="B42" s="322" t="s">
        <v>699</v>
      </c>
      <c r="C42" s="322" t="s">
        <v>728</v>
      </c>
      <c r="D42" s="323">
        <v>20</v>
      </c>
      <c r="E42" s="324">
        <v>32860</v>
      </c>
      <c r="F42" s="324">
        <v>16430</v>
      </c>
      <c r="G42" s="324">
        <f t="shared" si="0"/>
        <v>821.5</v>
      </c>
    </row>
    <row r="43" spans="1:7" ht="15.75" thickBot="1">
      <c r="A43" s="325" t="s">
        <v>595</v>
      </c>
      <c r="B43" s="326" t="s">
        <v>708</v>
      </c>
      <c r="C43" s="326" t="s">
        <v>729</v>
      </c>
      <c r="D43" s="327">
        <v>24</v>
      </c>
      <c r="E43" s="328">
        <v>41890</v>
      </c>
      <c r="F43" s="328">
        <v>20945</v>
      </c>
      <c r="G43" s="328">
        <f t="shared" si="0"/>
        <v>872.70833333333337</v>
      </c>
    </row>
    <row r="44" spans="1:7" ht="15.75" thickBot="1">
      <c r="A44" s="325" t="s">
        <v>595</v>
      </c>
      <c r="B44" s="326" t="s">
        <v>708</v>
      </c>
      <c r="C44" s="326" t="s">
        <v>730</v>
      </c>
      <c r="D44" s="327">
        <v>24</v>
      </c>
      <c r="E44" s="328">
        <v>40630</v>
      </c>
      <c r="F44" s="328">
        <v>20315</v>
      </c>
      <c r="G44" s="328">
        <f t="shared" si="0"/>
        <v>846.45833333333337</v>
      </c>
    </row>
    <row r="45" spans="1:7" ht="15.75" thickBot="1">
      <c r="A45" s="321" t="s">
        <v>70</v>
      </c>
      <c r="B45" s="322" t="s">
        <v>699</v>
      </c>
      <c r="C45" s="322" t="s">
        <v>731</v>
      </c>
      <c r="D45" s="323">
        <v>40</v>
      </c>
      <c r="E45" s="324">
        <v>39220</v>
      </c>
      <c r="F45" s="324">
        <v>19610</v>
      </c>
      <c r="G45" s="324">
        <f t="shared" si="0"/>
        <v>490.25</v>
      </c>
    </row>
    <row r="46" spans="1:7" ht="15.75" thickBot="1">
      <c r="A46" s="321" t="s">
        <v>595</v>
      </c>
      <c r="B46" s="322" t="s">
        <v>711</v>
      </c>
      <c r="C46" s="322" t="s">
        <v>732</v>
      </c>
      <c r="D46" s="323">
        <v>40</v>
      </c>
      <c r="E46" s="324">
        <v>42750</v>
      </c>
      <c r="F46" s="324">
        <v>21375</v>
      </c>
      <c r="G46" s="324">
        <f t="shared" si="0"/>
        <v>534.375</v>
      </c>
    </row>
    <row r="47" spans="1:7" ht="15.75" thickBot="1">
      <c r="A47" s="321" t="s">
        <v>595</v>
      </c>
      <c r="B47" s="322" t="s">
        <v>708</v>
      </c>
      <c r="C47" s="322" t="s">
        <v>733</v>
      </c>
      <c r="D47" s="323">
        <v>40</v>
      </c>
      <c r="E47" s="324">
        <v>62830</v>
      </c>
      <c r="F47" s="324">
        <v>31415</v>
      </c>
      <c r="G47" s="324">
        <f t="shared" si="0"/>
        <v>785.375</v>
      </c>
    </row>
    <row r="48" spans="1:7" ht="15.75" thickBot="1">
      <c r="A48" s="321" t="s">
        <v>595</v>
      </c>
      <c r="B48" s="322" t="s">
        <v>708</v>
      </c>
      <c r="C48" s="322" t="s">
        <v>734</v>
      </c>
      <c r="D48" s="323">
        <v>40</v>
      </c>
      <c r="E48" s="324">
        <v>60230</v>
      </c>
      <c r="F48" s="324">
        <v>30115</v>
      </c>
      <c r="G48" s="324">
        <f t="shared" si="0"/>
        <v>752.875</v>
      </c>
    </row>
    <row r="49" spans="1:7" ht="15.75" thickBot="1">
      <c r="A49" s="321" t="s">
        <v>595</v>
      </c>
      <c r="B49" s="322" t="s">
        <v>582</v>
      </c>
      <c r="C49" s="322" t="s">
        <v>735</v>
      </c>
      <c r="D49" s="323">
        <v>40</v>
      </c>
      <c r="E49" s="324">
        <v>54638</v>
      </c>
      <c r="F49" s="324">
        <v>27319</v>
      </c>
      <c r="G49" s="324">
        <f t="shared" si="0"/>
        <v>682.97500000000002</v>
      </c>
    </row>
    <row r="50" spans="1:7" ht="15.75" thickBot="1">
      <c r="A50" s="325" t="s">
        <v>595</v>
      </c>
      <c r="B50" s="326" t="s">
        <v>699</v>
      </c>
      <c r="C50" s="326" t="s">
        <v>736</v>
      </c>
      <c r="D50" s="327">
        <v>40</v>
      </c>
      <c r="E50" s="328">
        <v>46130</v>
      </c>
      <c r="F50" s="328">
        <v>23065</v>
      </c>
      <c r="G50" s="328">
        <f t="shared" si="0"/>
        <v>576.625</v>
      </c>
    </row>
    <row r="51" spans="1:7">
      <c r="C51" s="330"/>
      <c r="D51" s="331"/>
    </row>
    <row r="52" spans="1:7">
      <c r="C52" s="330"/>
      <c r="D52" s="331"/>
    </row>
    <row r="53" spans="1:7">
      <c r="C53" s="330"/>
    </row>
  </sheetData>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sheetPr codeName="Sheet18"/>
  <dimension ref="A2:G156"/>
  <sheetViews>
    <sheetView workbookViewId="0">
      <selection activeCell="G4" sqref="G4"/>
    </sheetView>
  </sheetViews>
  <sheetFormatPr defaultRowHeight="12.75"/>
  <cols>
    <col min="1" max="1" width="15.85546875" style="266" customWidth="1"/>
    <col min="2" max="2" width="23.42578125" style="266" bestFit="1" customWidth="1"/>
    <col min="3" max="3" width="28" style="266" bestFit="1" customWidth="1"/>
    <col min="4" max="4" width="12.140625" style="266" bestFit="1" customWidth="1"/>
    <col min="5" max="5" width="12.5703125" style="266" customWidth="1"/>
    <col min="6" max="6" width="9.140625" style="266"/>
    <col min="7" max="7" width="11.42578125" style="266" customWidth="1"/>
    <col min="8" max="8" width="18.5703125" style="266" customWidth="1"/>
    <col min="9" max="9" width="20.28515625" style="266" bestFit="1" customWidth="1"/>
    <col min="10" max="10" width="29.7109375" style="266" bestFit="1" customWidth="1"/>
    <col min="11" max="11" width="12.140625" style="266" bestFit="1" customWidth="1"/>
    <col min="12" max="12" width="7.7109375" style="266" bestFit="1" customWidth="1"/>
    <col min="13" max="16384" width="9.140625" style="266"/>
  </cols>
  <sheetData>
    <row r="2" spans="1:7" ht="15.75">
      <c r="A2" s="267" t="s">
        <v>737</v>
      </c>
    </row>
    <row r="3" spans="1:7" ht="30">
      <c r="A3" s="268" t="s">
        <v>555</v>
      </c>
      <c r="B3" s="268" t="s">
        <v>556</v>
      </c>
      <c r="C3" s="268" t="s">
        <v>557</v>
      </c>
      <c r="D3" s="268" t="s">
        <v>558</v>
      </c>
      <c r="E3" s="268" t="s">
        <v>559</v>
      </c>
      <c r="F3" s="268" t="s">
        <v>904</v>
      </c>
      <c r="G3" s="268" t="s">
        <v>680</v>
      </c>
    </row>
    <row r="4" spans="1:7" ht="15">
      <c r="A4" s="269" t="s">
        <v>560</v>
      </c>
      <c r="B4" s="270">
        <f>AVERAGE($E$111:$E$156)</f>
        <v>2321.391304347826</v>
      </c>
      <c r="C4" s="270">
        <f>AVERAGEIF($A$111:$A$156,"Energy Efficient",$E$111:$E$156)</f>
        <v>2644.4285714285716</v>
      </c>
      <c r="D4" s="271">
        <f>C4-B4</f>
        <v>323.03726708074555</v>
      </c>
      <c r="E4" s="272">
        <f>D4*$E$6</f>
        <v>289.09497606318592</v>
      </c>
      <c r="F4" s="289">
        <f>COUNT(E10:E110)</f>
        <v>101</v>
      </c>
      <c r="G4" s="332">
        <f>F4/F6</f>
        <v>0.68707482993197277</v>
      </c>
    </row>
    <row r="5" spans="1:7" ht="15">
      <c r="A5" s="269" t="s">
        <v>561</v>
      </c>
      <c r="B5" s="270">
        <f>AVERAGE($E$10:$E$110)</f>
        <v>5081.5445544554459</v>
      </c>
      <c r="C5" s="270">
        <f>AVERAGEIF($A$10:$A$110,"Energy Efficient",$E$10:$E$110)</f>
        <v>5914.292307692308</v>
      </c>
      <c r="D5" s="271">
        <f>C5-B5</f>
        <v>832.74775323686208</v>
      </c>
      <c r="E5" s="272">
        <f>D5*$E$6</f>
        <v>745.24897379257163</v>
      </c>
      <c r="F5" s="289">
        <f>COUNT(E111:E156)</f>
        <v>46</v>
      </c>
      <c r="G5" s="332">
        <f>F5/F6</f>
        <v>0.31292517006802723</v>
      </c>
    </row>
    <row r="6" spans="1:7" ht="15">
      <c r="D6" s="273" t="s">
        <v>562</v>
      </c>
      <c r="E6" s="274">
        <v>0.89492763072108483</v>
      </c>
      <c r="F6" s="266">
        <f>SUM(F4:F5)</f>
        <v>147</v>
      </c>
    </row>
    <row r="8" spans="1:7" ht="13.5" thickBot="1">
      <c r="A8" s="266" t="s">
        <v>738</v>
      </c>
    </row>
    <row r="9" spans="1:7" ht="16.5" thickBot="1">
      <c r="A9" s="275" t="s">
        <v>564</v>
      </c>
      <c r="B9" s="276" t="s">
        <v>565</v>
      </c>
      <c r="C9" s="276" t="s">
        <v>566</v>
      </c>
      <c r="D9" s="276" t="s">
        <v>567</v>
      </c>
      <c r="E9" s="276" t="s">
        <v>568</v>
      </c>
      <c r="F9" s="295" t="s">
        <v>739</v>
      </c>
    </row>
    <row r="10" spans="1:7" ht="15.75" thickBot="1">
      <c r="A10" s="281" t="s">
        <v>70</v>
      </c>
      <c r="B10" s="282" t="s">
        <v>740</v>
      </c>
      <c r="C10" s="282" t="s">
        <v>741</v>
      </c>
      <c r="D10" s="333">
        <v>7899</v>
      </c>
      <c r="E10" s="333">
        <v>3950</v>
      </c>
    </row>
    <row r="11" spans="1:7" ht="15.75" thickBot="1">
      <c r="A11" s="281" t="s">
        <v>70</v>
      </c>
      <c r="B11" s="282" t="s">
        <v>742</v>
      </c>
      <c r="C11" s="282" t="s">
        <v>743</v>
      </c>
      <c r="D11" s="333">
        <v>9232</v>
      </c>
      <c r="E11" s="333">
        <v>4616</v>
      </c>
    </row>
    <row r="12" spans="1:7" ht="15.75" thickBot="1">
      <c r="A12" s="281" t="s">
        <v>70</v>
      </c>
      <c r="B12" s="282" t="s">
        <v>742</v>
      </c>
      <c r="C12" s="282" t="s">
        <v>744</v>
      </c>
      <c r="D12" s="333">
        <v>4016</v>
      </c>
      <c r="E12" s="333">
        <v>2008</v>
      </c>
    </row>
    <row r="13" spans="1:7" ht="15.75" thickBot="1">
      <c r="A13" s="281" t="s">
        <v>70</v>
      </c>
      <c r="B13" s="282" t="s">
        <v>742</v>
      </c>
      <c r="C13" s="282" t="s">
        <v>745</v>
      </c>
      <c r="D13" s="333">
        <v>4228</v>
      </c>
      <c r="E13" s="333">
        <v>2114</v>
      </c>
    </row>
    <row r="14" spans="1:7" ht="15.75" thickBot="1">
      <c r="A14" s="281" t="s">
        <v>70</v>
      </c>
      <c r="B14" s="282" t="s">
        <v>742</v>
      </c>
      <c r="C14" s="282" t="s">
        <v>746</v>
      </c>
      <c r="D14" s="333">
        <v>8710</v>
      </c>
      <c r="E14" s="333">
        <v>4355</v>
      </c>
    </row>
    <row r="15" spans="1:7" ht="15.75" thickBot="1">
      <c r="A15" s="281" t="s">
        <v>70</v>
      </c>
      <c r="B15" s="282" t="s">
        <v>742</v>
      </c>
      <c r="C15" s="282" t="s">
        <v>747</v>
      </c>
      <c r="D15" s="333">
        <v>4930</v>
      </c>
      <c r="E15" s="333">
        <v>2465</v>
      </c>
    </row>
    <row r="16" spans="1:7" ht="15.75" thickBot="1">
      <c r="A16" s="281" t="s">
        <v>70</v>
      </c>
      <c r="B16" s="282" t="s">
        <v>748</v>
      </c>
      <c r="C16" s="282" t="s">
        <v>749</v>
      </c>
      <c r="D16" s="333">
        <v>9940</v>
      </c>
      <c r="E16" s="333">
        <v>4970</v>
      </c>
    </row>
    <row r="17" spans="1:5" ht="15.75" thickBot="1">
      <c r="A17" s="281" t="s">
        <v>70</v>
      </c>
      <c r="B17" s="282" t="s">
        <v>750</v>
      </c>
      <c r="C17" s="282" t="s">
        <v>751</v>
      </c>
      <c r="D17" s="333">
        <v>13805</v>
      </c>
      <c r="E17" s="333">
        <v>6903</v>
      </c>
    </row>
    <row r="18" spans="1:5" ht="15.75" thickBot="1">
      <c r="A18" s="281" t="s">
        <v>70</v>
      </c>
      <c r="B18" s="282" t="s">
        <v>750</v>
      </c>
      <c r="C18" s="282" t="s">
        <v>752</v>
      </c>
      <c r="D18" s="333">
        <v>13711</v>
      </c>
      <c r="E18" s="333">
        <v>6856</v>
      </c>
    </row>
    <row r="19" spans="1:5" ht="15.75" thickBot="1">
      <c r="A19" s="281" t="s">
        <v>70</v>
      </c>
      <c r="B19" s="282" t="s">
        <v>753</v>
      </c>
      <c r="C19" s="282" t="s">
        <v>754</v>
      </c>
      <c r="D19" s="333">
        <v>6385</v>
      </c>
      <c r="E19" s="333">
        <v>3193</v>
      </c>
    </row>
    <row r="20" spans="1:5" ht="15.75" thickBot="1">
      <c r="A20" s="281" t="s">
        <v>70</v>
      </c>
      <c r="B20" s="282" t="s">
        <v>753</v>
      </c>
      <c r="C20" s="282" t="s">
        <v>755</v>
      </c>
      <c r="D20" s="333">
        <v>6438</v>
      </c>
      <c r="E20" s="333">
        <v>3219</v>
      </c>
    </row>
    <row r="21" spans="1:5" ht="15.75" thickBot="1">
      <c r="A21" s="281" t="s">
        <v>70</v>
      </c>
      <c r="B21" s="282" t="s">
        <v>753</v>
      </c>
      <c r="C21" s="282" t="s">
        <v>756</v>
      </c>
      <c r="D21" s="333">
        <v>6415</v>
      </c>
      <c r="E21" s="333">
        <v>3208</v>
      </c>
    </row>
    <row r="22" spans="1:5" ht="15.75" thickBot="1">
      <c r="A22" s="281" t="s">
        <v>70</v>
      </c>
      <c r="B22" s="282" t="s">
        <v>757</v>
      </c>
      <c r="C22" s="282" t="s">
        <v>758</v>
      </c>
      <c r="D22" s="333">
        <v>7644</v>
      </c>
      <c r="E22" s="333">
        <v>3822</v>
      </c>
    </row>
    <row r="23" spans="1:5" ht="15.75" thickBot="1">
      <c r="A23" s="281" t="s">
        <v>70</v>
      </c>
      <c r="B23" s="282" t="s">
        <v>757</v>
      </c>
      <c r="C23" s="282" t="s">
        <v>759</v>
      </c>
      <c r="D23" s="333">
        <v>7816</v>
      </c>
      <c r="E23" s="333">
        <v>3908</v>
      </c>
    </row>
    <row r="24" spans="1:5" ht="15.75" thickBot="1">
      <c r="A24" s="281" t="s">
        <v>70</v>
      </c>
      <c r="B24" s="282" t="s">
        <v>757</v>
      </c>
      <c r="C24" s="282" t="s">
        <v>760</v>
      </c>
      <c r="D24" s="333">
        <v>8784</v>
      </c>
      <c r="E24" s="333">
        <v>4392</v>
      </c>
    </row>
    <row r="25" spans="1:5" ht="15.75" thickBot="1">
      <c r="A25" s="281" t="s">
        <v>70</v>
      </c>
      <c r="B25" s="282" t="s">
        <v>757</v>
      </c>
      <c r="C25" s="282" t="s">
        <v>761</v>
      </c>
      <c r="D25" s="333">
        <v>6616</v>
      </c>
      <c r="E25" s="333">
        <v>3308</v>
      </c>
    </row>
    <row r="26" spans="1:5" ht="15.75" thickBot="1">
      <c r="A26" s="281" t="s">
        <v>70</v>
      </c>
      <c r="B26" s="282" t="s">
        <v>762</v>
      </c>
      <c r="C26" s="282" t="s">
        <v>763</v>
      </c>
      <c r="D26" s="333">
        <v>6753</v>
      </c>
      <c r="E26" s="333">
        <v>3377</v>
      </c>
    </row>
    <row r="27" spans="1:5" ht="15.75" thickBot="1">
      <c r="A27" s="281" t="s">
        <v>70</v>
      </c>
      <c r="B27" s="282" t="s">
        <v>762</v>
      </c>
      <c r="C27" s="282" t="s">
        <v>764</v>
      </c>
      <c r="D27" s="333">
        <v>6066</v>
      </c>
      <c r="E27" s="333">
        <v>3033</v>
      </c>
    </row>
    <row r="28" spans="1:5" ht="15.75" thickBot="1">
      <c r="A28" s="281" t="s">
        <v>70</v>
      </c>
      <c r="B28" s="282" t="s">
        <v>690</v>
      </c>
      <c r="C28" s="282" t="s">
        <v>765</v>
      </c>
      <c r="D28" s="333">
        <v>7810</v>
      </c>
      <c r="E28" s="333">
        <v>3905</v>
      </c>
    </row>
    <row r="29" spans="1:5" ht="15.75" thickBot="1">
      <c r="A29" s="281" t="s">
        <v>70</v>
      </c>
      <c r="B29" s="282" t="s">
        <v>690</v>
      </c>
      <c r="C29" s="282" t="s">
        <v>766</v>
      </c>
      <c r="D29" s="333">
        <v>9508</v>
      </c>
      <c r="E29" s="333">
        <v>4754</v>
      </c>
    </row>
    <row r="30" spans="1:5" ht="15.75" thickBot="1">
      <c r="A30" s="281" t="s">
        <v>70</v>
      </c>
      <c r="B30" s="282" t="s">
        <v>767</v>
      </c>
      <c r="C30" s="282" t="s">
        <v>768</v>
      </c>
      <c r="D30" s="333">
        <v>3466</v>
      </c>
      <c r="E30" s="333">
        <v>1733</v>
      </c>
    </row>
    <row r="31" spans="1:5" ht="15.75" thickBot="1">
      <c r="A31" s="281" t="s">
        <v>70</v>
      </c>
      <c r="B31" s="282" t="s">
        <v>767</v>
      </c>
      <c r="C31" s="282" t="s">
        <v>769</v>
      </c>
      <c r="D31" s="333">
        <v>4248</v>
      </c>
      <c r="E31" s="333">
        <v>2124</v>
      </c>
    </row>
    <row r="32" spans="1:5" ht="15.75" thickBot="1">
      <c r="A32" s="281" t="s">
        <v>70</v>
      </c>
      <c r="B32" s="282" t="s">
        <v>767</v>
      </c>
      <c r="C32" s="282" t="s">
        <v>770</v>
      </c>
      <c r="D32" s="333">
        <v>4472</v>
      </c>
      <c r="E32" s="333">
        <v>2236</v>
      </c>
    </row>
    <row r="33" spans="1:5" ht="15.75" thickBot="1">
      <c r="A33" s="281" t="s">
        <v>70</v>
      </c>
      <c r="B33" s="282" t="s">
        <v>767</v>
      </c>
      <c r="C33" s="282" t="s">
        <v>771</v>
      </c>
      <c r="D33" s="333">
        <v>6652</v>
      </c>
      <c r="E33" s="333">
        <v>3326</v>
      </c>
    </row>
    <row r="34" spans="1:5" ht="15.75" thickBot="1">
      <c r="A34" s="281" t="s">
        <v>70</v>
      </c>
      <c r="B34" s="282" t="s">
        <v>767</v>
      </c>
      <c r="C34" s="282" t="s">
        <v>772</v>
      </c>
      <c r="D34" s="333">
        <v>7649</v>
      </c>
      <c r="E34" s="333">
        <v>3825</v>
      </c>
    </row>
    <row r="35" spans="1:5" ht="15.75" thickBot="1">
      <c r="A35" s="281" t="s">
        <v>70</v>
      </c>
      <c r="B35" s="282" t="s">
        <v>767</v>
      </c>
      <c r="C35" s="282" t="s">
        <v>773</v>
      </c>
      <c r="D35" s="333">
        <v>8323</v>
      </c>
      <c r="E35" s="333">
        <v>4162</v>
      </c>
    </row>
    <row r="36" spans="1:5" ht="15.75" thickBot="1">
      <c r="A36" s="281" t="s">
        <v>70</v>
      </c>
      <c r="B36" s="282" t="s">
        <v>767</v>
      </c>
      <c r="C36" s="282" t="s">
        <v>774</v>
      </c>
      <c r="D36" s="333">
        <v>4967</v>
      </c>
      <c r="E36" s="333">
        <v>2484</v>
      </c>
    </row>
    <row r="37" spans="1:5" ht="15.75" thickBot="1">
      <c r="A37" s="281" t="s">
        <v>70</v>
      </c>
      <c r="B37" s="282" t="s">
        <v>767</v>
      </c>
      <c r="C37" s="282" t="s">
        <v>775</v>
      </c>
      <c r="D37" s="333">
        <v>5819</v>
      </c>
      <c r="E37" s="333">
        <v>2910</v>
      </c>
    </row>
    <row r="38" spans="1:5" ht="15.75" thickBot="1">
      <c r="A38" s="281" t="s">
        <v>70</v>
      </c>
      <c r="B38" s="282" t="s">
        <v>767</v>
      </c>
      <c r="C38" s="282" t="s">
        <v>776</v>
      </c>
      <c r="D38" s="333">
        <v>6009</v>
      </c>
      <c r="E38" s="333">
        <v>3005</v>
      </c>
    </row>
    <row r="39" spans="1:5" ht="15.75" thickBot="1">
      <c r="A39" s="281" t="s">
        <v>70</v>
      </c>
      <c r="B39" s="282" t="s">
        <v>767</v>
      </c>
      <c r="C39" s="282" t="s">
        <v>777</v>
      </c>
      <c r="D39" s="333">
        <v>10556</v>
      </c>
      <c r="E39" s="333">
        <v>5278</v>
      </c>
    </row>
    <row r="40" spans="1:5" ht="15.75" thickBot="1">
      <c r="A40" s="281" t="s">
        <v>70</v>
      </c>
      <c r="B40" s="282" t="s">
        <v>778</v>
      </c>
      <c r="C40" s="282" t="s">
        <v>779</v>
      </c>
      <c r="D40" s="333">
        <v>5260</v>
      </c>
      <c r="E40" s="333">
        <v>2630</v>
      </c>
    </row>
    <row r="41" spans="1:5" ht="15.75" thickBot="1">
      <c r="A41" s="281" t="s">
        <v>70</v>
      </c>
      <c r="B41" s="282" t="s">
        <v>778</v>
      </c>
      <c r="C41" s="282" t="s">
        <v>780</v>
      </c>
      <c r="D41" s="333">
        <v>6231</v>
      </c>
      <c r="E41" s="333">
        <v>3116</v>
      </c>
    </row>
    <row r="42" spans="1:5" ht="15.75" thickBot="1">
      <c r="A42" s="281" t="s">
        <v>70</v>
      </c>
      <c r="B42" s="282" t="s">
        <v>778</v>
      </c>
      <c r="C42" s="282" t="s">
        <v>781</v>
      </c>
      <c r="D42" s="333">
        <v>7169</v>
      </c>
      <c r="E42" s="333">
        <v>3585</v>
      </c>
    </row>
    <row r="43" spans="1:5" ht="15.75" thickBot="1">
      <c r="A43" s="281" t="s">
        <v>70</v>
      </c>
      <c r="B43" s="282" t="s">
        <v>778</v>
      </c>
      <c r="C43" s="282" t="s">
        <v>782</v>
      </c>
      <c r="D43" s="333">
        <v>10664</v>
      </c>
      <c r="E43" s="333">
        <v>5332</v>
      </c>
    </row>
    <row r="44" spans="1:5" ht="15.75" thickBot="1">
      <c r="A44" s="281" t="s">
        <v>70</v>
      </c>
      <c r="B44" s="282" t="s">
        <v>783</v>
      </c>
      <c r="C44" s="282" t="s">
        <v>784</v>
      </c>
      <c r="D44" s="333">
        <v>5649</v>
      </c>
      <c r="E44" s="333">
        <v>2825</v>
      </c>
    </row>
    <row r="45" spans="1:5" ht="15.75" thickBot="1">
      <c r="A45" s="281" t="s">
        <v>70</v>
      </c>
      <c r="B45" s="282" t="s">
        <v>592</v>
      </c>
      <c r="C45" s="282" t="s">
        <v>785</v>
      </c>
      <c r="D45" s="333">
        <v>3760</v>
      </c>
      <c r="E45" s="333">
        <v>1880</v>
      </c>
    </row>
    <row r="46" spans="1:5" ht="15.75" thickBot="1">
      <c r="A46" s="297" t="s">
        <v>595</v>
      </c>
      <c r="B46" s="282" t="s">
        <v>569</v>
      </c>
      <c r="C46" s="282" t="s">
        <v>786</v>
      </c>
      <c r="D46" s="333">
        <v>6285</v>
      </c>
      <c r="E46" s="333">
        <v>3143</v>
      </c>
    </row>
    <row r="47" spans="1:5" ht="15.75" thickBot="1">
      <c r="A47" s="297" t="s">
        <v>595</v>
      </c>
      <c r="B47" s="282" t="s">
        <v>569</v>
      </c>
      <c r="C47" s="282" t="s">
        <v>787</v>
      </c>
      <c r="D47" s="333">
        <v>4925</v>
      </c>
      <c r="E47" s="333">
        <v>2463</v>
      </c>
    </row>
    <row r="48" spans="1:5" ht="15.75" thickBot="1">
      <c r="A48" s="297" t="s">
        <v>595</v>
      </c>
      <c r="B48" s="282" t="s">
        <v>569</v>
      </c>
      <c r="C48" s="282" t="s">
        <v>788</v>
      </c>
      <c r="D48" s="333">
        <v>4526</v>
      </c>
      <c r="E48" s="333">
        <v>2263</v>
      </c>
    </row>
    <row r="49" spans="1:5" ht="15.75" thickBot="1">
      <c r="A49" s="297" t="s">
        <v>595</v>
      </c>
      <c r="B49" s="282" t="s">
        <v>569</v>
      </c>
      <c r="C49" s="282" t="s">
        <v>789</v>
      </c>
      <c r="D49" s="333">
        <v>8449</v>
      </c>
      <c r="E49" s="333">
        <v>4225</v>
      </c>
    </row>
    <row r="50" spans="1:5" ht="15.75" thickBot="1">
      <c r="A50" s="297" t="s">
        <v>595</v>
      </c>
      <c r="B50" s="282" t="s">
        <v>569</v>
      </c>
      <c r="C50" s="282" t="s">
        <v>790</v>
      </c>
      <c r="D50" s="333">
        <v>5128</v>
      </c>
      <c r="E50" s="333">
        <v>2564</v>
      </c>
    </row>
    <row r="51" spans="1:5" ht="15.75" thickBot="1">
      <c r="A51" s="297" t="s">
        <v>595</v>
      </c>
      <c r="B51" s="282" t="s">
        <v>569</v>
      </c>
      <c r="C51" s="282" t="s">
        <v>791</v>
      </c>
      <c r="D51" s="333">
        <v>12408</v>
      </c>
      <c r="E51" s="333">
        <v>6204</v>
      </c>
    </row>
    <row r="52" spans="1:5" ht="15.75" thickBot="1">
      <c r="A52" s="297" t="s">
        <v>595</v>
      </c>
      <c r="B52" s="282" t="s">
        <v>792</v>
      </c>
      <c r="C52" s="282" t="s">
        <v>793</v>
      </c>
      <c r="D52" s="333">
        <v>8840</v>
      </c>
      <c r="E52" s="333">
        <v>4420</v>
      </c>
    </row>
    <row r="53" spans="1:5" ht="15.75" thickBot="1">
      <c r="A53" s="297" t="s">
        <v>595</v>
      </c>
      <c r="B53" s="282" t="s">
        <v>742</v>
      </c>
      <c r="C53" s="282" t="s">
        <v>794</v>
      </c>
      <c r="D53" s="333">
        <v>13126</v>
      </c>
      <c r="E53" s="333">
        <v>6563</v>
      </c>
    </row>
    <row r="54" spans="1:5" ht="15.75" thickBot="1">
      <c r="A54" s="297" t="s">
        <v>595</v>
      </c>
      <c r="B54" s="282" t="s">
        <v>795</v>
      </c>
      <c r="C54" s="282" t="s">
        <v>796</v>
      </c>
      <c r="D54" s="333">
        <v>16990</v>
      </c>
      <c r="E54" s="333">
        <v>8495</v>
      </c>
    </row>
    <row r="55" spans="1:5" ht="15.75" thickBot="1">
      <c r="A55" s="297" t="s">
        <v>595</v>
      </c>
      <c r="B55" s="282" t="s">
        <v>748</v>
      </c>
      <c r="C55" s="282" t="s">
        <v>797</v>
      </c>
      <c r="D55" s="333">
        <v>12792</v>
      </c>
      <c r="E55" s="333">
        <v>6396</v>
      </c>
    </row>
    <row r="56" spans="1:5" ht="15.75" thickBot="1">
      <c r="A56" s="297" t="s">
        <v>595</v>
      </c>
      <c r="B56" s="282" t="s">
        <v>748</v>
      </c>
      <c r="C56" s="282" t="s">
        <v>798</v>
      </c>
      <c r="D56" s="333">
        <v>13652</v>
      </c>
      <c r="E56" s="333">
        <v>6826</v>
      </c>
    </row>
    <row r="57" spans="1:5" ht="15.75" thickBot="1">
      <c r="A57" s="297" t="s">
        <v>595</v>
      </c>
      <c r="B57" s="282" t="s">
        <v>748</v>
      </c>
      <c r="C57" s="282" t="s">
        <v>799</v>
      </c>
      <c r="D57" s="333">
        <v>8152</v>
      </c>
      <c r="E57" s="333">
        <v>4076</v>
      </c>
    </row>
    <row r="58" spans="1:5" ht="15.75" thickBot="1">
      <c r="A58" s="297" t="s">
        <v>595</v>
      </c>
      <c r="B58" s="282" t="s">
        <v>748</v>
      </c>
      <c r="C58" s="282" t="s">
        <v>800</v>
      </c>
      <c r="D58" s="333">
        <v>8076</v>
      </c>
      <c r="E58" s="333">
        <v>4038</v>
      </c>
    </row>
    <row r="59" spans="1:5" ht="15.75" thickBot="1">
      <c r="A59" s="297" t="s">
        <v>595</v>
      </c>
      <c r="B59" s="282" t="s">
        <v>748</v>
      </c>
      <c r="C59" s="282" t="s">
        <v>801</v>
      </c>
      <c r="D59" s="333">
        <v>6144</v>
      </c>
      <c r="E59" s="333">
        <v>3072</v>
      </c>
    </row>
    <row r="60" spans="1:5" ht="15.75" thickBot="1">
      <c r="A60" s="297" t="s">
        <v>595</v>
      </c>
      <c r="B60" s="282" t="s">
        <v>748</v>
      </c>
      <c r="C60" s="282" t="s">
        <v>802</v>
      </c>
      <c r="D60" s="333">
        <v>5632</v>
      </c>
      <c r="E60" s="333">
        <v>2816</v>
      </c>
    </row>
    <row r="61" spans="1:5" ht="15.75" thickBot="1">
      <c r="A61" s="297" t="s">
        <v>595</v>
      </c>
      <c r="B61" s="282" t="s">
        <v>748</v>
      </c>
      <c r="C61" s="282" t="s">
        <v>803</v>
      </c>
      <c r="D61" s="333">
        <v>8800</v>
      </c>
      <c r="E61" s="333">
        <v>4400</v>
      </c>
    </row>
    <row r="62" spans="1:5" ht="15.75" thickBot="1">
      <c r="A62" s="297" t="s">
        <v>595</v>
      </c>
      <c r="B62" s="282" t="s">
        <v>748</v>
      </c>
      <c r="C62" s="282" t="s">
        <v>804</v>
      </c>
      <c r="D62" s="333">
        <v>12032</v>
      </c>
      <c r="E62" s="333">
        <v>6016</v>
      </c>
    </row>
    <row r="63" spans="1:5" ht="15.75" thickBot="1">
      <c r="A63" s="297" t="s">
        <v>595</v>
      </c>
      <c r="B63" s="282" t="s">
        <v>748</v>
      </c>
      <c r="C63" s="282" t="s">
        <v>805</v>
      </c>
      <c r="D63" s="333">
        <v>8152</v>
      </c>
      <c r="E63" s="333">
        <v>4076</v>
      </c>
    </row>
    <row r="64" spans="1:5" ht="15.75" thickBot="1">
      <c r="A64" s="297" t="s">
        <v>595</v>
      </c>
      <c r="B64" s="282" t="s">
        <v>806</v>
      </c>
      <c r="C64" s="282" t="s">
        <v>807</v>
      </c>
      <c r="D64" s="333">
        <v>5893</v>
      </c>
      <c r="E64" s="333">
        <v>2947</v>
      </c>
    </row>
    <row r="65" spans="1:5" ht="15.75" thickBot="1">
      <c r="A65" s="297" t="s">
        <v>595</v>
      </c>
      <c r="B65" s="282" t="s">
        <v>806</v>
      </c>
      <c r="C65" s="282" t="s">
        <v>808</v>
      </c>
      <c r="D65" s="333">
        <v>6407</v>
      </c>
      <c r="E65" s="333">
        <v>3204</v>
      </c>
    </row>
    <row r="66" spans="1:5" ht="15.75" thickBot="1">
      <c r="A66" s="297" t="s">
        <v>595</v>
      </c>
      <c r="B66" s="282" t="s">
        <v>757</v>
      </c>
      <c r="C66" s="282" t="s">
        <v>809</v>
      </c>
      <c r="D66" s="333">
        <v>8400</v>
      </c>
      <c r="E66" s="333">
        <v>4200</v>
      </c>
    </row>
    <row r="67" spans="1:5" ht="15.75" thickBot="1">
      <c r="A67" s="297" t="s">
        <v>595</v>
      </c>
      <c r="B67" s="282" t="s">
        <v>757</v>
      </c>
      <c r="C67" s="282" t="s">
        <v>810</v>
      </c>
      <c r="D67" s="333">
        <v>6738</v>
      </c>
      <c r="E67" s="333">
        <v>3369</v>
      </c>
    </row>
    <row r="68" spans="1:5" ht="15.75" thickBot="1">
      <c r="A68" s="297" t="s">
        <v>595</v>
      </c>
      <c r="B68" s="282" t="s">
        <v>767</v>
      </c>
      <c r="C68" s="282" t="s">
        <v>811</v>
      </c>
      <c r="D68" s="333">
        <v>7545</v>
      </c>
      <c r="E68" s="333">
        <v>3773</v>
      </c>
    </row>
    <row r="69" spans="1:5" ht="15.75" thickBot="1">
      <c r="A69" s="297" t="s">
        <v>595</v>
      </c>
      <c r="B69" s="282" t="s">
        <v>767</v>
      </c>
      <c r="C69" s="282" t="s">
        <v>812</v>
      </c>
      <c r="D69" s="333">
        <v>8364</v>
      </c>
      <c r="E69" s="333">
        <v>4182</v>
      </c>
    </row>
    <row r="70" spans="1:5" ht="15.75" thickBot="1">
      <c r="A70" s="297" t="s">
        <v>595</v>
      </c>
      <c r="B70" s="282" t="s">
        <v>767</v>
      </c>
      <c r="C70" s="282" t="s">
        <v>813</v>
      </c>
      <c r="D70" s="333">
        <v>6288</v>
      </c>
      <c r="E70" s="333">
        <v>3144</v>
      </c>
    </row>
    <row r="71" spans="1:5" ht="15.75" thickBot="1">
      <c r="A71" s="297" t="s">
        <v>595</v>
      </c>
      <c r="B71" s="282" t="s">
        <v>767</v>
      </c>
      <c r="C71" s="282" t="s">
        <v>814</v>
      </c>
      <c r="D71" s="333">
        <v>7157</v>
      </c>
      <c r="E71" s="333">
        <v>3579</v>
      </c>
    </row>
    <row r="72" spans="1:5" ht="15.75" thickBot="1">
      <c r="A72" s="297" t="s">
        <v>595</v>
      </c>
      <c r="B72" s="282" t="s">
        <v>767</v>
      </c>
      <c r="C72" s="282" t="s">
        <v>815</v>
      </c>
      <c r="D72" s="333">
        <v>7208</v>
      </c>
      <c r="E72" s="333">
        <v>3604</v>
      </c>
    </row>
    <row r="73" spans="1:5" ht="15.75" thickBot="1">
      <c r="A73" s="297" t="s">
        <v>595</v>
      </c>
      <c r="B73" s="282" t="s">
        <v>767</v>
      </c>
      <c r="C73" s="282" t="s">
        <v>816</v>
      </c>
      <c r="D73" s="333">
        <v>8076</v>
      </c>
      <c r="E73" s="333">
        <v>4038</v>
      </c>
    </row>
    <row r="74" spans="1:5" ht="15.75" thickBot="1">
      <c r="A74" s="297" t="s">
        <v>595</v>
      </c>
      <c r="B74" s="282" t="s">
        <v>767</v>
      </c>
      <c r="C74" s="282" t="s">
        <v>817</v>
      </c>
      <c r="D74" s="333">
        <v>7782</v>
      </c>
      <c r="E74" s="333">
        <v>3891</v>
      </c>
    </row>
    <row r="75" spans="1:5" ht="15.75" thickBot="1">
      <c r="A75" s="297" t="s">
        <v>595</v>
      </c>
      <c r="B75" s="282" t="s">
        <v>767</v>
      </c>
      <c r="C75" s="282" t="s">
        <v>818</v>
      </c>
      <c r="D75" s="333">
        <v>8648</v>
      </c>
      <c r="E75" s="333">
        <v>4324</v>
      </c>
    </row>
    <row r="76" spans="1:5" ht="15.75" thickBot="1">
      <c r="A76" s="297" t="s">
        <v>595</v>
      </c>
      <c r="B76" s="282" t="s">
        <v>767</v>
      </c>
      <c r="C76" s="282" t="s">
        <v>819</v>
      </c>
      <c r="D76" s="333">
        <v>9190</v>
      </c>
      <c r="E76" s="333">
        <v>4595</v>
      </c>
    </row>
    <row r="77" spans="1:5" ht="15.75" thickBot="1">
      <c r="A77" s="297" t="s">
        <v>595</v>
      </c>
      <c r="B77" s="282" t="s">
        <v>767</v>
      </c>
      <c r="C77" s="282" t="s">
        <v>820</v>
      </c>
      <c r="D77" s="333">
        <v>10989</v>
      </c>
      <c r="E77" s="333">
        <v>5495</v>
      </c>
    </row>
    <row r="78" spans="1:5" ht="15.75" thickBot="1">
      <c r="A78" s="297" t="s">
        <v>595</v>
      </c>
      <c r="B78" s="282" t="s">
        <v>821</v>
      </c>
      <c r="C78" s="282" t="s">
        <v>822</v>
      </c>
      <c r="D78" s="333">
        <v>9151</v>
      </c>
      <c r="E78" s="333">
        <v>4576</v>
      </c>
    </row>
    <row r="79" spans="1:5" ht="15.75" thickBot="1">
      <c r="A79" s="297" t="s">
        <v>595</v>
      </c>
      <c r="B79" s="282" t="s">
        <v>821</v>
      </c>
      <c r="C79" s="282" t="s">
        <v>823</v>
      </c>
      <c r="D79" s="333">
        <v>11015</v>
      </c>
      <c r="E79" s="333">
        <v>5508</v>
      </c>
    </row>
    <row r="80" spans="1:5" ht="15.75" thickBot="1">
      <c r="A80" s="297" t="s">
        <v>595</v>
      </c>
      <c r="B80" s="282" t="s">
        <v>821</v>
      </c>
      <c r="C80" s="282" t="s">
        <v>824</v>
      </c>
      <c r="D80" s="333">
        <v>13317</v>
      </c>
      <c r="E80" s="333">
        <v>6659</v>
      </c>
    </row>
    <row r="81" spans="1:5" ht="15.75" thickBot="1">
      <c r="A81" s="297" t="s">
        <v>595</v>
      </c>
      <c r="B81" s="282" t="s">
        <v>821</v>
      </c>
      <c r="C81" s="282" t="s">
        <v>825</v>
      </c>
      <c r="D81" s="333">
        <v>13741</v>
      </c>
      <c r="E81" s="333">
        <v>6871</v>
      </c>
    </row>
    <row r="82" spans="1:5" ht="15.75" thickBot="1">
      <c r="A82" s="297" t="s">
        <v>595</v>
      </c>
      <c r="B82" s="282" t="s">
        <v>821</v>
      </c>
      <c r="C82" s="282" t="s">
        <v>826</v>
      </c>
      <c r="D82" s="333">
        <v>16365</v>
      </c>
      <c r="E82" s="333">
        <v>8183</v>
      </c>
    </row>
    <row r="83" spans="1:5" ht="15.75" thickBot="1">
      <c r="A83" s="297" t="s">
        <v>595</v>
      </c>
      <c r="B83" s="282" t="s">
        <v>821</v>
      </c>
      <c r="C83" s="282" t="s">
        <v>827</v>
      </c>
      <c r="D83" s="333">
        <v>18973</v>
      </c>
      <c r="E83" s="333">
        <v>9487</v>
      </c>
    </row>
    <row r="84" spans="1:5" ht="15.75" thickBot="1">
      <c r="A84" s="297" t="s">
        <v>595</v>
      </c>
      <c r="B84" s="282" t="s">
        <v>821</v>
      </c>
      <c r="C84" s="282" t="s">
        <v>828</v>
      </c>
      <c r="D84" s="333">
        <v>23695</v>
      </c>
      <c r="E84" s="333">
        <v>11848</v>
      </c>
    </row>
    <row r="85" spans="1:5" ht="15.75" thickBot="1">
      <c r="A85" s="297" t="s">
        <v>595</v>
      </c>
      <c r="B85" s="282" t="s">
        <v>821</v>
      </c>
      <c r="C85" s="282" t="s">
        <v>829</v>
      </c>
      <c r="D85" s="333">
        <v>11068</v>
      </c>
      <c r="E85" s="333">
        <v>5534</v>
      </c>
    </row>
    <row r="86" spans="1:5" ht="15.75" thickBot="1">
      <c r="A86" s="297" t="s">
        <v>595</v>
      </c>
      <c r="B86" s="282" t="s">
        <v>821</v>
      </c>
      <c r="C86" s="282" t="s">
        <v>830</v>
      </c>
      <c r="D86" s="333">
        <v>15238</v>
      </c>
      <c r="E86" s="333">
        <v>7619</v>
      </c>
    </row>
    <row r="87" spans="1:5" ht="15.75" thickBot="1">
      <c r="A87" s="297" t="s">
        <v>595</v>
      </c>
      <c r="B87" s="282" t="s">
        <v>821</v>
      </c>
      <c r="C87" s="282" t="s">
        <v>831</v>
      </c>
      <c r="D87" s="333">
        <v>20307</v>
      </c>
      <c r="E87" s="333">
        <v>10154</v>
      </c>
    </row>
    <row r="88" spans="1:5" ht="15.75" thickBot="1">
      <c r="A88" s="297" t="s">
        <v>595</v>
      </c>
      <c r="B88" s="282" t="s">
        <v>821</v>
      </c>
      <c r="C88" s="282" t="s">
        <v>832</v>
      </c>
      <c r="D88" s="333">
        <v>7293</v>
      </c>
      <c r="E88" s="333">
        <v>3647</v>
      </c>
    </row>
    <row r="89" spans="1:5" ht="15.75" thickBot="1">
      <c r="A89" s="297" t="s">
        <v>595</v>
      </c>
      <c r="B89" s="282" t="s">
        <v>821</v>
      </c>
      <c r="C89" s="282" t="s">
        <v>833</v>
      </c>
      <c r="D89" s="333">
        <v>9996</v>
      </c>
      <c r="E89" s="333">
        <v>4998</v>
      </c>
    </row>
    <row r="90" spans="1:5" ht="15.75" thickBot="1">
      <c r="A90" s="297" t="s">
        <v>595</v>
      </c>
      <c r="B90" s="282" t="s">
        <v>821</v>
      </c>
      <c r="C90" s="282" t="s">
        <v>834</v>
      </c>
      <c r="D90" s="333">
        <v>6962</v>
      </c>
      <c r="E90" s="333">
        <v>3481</v>
      </c>
    </row>
    <row r="91" spans="1:5" ht="15.75" thickBot="1">
      <c r="A91" s="297" t="s">
        <v>595</v>
      </c>
      <c r="B91" s="282" t="s">
        <v>821</v>
      </c>
      <c r="C91" s="282" t="s">
        <v>835</v>
      </c>
      <c r="D91" s="333">
        <v>9359</v>
      </c>
      <c r="E91" s="333">
        <v>4680</v>
      </c>
    </row>
    <row r="92" spans="1:5" ht="15.75" thickBot="1">
      <c r="A92" s="297" t="s">
        <v>595</v>
      </c>
      <c r="B92" s="282" t="s">
        <v>821</v>
      </c>
      <c r="C92" s="282" t="s">
        <v>836</v>
      </c>
      <c r="D92" s="333">
        <v>10149</v>
      </c>
      <c r="E92" s="333">
        <v>5075</v>
      </c>
    </row>
    <row r="93" spans="1:5" ht="15.75" thickBot="1">
      <c r="A93" s="297" t="s">
        <v>595</v>
      </c>
      <c r="B93" s="282" t="s">
        <v>821</v>
      </c>
      <c r="C93" s="282" t="s">
        <v>837</v>
      </c>
      <c r="D93" s="333">
        <v>14204</v>
      </c>
      <c r="E93" s="333">
        <v>7102</v>
      </c>
    </row>
    <row r="94" spans="1:5" ht="15.75" thickBot="1">
      <c r="A94" s="297" t="s">
        <v>595</v>
      </c>
      <c r="B94" s="282" t="s">
        <v>821</v>
      </c>
      <c r="C94" s="282" t="s">
        <v>838</v>
      </c>
      <c r="D94" s="333">
        <v>9690</v>
      </c>
      <c r="E94" s="333">
        <v>4845</v>
      </c>
    </row>
    <row r="95" spans="1:5" ht="15.75" thickBot="1">
      <c r="A95" s="297" t="s">
        <v>595</v>
      </c>
      <c r="B95" s="282" t="s">
        <v>821</v>
      </c>
      <c r="C95" s="282" t="s">
        <v>839</v>
      </c>
      <c r="D95" s="333">
        <v>12903</v>
      </c>
      <c r="E95" s="333">
        <v>6452</v>
      </c>
    </row>
    <row r="96" spans="1:5" ht="15.75" thickBot="1">
      <c r="A96" s="297" t="s">
        <v>595</v>
      </c>
      <c r="B96" s="282" t="s">
        <v>821</v>
      </c>
      <c r="C96" s="282" t="s">
        <v>840</v>
      </c>
      <c r="D96" s="333">
        <v>10232</v>
      </c>
      <c r="E96" s="333">
        <v>5116</v>
      </c>
    </row>
    <row r="97" spans="1:6" ht="15.75" thickBot="1">
      <c r="A97" s="297" t="s">
        <v>595</v>
      </c>
      <c r="B97" s="282" t="s">
        <v>821</v>
      </c>
      <c r="C97" s="282" t="s">
        <v>841</v>
      </c>
      <c r="D97" s="333">
        <v>10535</v>
      </c>
      <c r="E97" s="333">
        <v>5268</v>
      </c>
    </row>
    <row r="98" spans="1:6" ht="15.75" thickBot="1">
      <c r="A98" s="297" t="s">
        <v>595</v>
      </c>
      <c r="B98" s="282" t="s">
        <v>821</v>
      </c>
      <c r="C98" s="282" t="s">
        <v>842</v>
      </c>
      <c r="D98" s="333">
        <v>12291</v>
      </c>
      <c r="E98" s="333">
        <v>6146</v>
      </c>
    </row>
    <row r="99" spans="1:6" ht="15.75" thickBot="1">
      <c r="A99" s="297" t="s">
        <v>595</v>
      </c>
      <c r="B99" s="282" t="s">
        <v>821</v>
      </c>
      <c r="C99" s="282" t="s">
        <v>843</v>
      </c>
      <c r="D99" s="333">
        <v>12756</v>
      </c>
      <c r="E99" s="333">
        <v>6378</v>
      </c>
    </row>
    <row r="100" spans="1:6" ht="15.75" thickBot="1">
      <c r="A100" s="297" t="s">
        <v>595</v>
      </c>
      <c r="B100" s="282" t="s">
        <v>821</v>
      </c>
      <c r="C100" s="282" t="s">
        <v>844</v>
      </c>
      <c r="D100" s="333">
        <v>14884</v>
      </c>
      <c r="E100" s="333">
        <v>7442</v>
      </c>
    </row>
    <row r="101" spans="1:6" ht="15.75" thickBot="1">
      <c r="A101" s="297" t="s">
        <v>595</v>
      </c>
      <c r="B101" s="282" t="s">
        <v>821</v>
      </c>
      <c r="C101" s="282" t="s">
        <v>845</v>
      </c>
      <c r="D101" s="333">
        <v>15316</v>
      </c>
      <c r="E101" s="333">
        <v>7658</v>
      </c>
    </row>
    <row r="102" spans="1:6" ht="15.75" thickBot="1">
      <c r="A102" s="297" t="s">
        <v>595</v>
      </c>
      <c r="B102" s="282" t="s">
        <v>821</v>
      </c>
      <c r="C102" s="282" t="s">
        <v>846</v>
      </c>
      <c r="D102" s="333">
        <v>18271</v>
      </c>
      <c r="E102" s="333">
        <v>9136</v>
      </c>
    </row>
    <row r="103" spans="1:6" ht="15.75" thickBot="1">
      <c r="A103" s="297" t="s">
        <v>595</v>
      </c>
      <c r="B103" s="282" t="s">
        <v>821</v>
      </c>
      <c r="C103" s="282" t="s">
        <v>847</v>
      </c>
      <c r="D103" s="333">
        <v>18814</v>
      </c>
      <c r="E103" s="333">
        <v>9407</v>
      </c>
    </row>
    <row r="104" spans="1:6" ht="15.75" thickBot="1">
      <c r="A104" s="297" t="s">
        <v>595</v>
      </c>
      <c r="B104" s="282" t="s">
        <v>821</v>
      </c>
      <c r="C104" s="282" t="s">
        <v>848</v>
      </c>
      <c r="D104" s="333">
        <v>21299</v>
      </c>
      <c r="E104" s="333">
        <v>10650</v>
      </c>
    </row>
    <row r="105" spans="1:6" ht="15.75" thickBot="1">
      <c r="A105" s="297" t="s">
        <v>595</v>
      </c>
      <c r="B105" s="282" t="s">
        <v>821</v>
      </c>
      <c r="C105" s="282" t="s">
        <v>849</v>
      </c>
      <c r="D105" s="333">
        <v>22023</v>
      </c>
      <c r="E105" s="333">
        <v>11012</v>
      </c>
    </row>
    <row r="106" spans="1:6" ht="15.75" thickBot="1">
      <c r="A106" s="297" t="s">
        <v>595</v>
      </c>
      <c r="B106" s="282" t="s">
        <v>821</v>
      </c>
      <c r="C106" s="282" t="s">
        <v>850</v>
      </c>
      <c r="D106" s="333">
        <v>26553</v>
      </c>
      <c r="E106" s="333">
        <v>13277</v>
      </c>
    </row>
    <row r="107" spans="1:6" ht="15.75" thickBot="1">
      <c r="A107" s="297" t="s">
        <v>595</v>
      </c>
      <c r="B107" s="282" t="s">
        <v>821</v>
      </c>
      <c r="C107" s="282" t="s">
        <v>851</v>
      </c>
      <c r="D107" s="333">
        <v>27180</v>
      </c>
      <c r="E107" s="333">
        <v>13590</v>
      </c>
    </row>
    <row r="108" spans="1:6" ht="15.75" thickBot="1">
      <c r="A108" s="297" t="s">
        <v>595</v>
      </c>
      <c r="B108" s="282" t="s">
        <v>821</v>
      </c>
      <c r="C108" s="282" t="s">
        <v>852</v>
      </c>
      <c r="D108" s="333">
        <v>12352</v>
      </c>
      <c r="E108" s="333">
        <v>6176</v>
      </c>
    </row>
    <row r="109" spans="1:6" ht="15.75" thickBot="1">
      <c r="A109" s="297" t="s">
        <v>595</v>
      </c>
      <c r="B109" s="282" t="s">
        <v>821</v>
      </c>
      <c r="C109" s="282" t="s">
        <v>853</v>
      </c>
      <c r="D109" s="333">
        <v>17011</v>
      </c>
      <c r="E109" s="333">
        <v>8506</v>
      </c>
    </row>
    <row r="110" spans="1:6" ht="15.75" thickBot="1">
      <c r="A110" s="297" t="s">
        <v>595</v>
      </c>
      <c r="B110" s="282" t="s">
        <v>821</v>
      </c>
      <c r="C110" s="282" t="s">
        <v>854</v>
      </c>
      <c r="D110" s="333">
        <v>23094</v>
      </c>
      <c r="E110" s="333">
        <v>11547</v>
      </c>
    </row>
    <row r="111" spans="1:6" ht="16.5" thickBot="1">
      <c r="A111" s="281" t="s">
        <v>70</v>
      </c>
      <c r="B111" s="282" t="s">
        <v>569</v>
      </c>
      <c r="C111" s="282" t="s">
        <v>855</v>
      </c>
      <c r="D111" s="333">
        <v>1866</v>
      </c>
      <c r="E111" s="333">
        <v>933</v>
      </c>
      <c r="F111" s="295" t="s">
        <v>856</v>
      </c>
    </row>
    <row r="112" spans="1:6" ht="15.75" thickBot="1">
      <c r="A112" s="281" t="s">
        <v>70</v>
      </c>
      <c r="B112" s="282" t="s">
        <v>569</v>
      </c>
      <c r="C112" s="282" t="s">
        <v>857</v>
      </c>
      <c r="D112" s="333">
        <v>2466</v>
      </c>
      <c r="E112" s="333">
        <v>1233</v>
      </c>
    </row>
    <row r="113" spans="1:5" ht="15.75" thickBot="1">
      <c r="A113" s="281" t="s">
        <v>70</v>
      </c>
      <c r="B113" s="282" t="s">
        <v>742</v>
      </c>
      <c r="C113" s="282" t="s">
        <v>858</v>
      </c>
      <c r="D113" s="333">
        <v>4784</v>
      </c>
      <c r="E113" s="333">
        <v>2392</v>
      </c>
    </row>
    <row r="114" spans="1:5" ht="15.75" thickBot="1">
      <c r="A114" s="281" t="s">
        <v>70</v>
      </c>
      <c r="B114" s="282" t="s">
        <v>742</v>
      </c>
      <c r="C114" s="282" t="s">
        <v>859</v>
      </c>
      <c r="D114" s="333">
        <v>3720</v>
      </c>
      <c r="E114" s="333">
        <v>1860</v>
      </c>
    </row>
    <row r="115" spans="1:5" ht="15.75" thickBot="1">
      <c r="A115" s="281" t="s">
        <v>70</v>
      </c>
      <c r="B115" s="282" t="s">
        <v>742</v>
      </c>
      <c r="C115" s="282" t="s">
        <v>860</v>
      </c>
      <c r="D115" s="333">
        <v>4340</v>
      </c>
      <c r="E115" s="333">
        <v>2170</v>
      </c>
    </row>
    <row r="116" spans="1:5" ht="15.75" thickBot="1">
      <c r="A116" s="281" t="s">
        <v>70</v>
      </c>
      <c r="B116" s="282" t="s">
        <v>742</v>
      </c>
      <c r="C116" s="282" t="s">
        <v>861</v>
      </c>
      <c r="D116" s="333">
        <v>5210</v>
      </c>
      <c r="E116" s="333">
        <v>2605</v>
      </c>
    </row>
    <row r="117" spans="1:5" ht="15.75" thickBot="1">
      <c r="A117" s="281" t="s">
        <v>70</v>
      </c>
      <c r="B117" s="282" t="s">
        <v>748</v>
      </c>
      <c r="C117" s="282" t="s">
        <v>862</v>
      </c>
      <c r="D117" s="333">
        <v>5698</v>
      </c>
      <c r="E117" s="333">
        <v>2849</v>
      </c>
    </row>
    <row r="118" spans="1:5" ht="15.75" thickBot="1">
      <c r="A118" s="281" t="s">
        <v>70</v>
      </c>
      <c r="B118" s="282" t="s">
        <v>748</v>
      </c>
      <c r="C118" s="282" t="s">
        <v>863</v>
      </c>
      <c r="D118" s="333">
        <v>3950</v>
      </c>
      <c r="E118" s="333">
        <v>1975</v>
      </c>
    </row>
    <row r="119" spans="1:5" ht="15.75" thickBot="1">
      <c r="A119" s="281" t="s">
        <v>70</v>
      </c>
      <c r="B119" s="282" t="s">
        <v>748</v>
      </c>
      <c r="C119" s="282" t="s">
        <v>864</v>
      </c>
      <c r="D119" s="333">
        <v>3426</v>
      </c>
      <c r="E119" s="333">
        <v>1713</v>
      </c>
    </row>
    <row r="120" spans="1:5" ht="15.75" thickBot="1">
      <c r="A120" s="281" t="s">
        <v>70</v>
      </c>
      <c r="B120" s="282" t="s">
        <v>748</v>
      </c>
      <c r="C120" s="282" t="s">
        <v>865</v>
      </c>
      <c r="D120" s="333">
        <v>3606</v>
      </c>
      <c r="E120" s="333">
        <v>1803</v>
      </c>
    </row>
    <row r="121" spans="1:5" ht="15.75" thickBot="1">
      <c r="A121" s="281" t="s">
        <v>70</v>
      </c>
      <c r="B121" s="282" t="s">
        <v>748</v>
      </c>
      <c r="C121" s="282" t="s">
        <v>866</v>
      </c>
      <c r="D121" s="333">
        <v>4898</v>
      </c>
      <c r="E121" s="333">
        <v>2449</v>
      </c>
    </row>
    <row r="122" spans="1:5" ht="15.75" thickBot="1">
      <c r="A122" s="281" t="s">
        <v>70</v>
      </c>
      <c r="B122" s="282" t="s">
        <v>748</v>
      </c>
      <c r="C122" s="282" t="s">
        <v>867</v>
      </c>
      <c r="D122" s="333">
        <v>4516</v>
      </c>
      <c r="E122" s="333">
        <v>2258</v>
      </c>
    </row>
    <row r="123" spans="1:5" ht="15.75" thickBot="1">
      <c r="A123" s="281" t="s">
        <v>70</v>
      </c>
      <c r="B123" s="282" t="s">
        <v>806</v>
      </c>
      <c r="C123" s="282" t="s">
        <v>868</v>
      </c>
      <c r="D123" s="333">
        <v>6868</v>
      </c>
      <c r="E123" s="333">
        <v>3434</v>
      </c>
    </row>
    <row r="124" spans="1:5" ht="15.75" thickBot="1">
      <c r="A124" s="281" t="s">
        <v>70</v>
      </c>
      <c r="B124" s="282" t="s">
        <v>757</v>
      </c>
      <c r="C124" s="282" t="s">
        <v>869</v>
      </c>
      <c r="D124" s="333">
        <v>5288</v>
      </c>
      <c r="E124" s="333">
        <v>2644</v>
      </c>
    </row>
    <row r="125" spans="1:5" ht="15.75" thickBot="1">
      <c r="A125" s="281" t="s">
        <v>70</v>
      </c>
      <c r="B125" s="282" t="s">
        <v>757</v>
      </c>
      <c r="C125" s="282" t="s">
        <v>870</v>
      </c>
      <c r="D125" s="333">
        <v>5062</v>
      </c>
      <c r="E125" s="333">
        <v>2531</v>
      </c>
    </row>
    <row r="126" spans="1:5" ht="15.75" thickBot="1">
      <c r="A126" s="281" t="s">
        <v>70</v>
      </c>
      <c r="B126" s="282" t="s">
        <v>757</v>
      </c>
      <c r="C126" s="282" t="s">
        <v>871</v>
      </c>
      <c r="D126" s="333">
        <v>5586</v>
      </c>
      <c r="E126" s="333">
        <v>2793</v>
      </c>
    </row>
    <row r="127" spans="1:5" ht="15.75" thickBot="1">
      <c r="A127" s="281" t="s">
        <v>70</v>
      </c>
      <c r="B127" s="282" t="s">
        <v>757</v>
      </c>
      <c r="C127" s="282" t="s">
        <v>872</v>
      </c>
      <c r="D127" s="333">
        <v>4684</v>
      </c>
      <c r="E127" s="333">
        <v>2342</v>
      </c>
    </row>
    <row r="128" spans="1:5" ht="15.75" thickBot="1">
      <c r="A128" s="281" t="s">
        <v>70</v>
      </c>
      <c r="B128" s="282" t="s">
        <v>757</v>
      </c>
      <c r="C128" s="282" t="s">
        <v>873</v>
      </c>
      <c r="D128" s="333">
        <v>4238</v>
      </c>
      <c r="E128" s="333">
        <v>2119</v>
      </c>
    </row>
    <row r="129" spans="1:5" ht="15.75" thickBot="1">
      <c r="A129" s="281" t="s">
        <v>70</v>
      </c>
      <c r="B129" s="282" t="s">
        <v>874</v>
      </c>
      <c r="C129" s="282" t="s">
        <v>875</v>
      </c>
      <c r="D129" s="333">
        <v>6500</v>
      </c>
      <c r="E129" s="333">
        <v>3250</v>
      </c>
    </row>
    <row r="130" spans="1:5" ht="15.75" thickBot="1">
      <c r="A130" s="281" t="s">
        <v>70</v>
      </c>
      <c r="B130" s="282" t="s">
        <v>874</v>
      </c>
      <c r="C130" s="282" t="s">
        <v>875</v>
      </c>
      <c r="D130" s="333">
        <v>5600</v>
      </c>
      <c r="E130" s="333">
        <v>2800</v>
      </c>
    </row>
    <row r="131" spans="1:5" ht="15.75" thickBot="1">
      <c r="A131" s="281" t="s">
        <v>70</v>
      </c>
      <c r="B131" s="282" t="s">
        <v>762</v>
      </c>
      <c r="C131" s="282" t="s">
        <v>876</v>
      </c>
      <c r="D131" s="333">
        <v>4393</v>
      </c>
      <c r="E131" s="333">
        <v>2197</v>
      </c>
    </row>
    <row r="132" spans="1:5" ht="15.75" thickBot="1">
      <c r="A132" s="281" t="s">
        <v>70</v>
      </c>
      <c r="B132" s="282" t="s">
        <v>762</v>
      </c>
      <c r="C132" s="282" t="s">
        <v>877</v>
      </c>
      <c r="D132" s="333">
        <v>4434</v>
      </c>
      <c r="E132" s="333">
        <v>2217</v>
      </c>
    </row>
    <row r="133" spans="1:5" ht="15.75" thickBot="1">
      <c r="A133" s="281" t="s">
        <v>70</v>
      </c>
      <c r="B133" s="282" t="s">
        <v>762</v>
      </c>
      <c r="C133" s="282" t="s">
        <v>878</v>
      </c>
      <c r="D133" s="333">
        <v>4434</v>
      </c>
      <c r="E133" s="333">
        <v>2217</v>
      </c>
    </row>
    <row r="134" spans="1:5" ht="15.75" thickBot="1">
      <c r="A134" s="281" t="s">
        <v>70</v>
      </c>
      <c r="B134" s="282" t="s">
        <v>762</v>
      </c>
      <c r="C134" s="282" t="s">
        <v>879</v>
      </c>
      <c r="D134" s="333">
        <v>4745</v>
      </c>
      <c r="E134" s="333">
        <v>2373</v>
      </c>
    </row>
    <row r="135" spans="1:5" ht="15.75" thickBot="1">
      <c r="A135" s="281" t="s">
        <v>70</v>
      </c>
      <c r="B135" s="282" t="s">
        <v>767</v>
      </c>
      <c r="C135" s="282" t="s">
        <v>880</v>
      </c>
      <c r="D135" s="333">
        <v>3207</v>
      </c>
      <c r="E135" s="333">
        <v>1604</v>
      </c>
    </row>
    <row r="136" spans="1:5" ht="15.75" thickBot="1">
      <c r="A136" s="281" t="s">
        <v>70</v>
      </c>
      <c r="B136" s="282" t="s">
        <v>767</v>
      </c>
      <c r="C136" s="282" t="s">
        <v>881</v>
      </c>
      <c r="D136" s="333">
        <v>3740</v>
      </c>
      <c r="E136" s="333">
        <v>1870</v>
      </c>
    </row>
    <row r="137" spans="1:5" ht="15.75" thickBot="1">
      <c r="A137" s="281" t="s">
        <v>70</v>
      </c>
      <c r="B137" s="282" t="s">
        <v>767</v>
      </c>
      <c r="C137" s="282" t="s">
        <v>882</v>
      </c>
      <c r="D137" s="333">
        <v>5006</v>
      </c>
      <c r="E137" s="333">
        <v>2503</v>
      </c>
    </row>
    <row r="138" spans="1:5" ht="15.75" thickBot="1">
      <c r="A138" s="281" t="s">
        <v>70</v>
      </c>
      <c r="B138" s="282" t="s">
        <v>767</v>
      </c>
      <c r="C138" s="282" t="s">
        <v>883</v>
      </c>
      <c r="D138" s="333">
        <v>5771</v>
      </c>
      <c r="E138" s="333">
        <v>2886</v>
      </c>
    </row>
    <row r="139" spans="1:5" ht="15.75" thickBot="1">
      <c r="A139" s="281" t="s">
        <v>70</v>
      </c>
      <c r="B139" s="282" t="s">
        <v>767</v>
      </c>
      <c r="C139" s="282" t="s">
        <v>884</v>
      </c>
      <c r="D139" s="333">
        <v>6089</v>
      </c>
      <c r="E139" s="333">
        <v>3045</v>
      </c>
    </row>
    <row r="140" spans="1:5" ht="15.75" thickBot="1">
      <c r="A140" s="281" t="s">
        <v>70</v>
      </c>
      <c r="B140" s="282" t="s">
        <v>767</v>
      </c>
      <c r="C140" s="282" t="s">
        <v>885</v>
      </c>
      <c r="D140" s="333">
        <v>3227</v>
      </c>
      <c r="E140" s="333">
        <v>1614</v>
      </c>
    </row>
    <row r="141" spans="1:5" ht="15.75" thickBot="1">
      <c r="A141" s="281" t="s">
        <v>70</v>
      </c>
      <c r="B141" s="282" t="s">
        <v>767</v>
      </c>
      <c r="C141" s="282" t="s">
        <v>886</v>
      </c>
      <c r="D141" s="333">
        <v>2732</v>
      </c>
      <c r="E141" s="333">
        <v>1366</v>
      </c>
    </row>
    <row r="142" spans="1:5" ht="15.75" thickBot="1">
      <c r="A142" s="281" t="s">
        <v>70</v>
      </c>
      <c r="B142" s="282" t="s">
        <v>783</v>
      </c>
      <c r="C142" s="282" t="s">
        <v>887</v>
      </c>
      <c r="D142" s="333">
        <v>3889</v>
      </c>
      <c r="E142" s="333">
        <v>1945</v>
      </c>
    </row>
    <row r="143" spans="1:5" ht="15.75" thickBot="1">
      <c r="A143" s="281" t="s">
        <v>70</v>
      </c>
      <c r="B143" s="282" t="s">
        <v>592</v>
      </c>
      <c r="C143" s="282" t="s">
        <v>888</v>
      </c>
      <c r="D143" s="333">
        <v>2890</v>
      </c>
      <c r="E143" s="333">
        <v>1445</v>
      </c>
    </row>
    <row r="144" spans="1:5" ht="15.75" thickBot="1">
      <c r="A144" s="281" t="s">
        <v>70</v>
      </c>
      <c r="B144" s="282" t="s">
        <v>592</v>
      </c>
      <c r="C144" s="282" t="s">
        <v>889</v>
      </c>
      <c r="D144" s="333">
        <v>5450</v>
      </c>
      <c r="E144" s="333">
        <v>2725</v>
      </c>
    </row>
    <row r="145" spans="1:5" ht="15.75" thickBot="1">
      <c r="A145" s="281" t="s">
        <v>70</v>
      </c>
      <c r="B145" s="282" t="s">
        <v>890</v>
      </c>
      <c r="C145" s="282" t="s">
        <v>891</v>
      </c>
      <c r="D145" s="333">
        <v>4210</v>
      </c>
      <c r="E145" s="333">
        <v>2105</v>
      </c>
    </row>
    <row r="146" spans="1:5" ht="15.75" thickBot="1">
      <c r="A146" s="281" t="s">
        <v>70</v>
      </c>
      <c r="B146" s="282" t="s">
        <v>806</v>
      </c>
      <c r="C146" s="282" t="s">
        <v>892</v>
      </c>
      <c r="D146" s="333">
        <v>6225</v>
      </c>
      <c r="E146" s="333">
        <v>3113</v>
      </c>
    </row>
    <row r="147" spans="1:5" ht="15.75" thickBot="1">
      <c r="A147" s="281" t="s">
        <v>70</v>
      </c>
      <c r="B147" s="282" t="s">
        <v>893</v>
      </c>
      <c r="C147" s="282" t="s">
        <v>894</v>
      </c>
      <c r="D147" s="333">
        <v>3690</v>
      </c>
      <c r="E147" s="333">
        <v>1845</v>
      </c>
    </row>
    <row r="148" spans="1:5" ht="15.75" thickBot="1">
      <c r="A148" s="281" t="s">
        <v>70</v>
      </c>
      <c r="B148" s="282" t="s">
        <v>893</v>
      </c>
      <c r="C148" s="282" t="s">
        <v>895</v>
      </c>
      <c r="D148" s="333">
        <v>4730</v>
      </c>
      <c r="E148" s="333">
        <v>2365</v>
      </c>
    </row>
    <row r="149" spans="1:5" ht="15.75" thickBot="1">
      <c r="A149" s="281" t="s">
        <v>70</v>
      </c>
      <c r="B149" s="282" t="s">
        <v>893</v>
      </c>
      <c r="C149" s="282" t="s">
        <v>896</v>
      </c>
      <c r="D149" s="333">
        <v>5370</v>
      </c>
      <c r="E149" s="333">
        <v>2685</v>
      </c>
    </row>
    <row r="150" spans="1:5" ht="15.75" thickBot="1">
      <c r="A150" s="297" t="s">
        <v>595</v>
      </c>
      <c r="B150" s="282" t="s">
        <v>569</v>
      </c>
      <c r="C150" s="282" t="s">
        <v>897</v>
      </c>
      <c r="D150" s="333">
        <v>3042</v>
      </c>
      <c r="E150" s="333">
        <v>1521</v>
      </c>
    </row>
    <row r="151" spans="1:5" ht="15.75" thickBot="1">
      <c r="A151" s="297" t="s">
        <v>595</v>
      </c>
      <c r="B151" s="282" t="s">
        <v>792</v>
      </c>
      <c r="C151" s="282" t="s">
        <v>898</v>
      </c>
      <c r="D151" s="333">
        <v>5520</v>
      </c>
      <c r="E151" s="333">
        <v>2760</v>
      </c>
    </row>
    <row r="152" spans="1:5" ht="15.75" thickBot="1">
      <c r="A152" s="297" t="s">
        <v>595</v>
      </c>
      <c r="B152" s="282" t="s">
        <v>742</v>
      </c>
      <c r="C152" s="282" t="s">
        <v>899</v>
      </c>
      <c r="D152" s="333">
        <v>7130</v>
      </c>
      <c r="E152" s="333">
        <v>3565</v>
      </c>
    </row>
    <row r="153" spans="1:5" ht="15.75" thickBot="1">
      <c r="A153" s="297" t="s">
        <v>595</v>
      </c>
      <c r="B153" s="282" t="s">
        <v>742</v>
      </c>
      <c r="C153" s="282" t="s">
        <v>900</v>
      </c>
      <c r="D153" s="333">
        <v>5356</v>
      </c>
      <c r="E153" s="333">
        <v>2678</v>
      </c>
    </row>
    <row r="154" spans="1:5" ht="15.75" thickBot="1">
      <c r="A154" s="297" t="s">
        <v>595</v>
      </c>
      <c r="B154" s="282" t="s">
        <v>748</v>
      </c>
      <c r="C154" s="282" t="s">
        <v>901</v>
      </c>
      <c r="D154" s="333">
        <v>5610</v>
      </c>
      <c r="E154" s="333">
        <v>2805</v>
      </c>
    </row>
    <row r="155" spans="1:5" ht="15.75" thickBot="1">
      <c r="A155" s="297" t="s">
        <v>595</v>
      </c>
      <c r="B155" s="282" t="s">
        <v>748</v>
      </c>
      <c r="C155" s="282" t="s">
        <v>902</v>
      </c>
      <c r="D155" s="333">
        <v>6012</v>
      </c>
      <c r="E155" s="333">
        <v>3006</v>
      </c>
    </row>
    <row r="156" spans="1:5" ht="15.75" thickBot="1">
      <c r="A156" s="297" t="s">
        <v>595</v>
      </c>
      <c r="B156" s="282" t="s">
        <v>757</v>
      </c>
      <c r="C156" s="282" t="s">
        <v>903</v>
      </c>
      <c r="D156" s="333">
        <v>4352</v>
      </c>
      <c r="E156" s="333">
        <v>2176</v>
      </c>
    </row>
  </sheetData>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sheetPr codeName="Sheet81"/>
  <dimension ref="A2:F49"/>
  <sheetViews>
    <sheetView workbookViewId="0">
      <selection activeCell="I34" sqref="I34"/>
    </sheetView>
  </sheetViews>
  <sheetFormatPr defaultRowHeight="12.75"/>
  <cols>
    <col min="1" max="1" width="20.85546875" style="266" customWidth="1"/>
    <col min="2" max="2" width="23.42578125" style="266" bestFit="1" customWidth="1"/>
    <col min="3" max="3" width="28" style="266" bestFit="1" customWidth="1"/>
    <col min="4" max="4" width="12.140625" style="266" bestFit="1" customWidth="1"/>
    <col min="5" max="5" width="12.5703125" style="266" customWidth="1"/>
    <col min="6" max="7" width="9.140625" style="266"/>
    <col min="8" max="8" width="18.5703125" style="266" customWidth="1"/>
    <col min="9" max="9" width="20.28515625" style="266" bestFit="1" customWidth="1"/>
    <col min="10" max="10" width="29.7109375" style="266" bestFit="1" customWidth="1"/>
    <col min="11" max="11" width="12.140625" style="266" bestFit="1" customWidth="1"/>
    <col min="12" max="12" width="7.7109375" style="266" bestFit="1" customWidth="1"/>
    <col min="13" max="16384" width="9.140625" style="266"/>
  </cols>
  <sheetData>
    <row r="2" spans="1:6" ht="15.75">
      <c r="A2" s="267" t="s">
        <v>1149</v>
      </c>
    </row>
    <row r="3" spans="1:6" ht="30">
      <c r="A3" s="268" t="s">
        <v>555</v>
      </c>
      <c r="B3" s="268" t="s">
        <v>556</v>
      </c>
      <c r="C3" s="268" t="s">
        <v>557</v>
      </c>
      <c r="D3" s="268" t="s">
        <v>558</v>
      </c>
      <c r="E3" s="268" t="s">
        <v>559</v>
      </c>
    </row>
    <row r="4" spans="1:6" ht="15">
      <c r="A4" s="492" t="s">
        <v>1150</v>
      </c>
      <c r="B4" s="270">
        <f>AVERAGEIFS($E$11:$E$49,$A$11:$A$49,"Fryer",$B$11:$B$49,"Baseline")</f>
        <v>3766.1</v>
      </c>
      <c r="C4" s="270">
        <f>AVERAGEIFS($E$11:$E$49,$A$11:$A$49,"Fryer",$B$11:$B$49,"Energy Efficient")</f>
        <v>4878.1176470588234</v>
      </c>
      <c r="D4" s="271">
        <f>C4-B4</f>
        <v>1112.0176470588235</v>
      </c>
      <c r="E4" s="271">
        <f>D4*$E$7</f>
        <v>995.17531820238844</v>
      </c>
      <c r="F4" s="493"/>
    </row>
    <row r="5" spans="1:6" ht="15">
      <c r="A5" s="492" t="s">
        <v>1151</v>
      </c>
      <c r="B5" s="270">
        <f>AVERAGEIFS($E$11:$E$49,$A$11:$A$49,"Large Vat",$B$11:$B$49,"Baseline")</f>
        <v>4418.272727272727</v>
      </c>
      <c r="C5" s="270">
        <f>AVERAGEIFS($E$11:$E$49,$A$11:$A$49,"Large Vat",$B$11:$B$49,"Energy Efficient")</f>
        <v>4846</v>
      </c>
      <c r="D5" s="271">
        <f>C5-B5</f>
        <v>427.72727272727298</v>
      </c>
      <c r="E5" s="271">
        <f>D5*$E$7</f>
        <v>382.78495477660971</v>
      </c>
    </row>
    <row r="6" spans="1:6" ht="15">
      <c r="A6" s="492" t="s">
        <v>1152</v>
      </c>
      <c r="B6" s="270">
        <f>AVERAGEIFS($E$11:$E$49,$B$11:$B$49,"Baseline")</f>
        <v>4107.7142857142853</v>
      </c>
      <c r="C6" s="270">
        <f>AVERAGEIFS($E$11:$E$49,$B$11:$B$49,"Energy Efficient")</f>
        <v>4876.333333333333</v>
      </c>
      <c r="D6" s="271">
        <f>C6-B6</f>
        <v>768.61904761904771</v>
      </c>
      <c r="E6" s="271">
        <f>D6*$E$7</f>
        <v>687.85842321281109</v>
      </c>
    </row>
    <row r="7" spans="1:6" ht="15">
      <c r="D7" s="273" t="s">
        <v>562</v>
      </c>
      <c r="E7" s="274">
        <v>0.89492763072108483</v>
      </c>
    </row>
    <row r="9" spans="1:6" ht="16.5" thickBot="1">
      <c r="A9" s="295" t="s">
        <v>1153</v>
      </c>
    </row>
    <row r="10" spans="1:6" ht="13.5" thickBot="1">
      <c r="A10" s="275" t="s">
        <v>555</v>
      </c>
      <c r="B10" s="276" t="s">
        <v>564</v>
      </c>
      <c r="C10" s="276" t="s">
        <v>1154</v>
      </c>
      <c r="D10" s="276" t="s">
        <v>567</v>
      </c>
      <c r="E10" s="276" t="s">
        <v>568</v>
      </c>
    </row>
    <row r="11" spans="1:6" ht="15.75" thickBot="1">
      <c r="A11" s="494" t="s">
        <v>410</v>
      </c>
      <c r="B11" s="495" t="s">
        <v>70</v>
      </c>
      <c r="C11" s="495" t="s">
        <v>1155</v>
      </c>
      <c r="D11" s="496">
        <v>5845</v>
      </c>
      <c r="E11" s="496">
        <v>2923</v>
      </c>
    </row>
    <row r="12" spans="1:6" ht="15.75" thickBot="1">
      <c r="A12" s="494" t="s">
        <v>410</v>
      </c>
      <c r="B12" s="495" t="s">
        <v>70</v>
      </c>
      <c r="C12" s="495" t="s">
        <v>1156</v>
      </c>
      <c r="D12" s="496">
        <v>5845</v>
      </c>
      <c r="E12" s="496">
        <v>2923</v>
      </c>
    </row>
    <row r="13" spans="1:6" ht="15.75" thickBot="1">
      <c r="A13" s="494" t="s">
        <v>410</v>
      </c>
      <c r="B13" s="495" t="s">
        <v>70</v>
      </c>
      <c r="C13" s="495" t="s">
        <v>1157</v>
      </c>
      <c r="D13" s="496">
        <v>9543</v>
      </c>
      <c r="E13" s="496">
        <v>4772</v>
      </c>
    </row>
    <row r="14" spans="1:6" ht="15.75" thickBot="1">
      <c r="A14" s="494" t="s">
        <v>410</v>
      </c>
      <c r="B14" s="495" t="s">
        <v>70</v>
      </c>
      <c r="C14" s="495" t="s">
        <v>1158</v>
      </c>
      <c r="D14" s="496">
        <v>8879</v>
      </c>
      <c r="E14" s="496">
        <v>4440</v>
      </c>
    </row>
    <row r="15" spans="1:6" ht="15.75" thickBot="1">
      <c r="A15" s="494" t="s">
        <v>410</v>
      </c>
      <c r="B15" s="495" t="s">
        <v>70</v>
      </c>
      <c r="C15" s="495" t="s">
        <v>1159</v>
      </c>
      <c r="D15" s="496">
        <v>10090</v>
      </c>
      <c r="E15" s="496">
        <v>5045</v>
      </c>
    </row>
    <row r="16" spans="1:6" ht="15.75" thickBot="1">
      <c r="A16" s="494" t="s">
        <v>410</v>
      </c>
      <c r="B16" s="495" t="s">
        <v>70</v>
      </c>
      <c r="C16" s="495" t="s">
        <v>1160</v>
      </c>
      <c r="D16" s="496">
        <v>9515</v>
      </c>
      <c r="E16" s="496">
        <v>4758</v>
      </c>
    </row>
    <row r="17" spans="1:5" ht="15.75" thickBot="1">
      <c r="A17" s="494" t="s">
        <v>410</v>
      </c>
      <c r="B17" s="495" t="s">
        <v>70</v>
      </c>
      <c r="C17" s="495" t="s">
        <v>1161</v>
      </c>
      <c r="D17" s="496">
        <v>10364</v>
      </c>
      <c r="E17" s="496">
        <v>5182</v>
      </c>
    </row>
    <row r="18" spans="1:5" ht="15.75" thickBot="1">
      <c r="A18" s="494" t="s">
        <v>410</v>
      </c>
      <c r="B18" s="495" t="s">
        <v>70</v>
      </c>
      <c r="C18" s="495" t="s">
        <v>1162</v>
      </c>
      <c r="D18" s="496">
        <v>4861</v>
      </c>
      <c r="E18" s="496">
        <v>2431</v>
      </c>
    </row>
    <row r="19" spans="1:5" ht="15.75" thickBot="1">
      <c r="A19" s="494" t="s">
        <v>410</v>
      </c>
      <c r="B19" s="495" t="s">
        <v>70</v>
      </c>
      <c r="C19" s="495" t="s">
        <v>1163</v>
      </c>
      <c r="D19" s="496">
        <v>5481</v>
      </c>
      <c r="E19" s="496">
        <v>2741</v>
      </c>
    </row>
    <row r="20" spans="1:5" ht="15.75" thickBot="1">
      <c r="A20" s="494" t="s">
        <v>410</v>
      </c>
      <c r="B20" s="495" t="s">
        <v>70</v>
      </c>
      <c r="C20" s="495" t="s">
        <v>1164</v>
      </c>
      <c r="D20" s="496">
        <v>4891</v>
      </c>
      <c r="E20" s="496">
        <v>2446</v>
      </c>
    </row>
    <row r="21" spans="1:5" ht="15.75" thickBot="1">
      <c r="A21" s="494" t="s">
        <v>1165</v>
      </c>
      <c r="B21" s="495" t="s">
        <v>70</v>
      </c>
      <c r="C21" s="495" t="s">
        <v>1166</v>
      </c>
      <c r="D21" s="496">
        <v>9386</v>
      </c>
      <c r="E21" s="496">
        <v>4693</v>
      </c>
    </row>
    <row r="22" spans="1:5" ht="15.75" thickBot="1">
      <c r="A22" s="494" t="s">
        <v>1165</v>
      </c>
      <c r="B22" s="495" t="s">
        <v>70</v>
      </c>
      <c r="C22" s="495" t="s">
        <v>1167</v>
      </c>
      <c r="D22" s="496">
        <v>10550</v>
      </c>
      <c r="E22" s="496">
        <v>5275</v>
      </c>
    </row>
    <row r="23" spans="1:5" ht="15.75" thickBot="1">
      <c r="A23" s="494" t="s">
        <v>1165</v>
      </c>
      <c r="B23" s="495" t="s">
        <v>70</v>
      </c>
      <c r="C23" s="495" t="s">
        <v>1168</v>
      </c>
      <c r="D23" s="496">
        <v>13821</v>
      </c>
      <c r="E23" s="496">
        <v>6911</v>
      </c>
    </row>
    <row r="24" spans="1:5" ht="15.75" thickBot="1">
      <c r="A24" s="494" t="s">
        <v>1165</v>
      </c>
      <c r="B24" s="495" t="s">
        <v>70</v>
      </c>
      <c r="C24" s="495" t="s">
        <v>1169</v>
      </c>
      <c r="D24" s="496">
        <v>7870</v>
      </c>
      <c r="E24" s="496">
        <v>3935</v>
      </c>
    </row>
    <row r="25" spans="1:5" ht="15.75" thickBot="1">
      <c r="A25" s="494" t="s">
        <v>1165</v>
      </c>
      <c r="B25" s="495" t="s">
        <v>70</v>
      </c>
      <c r="C25" s="495" t="s">
        <v>1170</v>
      </c>
      <c r="D25" s="496">
        <v>8216</v>
      </c>
      <c r="E25" s="496">
        <v>4108</v>
      </c>
    </row>
    <row r="26" spans="1:5" ht="15.75" thickBot="1">
      <c r="A26" s="494" t="s">
        <v>1165</v>
      </c>
      <c r="B26" s="495" t="s">
        <v>70</v>
      </c>
      <c r="C26" s="495" t="s">
        <v>1171</v>
      </c>
      <c r="D26" s="496">
        <v>6156</v>
      </c>
      <c r="E26" s="496">
        <v>3078</v>
      </c>
    </row>
    <row r="27" spans="1:5" ht="15.75" thickBot="1">
      <c r="A27" s="494" t="s">
        <v>1165</v>
      </c>
      <c r="B27" s="495" t="s">
        <v>70</v>
      </c>
      <c r="C27" s="495" t="s">
        <v>1172</v>
      </c>
      <c r="D27" s="496">
        <v>6218</v>
      </c>
      <c r="E27" s="496">
        <v>3109</v>
      </c>
    </row>
    <row r="28" spans="1:5" ht="15.75" thickBot="1">
      <c r="A28" s="494" t="s">
        <v>1165</v>
      </c>
      <c r="B28" s="495" t="s">
        <v>70</v>
      </c>
      <c r="C28" s="495" t="s">
        <v>1173</v>
      </c>
      <c r="D28" s="496">
        <v>7204</v>
      </c>
      <c r="E28" s="496">
        <v>3602</v>
      </c>
    </row>
    <row r="29" spans="1:5" ht="15.75" thickBot="1">
      <c r="A29" s="494" t="s">
        <v>1165</v>
      </c>
      <c r="B29" s="495" t="s">
        <v>70</v>
      </c>
      <c r="C29" s="495" t="s">
        <v>1174</v>
      </c>
      <c r="D29" s="496">
        <v>8031</v>
      </c>
      <c r="E29" s="496">
        <v>4016</v>
      </c>
    </row>
    <row r="30" spans="1:5" ht="15.75" thickBot="1">
      <c r="A30" s="494" t="s">
        <v>1165</v>
      </c>
      <c r="B30" s="495" t="s">
        <v>70</v>
      </c>
      <c r="C30" s="495" t="s">
        <v>1175</v>
      </c>
      <c r="D30" s="496">
        <v>9938</v>
      </c>
      <c r="E30" s="496">
        <v>4969</v>
      </c>
    </row>
    <row r="31" spans="1:5" ht="15.75" thickBot="1">
      <c r="A31" s="494" t="s">
        <v>1165</v>
      </c>
      <c r="B31" s="495" t="s">
        <v>70</v>
      </c>
      <c r="C31" s="495" t="s">
        <v>1176</v>
      </c>
      <c r="D31" s="496">
        <v>9810</v>
      </c>
      <c r="E31" s="496">
        <v>4905</v>
      </c>
    </row>
    <row r="32" spans="1:5" ht="15.75" thickBot="1">
      <c r="A32" s="494" t="s">
        <v>410</v>
      </c>
      <c r="B32" s="495" t="s">
        <v>595</v>
      </c>
      <c r="C32" s="495" t="s">
        <v>1177</v>
      </c>
      <c r="D32" s="496">
        <v>6850</v>
      </c>
      <c r="E32" s="496">
        <v>3425</v>
      </c>
    </row>
    <row r="33" spans="1:5" ht="15.75" thickBot="1">
      <c r="A33" s="494" t="s">
        <v>410</v>
      </c>
      <c r="B33" s="495" t="s">
        <v>595</v>
      </c>
      <c r="C33" s="495" t="s">
        <v>1178</v>
      </c>
      <c r="D33" s="496">
        <v>9800</v>
      </c>
      <c r="E33" s="496">
        <v>4900</v>
      </c>
    </row>
    <row r="34" spans="1:5" ht="15.75" thickBot="1">
      <c r="A34" s="494" t="s">
        <v>410</v>
      </c>
      <c r="B34" s="495" t="s">
        <v>595</v>
      </c>
      <c r="C34" s="495" t="s">
        <v>1179</v>
      </c>
      <c r="D34" s="496">
        <v>7920</v>
      </c>
      <c r="E34" s="496">
        <v>3960</v>
      </c>
    </row>
    <row r="35" spans="1:5" ht="15.75" thickBot="1">
      <c r="A35" s="494" t="s">
        <v>410</v>
      </c>
      <c r="B35" s="495" t="s">
        <v>595</v>
      </c>
      <c r="C35" s="495" t="s">
        <v>1180</v>
      </c>
      <c r="D35" s="496">
        <v>10830</v>
      </c>
      <c r="E35" s="496">
        <v>5415</v>
      </c>
    </row>
    <row r="36" spans="1:5" ht="15.75" thickBot="1">
      <c r="A36" s="494" t="s">
        <v>410</v>
      </c>
      <c r="B36" s="495" t="s">
        <v>595</v>
      </c>
      <c r="C36" s="495" t="s">
        <v>1181</v>
      </c>
      <c r="D36" s="496">
        <v>8696</v>
      </c>
      <c r="E36" s="496">
        <v>4348</v>
      </c>
    </row>
    <row r="37" spans="1:5" ht="15.75" thickBot="1">
      <c r="A37" s="494" t="s">
        <v>410</v>
      </c>
      <c r="B37" s="495" t="s">
        <v>595</v>
      </c>
      <c r="C37" s="495" t="s">
        <v>1182</v>
      </c>
      <c r="D37" s="496">
        <v>11580</v>
      </c>
      <c r="E37" s="496">
        <v>5790</v>
      </c>
    </row>
    <row r="38" spans="1:5" ht="15.75" thickBot="1">
      <c r="A38" s="494" t="s">
        <v>410</v>
      </c>
      <c r="B38" s="495" t="s">
        <v>595</v>
      </c>
      <c r="C38" s="495" t="s">
        <v>1183</v>
      </c>
      <c r="D38" s="496">
        <v>4414</v>
      </c>
      <c r="E38" s="496">
        <v>2207</v>
      </c>
    </row>
    <row r="39" spans="1:5" ht="15.75" thickBot="1">
      <c r="A39" s="494" t="s">
        <v>410</v>
      </c>
      <c r="B39" s="495" t="s">
        <v>595</v>
      </c>
      <c r="C39" s="495" t="s">
        <v>1184</v>
      </c>
      <c r="D39" s="496">
        <v>17762</v>
      </c>
      <c r="E39" s="496">
        <v>8881</v>
      </c>
    </row>
    <row r="40" spans="1:5" ht="15.75" thickBot="1">
      <c r="A40" s="494" t="s">
        <v>410</v>
      </c>
      <c r="B40" s="495" t="s">
        <v>595</v>
      </c>
      <c r="C40" s="495" t="s">
        <v>1185</v>
      </c>
      <c r="D40" s="496">
        <v>15806</v>
      </c>
      <c r="E40" s="496">
        <v>7903</v>
      </c>
    </row>
    <row r="41" spans="1:5" ht="15.75" thickBot="1">
      <c r="A41" s="494" t="s">
        <v>410</v>
      </c>
      <c r="B41" s="495" t="s">
        <v>595</v>
      </c>
      <c r="C41" s="495" t="s">
        <v>1186</v>
      </c>
      <c r="D41" s="496">
        <v>15804</v>
      </c>
      <c r="E41" s="496">
        <v>7902</v>
      </c>
    </row>
    <row r="42" spans="1:5" ht="15.75" thickBot="1">
      <c r="A42" s="494" t="s">
        <v>410</v>
      </c>
      <c r="B42" s="495" t="s">
        <v>595</v>
      </c>
      <c r="C42" s="495" t="s">
        <v>1187</v>
      </c>
      <c r="D42" s="496">
        <v>9400</v>
      </c>
      <c r="E42" s="496">
        <v>4700</v>
      </c>
    </row>
    <row r="43" spans="1:5" ht="15.75" thickBot="1">
      <c r="A43" s="494" t="s">
        <v>410</v>
      </c>
      <c r="B43" s="495" t="s">
        <v>595</v>
      </c>
      <c r="C43" s="495" t="s">
        <v>1188</v>
      </c>
      <c r="D43" s="496">
        <v>8548</v>
      </c>
      <c r="E43" s="496">
        <v>4274</v>
      </c>
    </row>
    <row r="44" spans="1:5" ht="15.75" thickBot="1">
      <c r="A44" s="494" t="s">
        <v>410</v>
      </c>
      <c r="B44" s="495" t="s">
        <v>595</v>
      </c>
      <c r="C44" s="495" t="s">
        <v>1189</v>
      </c>
      <c r="D44" s="496">
        <v>7926</v>
      </c>
      <c r="E44" s="496">
        <v>3963</v>
      </c>
    </row>
    <row r="45" spans="1:5" ht="15.75" thickBot="1">
      <c r="A45" s="494" t="s">
        <v>410</v>
      </c>
      <c r="B45" s="495" t="s">
        <v>595</v>
      </c>
      <c r="C45" s="495" t="s">
        <v>1190</v>
      </c>
      <c r="D45" s="496">
        <v>8524</v>
      </c>
      <c r="E45" s="496">
        <v>4262</v>
      </c>
    </row>
    <row r="46" spans="1:5" ht="15.75" thickBot="1">
      <c r="A46" s="494" t="s">
        <v>410</v>
      </c>
      <c r="B46" s="495" t="s">
        <v>595</v>
      </c>
      <c r="C46" s="495" t="s">
        <v>1191</v>
      </c>
      <c r="D46" s="496">
        <v>6566</v>
      </c>
      <c r="E46" s="496">
        <v>3283</v>
      </c>
    </row>
    <row r="47" spans="1:5" ht="15.75" thickBot="1">
      <c r="A47" s="494" t="s">
        <v>410</v>
      </c>
      <c r="B47" s="495" t="s">
        <v>595</v>
      </c>
      <c r="C47" s="495" t="s">
        <v>1192</v>
      </c>
      <c r="D47" s="496">
        <v>7576</v>
      </c>
      <c r="E47" s="496">
        <v>3788</v>
      </c>
    </row>
    <row r="48" spans="1:5" ht="15.75" thickBot="1">
      <c r="A48" s="494" t="s">
        <v>410</v>
      </c>
      <c r="B48" s="495" t="s">
        <v>595</v>
      </c>
      <c r="C48" s="495" t="s">
        <v>1193</v>
      </c>
      <c r="D48" s="496">
        <v>7854</v>
      </c>
      <c r="E48" s="496">
        <v>3927</v>
      </c>
    </row>
    <row r="49" spans="1:5" ht="15.75" thickBot="1">
      <c r="A49" s="494" t="s">
        <v>1165</v>
      </c>
      <c r="B49" s="495" t="s">
        <v>595</v>
      </c>
      <c r="C49" s="495" t="s">
        <v>1194</v>
      </c>
      <c r="D49" s="496">
        <v>9692</v>
      </c>
      <c r="E49" s="496">
        <v>4846</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sheetPr codeName="Sheet2"/>
  <dimension ref="B2:I14"/>
  <sheetViews>
    <sheetView topLeftCell="C1" workbookViewId="0">
      <selection activeCell="F5" sqref="F5"/>
    </sheetView>
  </sheetViews>
  <sheetFormatPr defaultRowHeight="12.75"/>
  <cols>
    <col min="3" max="3" width="61.5703125" customWidth="1"/>
    <col min="4" max="4" width="16.140625" customWidth="1"/>
    <col min="6" max="6" width="40.28515625" customWidth="1"/>
    <col min="7" max="7" width="5.42578125" customWidth="1"/>
    <col min="8" max="8" width="3.7109375" customWidth="1"/>
    <col min="9" max="9" width="9.140625" hidden="1" customWidth="1"/>
  </cols>
  <sheetData>
    <row r="2" spans="2:6">
      <c r="B2" s="57" t="s">
        <v>0</v>
      </c>
      <c r="C2" s="57" t="s">
        <v>66</v>
      </c>
      <c r="D2" s="57" t="s">
        <v>67</v>
      </c>
      <c r="E2" s="57" t="s">
        <v>68</v>
      </c>
      <c r="F2" s="57" t="s">
        <v>69</v>
      </c>
    </row>
    <row r="3" spans="2:6" s="1" customFormat="1" ht="16.5" customHeight="1">
      <c r="B3" s="58">
        <f>ROW()-2</f>
        <v>1</v>
      </c>
      <c r="C3" t="s">
        <v>416</v>
      </c>
      <c r="D3" s="265">
        <v>41945</v>
      </c>
      <c r="E3" s="259" t="s">
        <v>542</v>
      </c>
      <c r="F3" s="46"/>
    </row>
    <row r="4" spans="2:6">
      <c r="B4" s="58">
        <f>ROW()-2</f>
        <v>2</v>
      </c>
      <c r="C4" s="56" t="s">
        <v>414</v>
      </c>
      <c r="D4" s="265">
        <v>41945</v>
      </c>
      <c r="E4" s="259" t="s">
        <v>542</v>
      </c>
    </row>
    <row r="5" spans="2:6">
      <c r="B5" s="58">
        <f>ROW()-2</f>
        <v>3</v>
      </c>
      <c r="C5" t="s">
        <v>415</v>
      </c>
      <c r="E5" s="259" t="s">
        <v>542</v>
      </c>
    </row>
    <row r="6" spans="2:6">
      <c r="B6" s="58">
        <f>ROW()-2</f>
        <v>4</v>
      </c>
      <c r="C6" t="s">
        <v>419</v>
      </c>
      <c r="D6" s="265">
        <v>41945</v>
      </c>
      <c r="E6" s="259" t="s">
        <v>542</v>
      </c>
    </row>
    <row r="7" spans="2:6">
      <c r="C7" t="s">
        <v>420</v>
      </c>
      <c r="D7" s="265">
        <v>41946</v>
      </c>
      <c r="E7" s="259" t="s">
        <v>542</v>
      </c>
    </row>
    <row r="8" spans="2:6">
      <c r="C8" t="s">
        <v>524</v>
      </c>
      <c r="E8" s="259" t="s">
        <v>542</v>
      </c>
    </row>
    <row r="9" spans="2:6">
      <c r="C9" t="s">
        <v>553</v>
      </c>
      <c r="E9" s="259" t="s">
        <v>542</v>
      </c>
    </row>
    <row r="10" spans="2:6">
      <c r="C10" t="s">
        <v>907</v>
      </c>
      <c r="E10" s="259" t="s">
        <v>542</v>
      </c>
    </row>
    <row r="11" spans="2:6">
      <c r="C11" t="s">
        <v>908</v>
      </c>
      <c r="E11" s="259" t="s">
        <v>542</v>
      </c>
    </row>
    <row r="12" spans="2:6">
      <c r="E12" s="259"/>
    </row>
    <row r="13" spans="2:6">
      <c r="E13" s="260"/>
    </row>
    <row r="14" spans="2:6">
      <c r="E14" s="260"/>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sheetPr codeName="Sheet19"/>
  <dimension ref="A2:L72"/>
  <sheetViews>
    <sheetView topLeftCell="A31" workbookViewId="0">
      <selection activeCell="F51" sqref="F51"/>
    </sheetView>
  </sheetViews>
  <sheetFormatPr defaultRowHeight="12.75"/>
  <cols>
    <col min="1" max="1" width="39" style="136" customWidth="1"/>
    <col min="2" max="2" width="29" style="136" bestFit="1" customWidth="1"/>
    <col min="3" max="3" width="22.140625" style="136" bestFit="1" customWidth="1"/>
    <col min="4" max="4" width="18.28515625" style="136" bestFit="1" customWidth="1"/>
    <col min="5" max="5" width="21.7109375" style="136" bestFit="1" customWidth="1"/>
    <col min="6" max="6" width="18.140625" style="136" bestFit="1" customWidth="1"/>
    <col min="7" max="7" width="21.7109375" style="136" bestFit="1" customWidth="1"/>
    <col min="8" max="8" width="25" style="136" customWidth="1"/>
    <col min="9" max="9" width="21.7109375" style="136" bestFit="1" customWidth="1"/>
    <col min="10" max="10" width="15.140625" style="136" bestFit="1" customWidth="1"/>
    <col min="11" max="11" width="21.7109375" style="136" bestFit="1" customWidth="1"/>
    <col min="12" max="16384" width="9.140625" style="136"/>
  </cols>
  <sheetData>
    <row r="2" spans="1:12">
      <c r="A2" s="361" t="s">
        <v>1010</v>
      </c>
      <c r="B2" s="362"/>
      <c r="C2" s="362"/>
      <c r="D2" s="362"/>
      <c r="E2" s="362"/>
    </row>
    <row r="3" spans="1:12" ht="25.5">
      <c r="A3" s="363" t="s">
        <v>1011</v>
      </c>
      <c r="B3" s="363" t="s">
        <v>463</v>
      </c>
      <c r="C3" s="363" t="s">
        <v>1012</v>
      </c>
      <c r="D3" s="362"/>
      <c r="E3" s="362"/>
    </row>
    <row r="4" spans="1:12">
      <c r="A4" s="364" t="s">
        <v>1013</v>
      </c>
      <c r="B4" s="365">
        <v>0.5</v>
      </c>
      <c r="C4" s="364">
        <v>400</v>
      </c>
      <c r="D4" s="362"/>
      <c r="E4" s="362"/>
    </row>
    <row r="5" spans="1:12">
      <c r="A5" s="364" t="s">
        <v>1014</v>
      </c>
      <c r="B5" s="365">
        <v>0.5</v>
      </c>
      <c r="C5" s="364">
        <v>530</v>
      </c>
      <c r="D5" s="362"/>
      <c r="E5" s="362"/>
    </row>
    <row r="6" spans="1:12">
      <c r="A6" s="364" t="s">
        <v>1015</v>
      </c>
      <c r="B6" s="365">
        <v>0.5</v>
      </c>
      <c r="C6" s="364">
        <v>670</v>
      </c>
      <c r="D6" s="362"/>
      <c r="E6" s="362"/>
    </row>
    <row r="7" spans="1:12">
      <c r="A7" s="364" t="s">
        <v>1016</v>
      </c>
      <c r="B7" s="365">
        <v>0.5</v>
      </c>
      <c r="C7" s="364">
        <v>800</v>
      </c>
    </row>
    <row r="9" spans="1:12" ht="13.5" thickBot="1"/>
    <row r="10" spans="1:12" ht="13.5" thickBot="1">
      <c r="A10" s="604" t="s">
        <v>1017</v>
      </c>
      <c r="B10" s="605"/>
      <c r="C10" s="605"/>
      <c r="D10" s="606"/>
    </row>
    <row r="11" spans="1:12">
      <c r="A11" s="366"/>
      <c r="B11" s="367" t="s">
        <v>1018</v>
      </c>
      <c r="C11" s="367" t="s">
        <v>1019</v>
      </c>
      <c r="D11" s="367" t="s">
        <v>1020</v>
      </c>
    </row>
    <row r="12" spans="1:12">
      <c r="A12" s="368" t="s">
        <v>1021</v>
      </c>
      <c r="B12" s="369">
        <v>0.92</v>
      </c>
      <c r="C12" s="370">
        <v>12</v>
      </c>
      <c r="D12" s="369">
        <v>0.38</v>
      </c>
    </row>
    <row r="13" spans="1:12">
      <c r="A13" s="371" t="s">
        <v>1022</v>
      </c>
      <c r="B13" s="371"/>
      <c r="C13" s="371"/>
      <c r="D13" s="371"/>
    </row>
    <row r="14" spans="1:12" ht="13.5" thickBot="1"/>
    <row r="15" spans="1:12">
      <c r="B15" s="602" t="s">
        <v>1023</v>
      </c>
      <c r="C15" s="603"/>
      <c r="D15" s="602" t="s">
        <v>1024</v>
      </c>
      <c r="E15" s="603"/>
      <c r="F15" s="602" t="s">
        <v>1025</v>
      </c>
      <c r="G15" s="603"/>
      <c r="H15" s="602" t="s">
        <v>1026</v>
      </c>
      <c r="I15" s="603"/>
      <c r="J15" s="602" t="s">
        <v>1027</v>
      </c>
      <c r="K15" s="603"/>
      <c r="L15" s="372"/>
    </row>
    <row r="16" spans="1:12">
      <c r="A16" s="373" t="s">
        <v>1028</v>
      </c>
      <c r="B16" s="374" t="s">
        <v>1029</v>
      </c>
      <c r="C16" s="375" t="s">
        <v>1030</v>
      </c>
      <c r="D16" s="374" t="s">
        <v>1029</v>
      </c>
      <c r="E16" s="375" t="s">
        <v>1030</v>
      </c>
      <c r="F16" s="374" t="s">
        <v>1029</v>
      </c>
      <c r="G16" s="375" t="s">
        <v>1030</v>
      </c>
      <c r="H16" s="374" t="s">
        <v>1029</v>
      </c>
      <c r="I16" s="375" t="s">
        <v>1030</v>
      </c>
      <c r="J16" s="374" t="s">
        <v>1029</v>
      </c>
      <c r="K16" s="375" t="s">
        <v>1030</v>
      </c>
      <c r="L16" s="372"/>
    </row>
    <row r="17" spans="1:12">
      <c r="A17" s="376" t="s">
        <v>1011</v>
      </c>
      <c r="B17" s="377">
        <v>3</v>
      </c>
      <c r="C17" s="378">
        <v>3</v>
      </c>
      <c r="D17" s="377">
        <v>4</v>
      </c>
      <c r="E17" s="378">
        <v>4</v>
      </c>
      <c r="F17" s="377">
        <v>5</v>
      </c>
      <c r="G17" s="378">
        <v>5</v>
      </c>
      <c r="H17" s="377">
        <v>6</v>
      </c>
      <c r="I17" s="378">
        <v>6</v>
      </c>
      <c r="J17" s="377">
        <v>10</v>
      </c>
      <c r="K17" s="378">
        <v>10</v>
      </c>
      <c r="L17" s="372"/>
    </row>
    <row r="18" spans="1:12">
      <c r="A18" s="376" t="s">
        <v>1031</v>
      </c>
      <c r="B18" s="377">
        <v>15</v>
      </c>
      <c r="C18" s="378">
        <v>15</v>
      </c>
      <c r="D18" s="377">
        <v>15</v>
      </c>
      <c r="E18" s="378">
        <v>15</v>
      </c>
      <c r="F18" s="377">
        <v>15</v>
      </c>
      <c r="G18" s="378">
        <v>15</v>
      </c>
      <c r="H18" s="377">
        <v>15</v>
      </c>
      <c r="I18" s="378">
        <v>15</v>
      </c>
      <c r="J18" s="377">
        <v>15</v>
      </c>
      <c r="K18" s="378">
        <v>15</v>
      </c>
      <c r="L18" s="372"/>
    </row>
    <row r="19" spans="1:12">
      <c r="A19" s="376" t="s">
        <v>954</v>
      </c>
      <c r="B19" s="377">
        <v>1.5</v>
      </c>
      <c r="C19" s="378">
        <v>1.5</v>
      </c>
      <c r="D19" s="377">
        <v>1.5</v>
      </c>
      <c r="E19" s="378">
        <v>1.5</v>
      </c>
      <c r="F19" s="377">
        <v>1.5</v>
      </c>
      <c r="G19" s="378">
        <v>1.5</v>
      </c>
      <c r="H19" s="377">
        <v>1.5</v>
      </c>
      <c r="I19" s="378">
        <v>1.5</v>
      </c>
      <c r="J19" s="377">
        <v>1.5</v>
      </c>
      <c r="K19" s="378">
        <v>1.5</v>
      </c>
      <c r="L19" s="372"/>
    </row>
    <row r="20" spans="1:12">
      <c r="A20" s="376" t="s">
        <v>464</v>
      </c>
      <c r="B20" s="377">
        <v>1</v>
      </c>
      <c r="C20" s="378">
        <v>0.26</v>
      </c>
      <c r="D20" s="377">
        <v>1</v>
      </c>
      <c r="E20" s="378">
        <v>0.26</v>
      </c>
      <c r="F20" s="377">
        <v>1</v>
      </c>
      <c r="G20" s="378">
        <v>0.26</v>
      </c>
      <c r="H20" s="377">
        <v>1</v>
      </c>
      <c r="I20" s="378">
        <v>0.26</v>
      </c>
      <c r="J20" s="377">
        <v>1</v>
      </c>
      <c r="K20" s="378">
        <v>0.26</v>
      </c>
      <c r="L20" s="372"/>
    </row>
    <row r="21" spans="1:12">
      <c r="A21" s="376" t="s">
        <v>1032</v>
      </c>
      <c r="B21" s="379">
        <v>0.26</v>
      </c>
      <c r="C21" s="380">
        <v>0.68</v>
      </c>
      <c r="D21" s="379">
        <v>0.26</v>
      </c>
      <c r="E21" s="380">
        <v>0.68</v>
      </c>
      <c r="F21" s="379">
        <v>0.26</v>
      </c>
      <c r="G21" s="380">
        <v>0.68</v>
      </c>
      <c r="H21" s="379">
        <v>0.26</v>
      </c>
      <c r="I21" s="380">
        <v>0.68</v>
      </c>
      <c r="J21" s="379">
        <v>0.26</v>
      </c>
      <c r="K21" s="380">
        <v>0.68</v>
      </c>
      <c r="L21" s="372"/>
    </row>
    <row r="22" spans="1:12">
      <c r="A22" s="376" t="s">
        <v>1033</v>
      </c>
      <c r="B22" s="381">
        <f>23.3*B17</f>
        <v>69.900000000000006</v>
      </c>
      <c r="C22" s="382">
        <f>16.7*C17</f>
        <v>50.099999999999994</v>
      </c>
      <c r="D22" s="381">
        <f>23.3*D17</f>
        <v>93.2</v>
      </c>
      <c r="E22" s="382">
        <f>16.7*E17</f>
        <v>66.8</v>
      </c>
      <c r="F22" s="381">
        <f>23.3*F17</f>
        <v>116.5</v>
      </c>
      <c r="G22" s="382">
        <f>16.7*G17</f>
        <v>83.5</v>
      </c>
      <c r="H22" s="381">
        <f>23.3*H17</f>
        <v>139.80000000000001</v>
      </c>
      <c r="I22" s="382">
        <f>16.7*I17</f>
        <v>100.19999999999999</v>
      </c>
      <c r="J22" s="381">
        <f>23.3*J17</f>
        <v>233</v>
      </c>
      <c r="K22" s="382">
        <f>16.7*K17</f>
        <v>167</v>
      </c>
      <c r="L22" s="372"/>
    </row>
    <row r="23" spans="1:12">
      <c r="A23" s="376" t="s">
        <v>1034</v>
      </c>
      <c r="B23" s="377">
        <v>40.5</v>
      </c>
      <c r="C23" s="383">
        <v>2</v>
      </c>
      <c r="D23" s="377">
        <v>40.5</v>
      </c>
      <c r="E23" s="378">
        <v>2</v>
      </c>
      <c r="F23" s="377">
        <v>40.5</v>
      </c>
      <c r="G23" s="378">
        <v>2</v>
      </c>
      <c r="H23" s="377">
        <v>40.5</v>
      </c>
      <c r="I23" s="378">
        <v>2</v>
      </c>
      <c r="J23" s="377">
        <v>40.5</v>
      </c>
      <c r="K23" s="378">
        <v>2</v>
      </c>
      <c r="L23" s="372"/>
    </row>
    <row r="24" spans="1:12">
      <c r="A24" s="376" t="s">
        <v>1035</v>
      </c>
      <c r="B24" s="384">
        <f>'[12]HOU Averages'!$F$53</f>
        <v>14.285963687150836</v>
      </c>
      <c r="C24" s="385">
        <f t="shared" ref="C24:K24" si="0">$B$24</f>
        <v>14.285963687150836</v>
      </c>
      <c r="D24" s="384">
        <f t="shared" si="0"/>
        <v>14.285963687150836</v>
      </c>
      <c r="E24" s="386">
        <f t="shared" si="0"/>
        <v>14.285963687150836</v>
      </c>
      <c r="F24" s="384">
        <f t="shared" si="0"/>
        <v>14.285963687150836</v>
      </c>
      <c r="G24" s="386">
        <f t="shared" si="0"/>
        <v>14.285963687150836</v>
      </c>
      <c r="H24" s="384">
        <f t="shared" si="0"/>
        <v>14.285963687150836</v>
      </c>
      <c r="I24" s="386">
        <f t="shared" si="0"/>
        <v>14.285963687150836</v>
      </c>
      <c r="J24" s="384">
        <f t="shared" si="0"/>
        <v>14.285963687150836</v>
      </c>
      <c r="K24" s="386">
        <f t="shared" si="0"/>
        <v>14.285963687150836</v>
      </c>
    </row>
    <row r="25" spans="1:12">
      <c r="A25" s="376" t="s">
        <v>1036</v>
      </c>
      <c r="B25" s="387">
        <f>'[12]HOU Averages'!$G$53</f>
        <v>334.78235579679676</v>
      </c>
      <c r="C25" s="388">
        <f t="shared" ref="C25:K25" si="1">$B$25</f>
        <v>334.78235579679676</v>
      </c>
      <c r="D25" s="387">
        <f t="shared" si="1"/>
        <v>334.78235579679676</v>
      </c>
      <c r="E25" s="389">
        <f t="shared" si="1"/>
        <v>334.78235579679676</v>
      </c>
      <c r="F25" s="387">
        <f t="shared" si="1"/>
        <v>334.78235579679676</v>
      </c>
      <c r="G25" s="389">
        <f t="shared" si="1"/>
        <v>334.78235579679676</v>
      </c>
      <c r="H25" s="387">
        <f t="shared" si="1"/>
        <v>334.78235579679676</v>
      </c>
      <c r="I25" s="389">
        <f t="shared" si="1"/>
        <v>334.78235579679676</v>
      </c>
      <c r="J25" s="387">
        <f t="shared" si="1"/>
        <v>334.78235579679676</v>
      </c>
      <c r="K25" s="389">
        <f t="shared" si="1"/>
        <v>334.78235579679676</v>
      </c>
    </row>
    <row r="26" spans="1:12">
      <c r="A26" s="376" t="s">
        <v>1037</v>
      </c>
      <c r="B26" s="377">
        <v>1</v>
      </c>
      <c r="C26" s="383">
        <v>1</v>
      </c>
      <c r="D26" s="377">
        <v>1</v>
      </c>
      <c r="E26" s="378">
        <v>1</v>
      </c>
      <c r="F26" s="377">
        <v>1</v>
      </c>
      <c r="G26" s="378">
        <v>1</v>
      </c>
      <c r="H26" s="377">
        <v>1</v>
      </c>
      <c r="I26" s="378">
        <v>1</v>
      </c>
      <c r="J26" s="377">
        <v>1</v>
      </c>
      <c r="K26" s="378">
        <v>1</v>
      </c>
    </row>
    <row r="27" spans="1:12">
      <c r="A27" s="376" t="s">
        <v>1038</v>
      </c>
      <c r="B27" s="390">
        <f t="shared" ref="B27:K27" si="2">B24*B22*0.1</f>
        <v>99.858886173184359</v>
      </c>
      <c r="C27" s="391">
        <f t="shared" si="2"/>
        <v>71.572678072625692</v>
      </c>
      <c r="D27" s="390">
        <f t="shared" si="2"/>
        <v>133.1451815642458</v>
      </c>
      <c r="E27" s="391">
        <f t="shared" si="2"/>
        <v>95.430237430167594</v>
      </c>
      <c r="F27" s="390">
        <f t="shared" si="2"/>
        <v>166.43147695530726</v>
      </c>
      <c r="G27" s="391">
        <f t="shared" si="2"/>
        <v>119.28779678770948</v>
      </c>
      <c r="H27" s="390">
        <f t="shared" si="2"/>
        <v>199.71777234636872</v>
      </c>
      <c r="I27" s="391">
        <f t="shared" si="2"/>
        <v>143.14535614525138</v>
      </c>
      <c r="J27" s="390">
        <f t="shared" si="2"/>
        <v>332.86295391061452</v>
      </c>
      <c r="K27" s="391">
        <f t="shared" si="2"/>
        <v>238.57559357541896</v>
      </c>
    </row>
    <row r="28" spans="1:12">
      <c r="A28" s="376" t="s">
        <v>1039</v>
      </c>
      <c r="B28" s="377">
        <v>3.0800000000000001E-2</v>
      </c>
      <c r="C28" s="383">
        <v>3.0800000000000001E-2</v>
      </c>
      <c r="D28" s="377">
        <v>3.0800000000000001E-2</v>
      </c>
      <c r="E28" s="378">
        <v>3.0800000000000001E-2</v>
      </c>
      <c r="F28" s="377">
        <v>3.0800000000000001E-2</v>
      </c>
      <c r="G28" s="378">
        <v>3.0800000000000001E-2</v>
      </c>
      <c r="H28" s="377">
        <v>3.0800000000000001E-2</v>
      </c>
      <c r="I28" s="378">
        <v>3.0800000000000001E-2</v>
      </c>
      <c r="J28" s="377">
        <v>3.0800000000000001E-2</v>
      </c>
      <c r="K28" s="378">
        <v>3.0800000000000001E-2</v>
      </c>
    </row>
    <row r="29" spans="1:12">
      <c r="A29" s="376" t="s">
        <v>1040</v>
      </c>
      <c r="B29" s="392">
        <v>0.9</v>
      </c>
      <c r="C29" s="393">
        <v>0</v>
      </c>
      <c r="D29" s="392">
        <v>0.9</v>
      </c>
      <c r="E29" s="394">
        <v>0</v>
      </c>
      <c r="F29" s="392">
        <v>0.9</v>
      </c>
      <c r="G29" s="394">
        <v>0</v>
      </c>
      <c r="H29" s="392">
        <v>0.9</v>
      </c>
      <c r="I29" s="394">
        <v>0</v>
      </c>
      <c r="J29" s="392">
        <v>0.9</v>
      </c>
      <c r="K29" s="394">
        <v>0</v>
      </c>
    </row>
    <row r="30" spans="1:12">
      <c r="A30" s="376" t="s">
        <v>1041</v>
      </c>
      <c r="B30" s="395">
        <f t="shared" ref="B30:K30" si="3">(B27*B28)/B21+((1-B29)*B20*(B24-B18/60-B27/B22))+(B29*((B22*B28)/B21)*(B24-B18/60-B27/B22))+B19</f>
        <v>108.54551218038246</v>
      </c>
      <c r="C30" s="396">
        <f t="shared" si="3"/>
        <v>8.0197368037298702</v>
      </c>
      <c r="D30" s="395">
        <f t="shared" si="3"/>
        <v>143.80710399656209</v>
      </c>
      <c r="E30" s="397">
        <f t="shared" si="3"/>
        <v>9.1003439040420631</v>
      </c>
      <c r="F30" s="395">
        <f t="shared" si="3"/>
        <v>179.06869581274171</v>
      </c>
      <c r="G30" s="397">
        <f t="shared" si="3"/>
        <v>10.180951004354254</v>
      </c>
      <c r="H30" s="395">
        <f t="shared" si="3"/>
        <v>214.33028762892135</v>
      </c>
      <c r="I30" s="397">
        <f t="shared" si="3"/>
        <v>11.261558104666445</v>
      </c>
      <c r="J30" s="395">
        <f t="shared" si="3"/>
        <v>355.37665489363985</v>
      </c>
      <c r="K30" s="397">
        <f t="shared" si="3"/>
        <v>15.583986505915213</v>
      </c>
    </row>
    <row r="31" spans="1:12">
      <c r="A31" s="376" t="s">
        <v>1042</v>
      </c>
      <c r="B31" s="395">
        <f t="shared" ref="B31:K31" si="4">B33/B25</f>
        <v>578.58152932960888</v>
      </c>
      <c r="C31" s="398">
        <f t="shared" si="4"/>
        <v>28.571927374301673</v>
      </c>
      <c r="D31" s="395">
        <f t="shared" si="4"/>
        <v>578.58152932960888</v>
      </c>
      <c r="E31" s="398">
        <f t="shared" si="4"/>
        <v>28.571927374301673</v>
      </c>
      <c r="F31" s="395">
        <f t="shared" si="4"/>
        <v>578.58152932960888</v>
      </c>
      <c r="G31" s="398">
        <f t="shared" si="4"/>
        <v>28.571927374301673</v>
      </c>
      <c r="H31" s="395">
        <f t="shared" si="4"/>
        <v>578.58152932960888</v>
      </c>
      <c r="I31" s="398">
        <f t="shared" si="4"/>
        <v>28.571927374301673</v>
      </c>
      <c r="J31" s="395">
        <f t="shared" si="4"/>
        <v>578.58152932960888</v>
      </c>
      <c r="K31" s="396">
        <f t="shared" si="4"/>
        <v>28.571927374301673</v>
      </c>
    </row>
    <row r="32" spans="1:12">
      <c r="A32" s="376" t="s">
        <v>1043</v>
      </c>
      <c r="B32" s="399">
        <f t="shared" ref="B32:K32" si="5">B30*B25</f>
        <v>36339.122278918338</v>
      </c>
      <c r="C32" s="400">
        <f t="shared" si="5"/>
        <v>2684.8663800229592</v>
      </c>
      <c r="D32" s="399">
        <f t="shared" si="5"/>
        <v>48144.081056284005</v>
      </c>
      <c r="E32" s="400">
        <f t="shared" si="5"/>
        <v>3046.6345707562205</v>
      </c>
      <c r="F32" s="399">
        <f t="shared" si="5"/>
        <v>59949.039833649666</v>
      </c>
      <c r="G32" s="400">
        <f t="shared" si="5"/>
        <v>3408.4027614894812</v>
      </c>
      <c r="H32" s="399">
        <f t="shared" si="5"/>
        <v>71753.99861101534</v>
      </c>
      <c r="I32" s="400">
        <f t="shared" si="5"/>
        <v>3770.170952222742</v>
      </c>
      <c r="J32" s="399">
        <f t="shared" si="5"/>
        <v>118973.833720478</v>
      </c>
      <c r="K32" s="401">
        <f t="shared" si="5"/>
        <v>5217.243715155787</v>
      </c>
    </row>
    <row r="33" spans="1:11">
      <c r="A33" s="376" t="s">
        <v>1044</v>
      </c>
      <c r="B33" s="399">
        <f t="shared" ref="B33:K33" si="6">B25*B24*B23</f>
        <v>193698.88740947994</v>
      </c>
      <c r="C33" s="400">
        <f t="shared" si="6"/>
        <v>9565.3771560237001</v>
      </c>
      <c r="D33" s="399">
        <f t="shared" si="6"/>
        <v>193698.88740947994</v>
      </c>
      <c r="E33" s="400">
        <f t="shared" si="6"/>
        <v>9565.3771560237001</v>
      </c>
      <c r="F33" s="399">
        <f t="shared" si="6"/>
        <v>193698.88740947994</v>
      </c>
      <c r="G33" s="400">
        <f t="shared" si="6"/>
        <v>9565.3771560237001</v>
      </c>
      <c r="H33" s="399">
        <f t="shared" si="6"/>
        <v>193698.88740947994</v>
      </c>
      <c r="I33" s="400">
        <f t="shared" si="6"/>
        <v>9565.3771560237001</v>
      </c>
      <c r="J33" s="399">
        <f t="shared" si="6"/>
        <v>193698.88740947994</v>
      </c>
      <c r="K33" s="401">
        <f t="shared" si="6"/>
        <v>9565.3771560237001</v>
      </c>
    </row>
    <row r="34" spans="1:11">
      <c r="A34" s="402" t="s">
        <v>1045</v>
      </c>
      <c r="B34" s="607">
        <f>(B32-C32)*(1-$D$12)</f>
        <v>20865.638657315132</v>
      </c>
      <c r="C34" s="608"/>
      <c r="D34" s="607">
        <f>(D32-E32)*(1-$D$12)</f>
        <v>27960.416821027226</v>
      </c>
      <c r="E34" s="608"/>
      <c r="F34" s="607">
        <f>(F32-G32)*(1-$D$12)</f>
        <v>35055.194984739312</v>
      </c>
      <c r="G34" s="608"/>
      <c r="H34" s="607">
        <f>(H32-I32)*(1-$D$12)</f>
        <v>42149.973148451405</v>
      </c>
      <c r="I34" s="608"/>
      <c r="J34" s="607">
        <f>(J32-K32)*(1-$D$12)</f>
        <v>70529.085803299778</v>
      </c>
      <c r="K34" s="608"/>
    </row>
    <row r="35" spans="1:11">
      <c r="A35" s="402" t="s">
        <v>1046</v>
      </c>
      <c r="B35" s="607">
        <f>(B33-C33)*(1-$D$12)</f>
        <v>114162.77635714287</v>
      </c>
      <c r="C35" s="608"/>
      <c r="D35" s="607">
        <f>(D33-E33)*(1-$D$12)</f>
        <v>114162.77635714287</v>
      </c>
      <c r="E35" s="608"/>
      <c r="F35" s="607">
        <f>(F33-G33)*(1-$D$12)</f>
        <v>114162.77635714287</v>
      </c>
      <c r="G35" s="608"/>
      <c r="H35" s="607">
        <f>(H33-I33)*(1-$D$12)</f>
        <v>114162.77635714287</v>
      </c>
      <c r="I35" s="608"/>
      <c r="J35" s="607">
        <f>(J33-K33)*(1-$D$12)</f>
        <v>114162.77635714287</v>
      </c>
      <c r="K35" s="608"/>
    </row>
    <row r="36" spans="1:11">
      <c r="A36" s="402" t="s">
        <v>1047</v>
      </c>
      <c r="B36" s="607">
        <f>B35/1000*$D$65</f>
        <v>603.92108692928571</v>
      </c>
      <c r="C36" s="608"/>
      <c r="D36" s="607">
        <f>D35/1000*$D$65</f>
        <v>603.92108692928571</v>
      </c>
      <c r="E36" s="608"/>
      <c r="F36" s="607">
        <f>F35/1000*$D$65</f>
        <v>603.92108692928571</v>
      </c>
      <c r="G36" s="608"/>
      <c r="H36" s="607">
        <f>H35/1000*$D$65</f>
        <v>603.92108692928571</v>
      </c>
      <c r="I36" s="608"/>
      <c r="J36" s="607">
        <f>J35/1000*$D$65</f>
        <v>603.92108692928571</v>
      </c>
      <c r="K36" s="608"/>
    </row>
    <row r="37" spans="1:11" ht="13.5" thickBot="1">
      <c r="A37" s="403" t="s">
        <v>1048</v>
      </c>
      <c r="B37" s="609">
        <f>B35/1000*$D$62</f>
        <v>1444.3865330748315</v>
      </c>
      <c r="C37" s="610"/>
      <c r="D37" s="611">
        <f>D35/1000*$D$62</f>
        <v>1444.3865330748315</v>
      </c>
      <c r="E37" s="612"/>
      <c r="F37" s="611">
        <f>F35/1000*$D$62</f>
        <v>1444.3865330748315</v>
      </c>
      <c r="G37" s="612"/>
      <c r="H37" s="611">
        <f>H35/1000*$D$62</f>
        <v>1444.3865330748315</v>
      </c>
      <c r="I37" s="612"/>
      <c r="J37" s="611">
        <f>J35/1000*$D$62</f>
        <v>1444.3865330748315</v>
      </c>
      <c r="K37" s="612"/>
    </row>
    <row r="38" spans="1:11">
      <c r="A38" s="404" t="s">
        <v>1049</v>
      </c>
      <c r="B38" s="405"/>
      <c r="C38" s="405"/>
      <c r="D38" s="405"/>
      <c r="E38" s="405"/>
      <c r="F38" s="406"/>
      <c r="G38" s="406"/>
      <c r="H38" s="406"/>
      <c r="I38" s="406"/>
    </row>
    <row r="39" spans="1:11">
      <c r="A39" s="407" t="s">
        <v>1050</v>
      </c>
      <c r="B39" s="408"/>
      <c r="C39" s="408"/>
      <c r="D39" s="408"/>
      <c r="E39" s="408"/>
      <c r="F39" s="406"/>
      <c r="G39" s="406"/>
      <c r="H39" s="406"/>
      <c r="I39" s="406"/>
    </row>
    <row r="40" spans="1:11">
      <c r="A40" s="371"/>
      <c r="B40" s="371"/>
      <c r="C40" s="371"/>
    </row>
    <row r="41" spans="1:11">
      <c r="A41" s="136" t="s">
        <v>1051</v>
      </c>
      <c r="C41" s="371"/>
    </row>
    <row r="42" spans="1:11">
      <c r="A42" s="409" t="s">
        <v>1052</v>
      </c>
      <c r="C42" s="371"/>
    </row>
    <row r="43" spans="1:11">
      <c r="A43" s="136" t="s">
        <v>1053</v>
      </c>
      <c r="C43" s="371"/>
    </row>
    <row r="44" spans="1:11">
      <c r="C44" s="371"/>
    </row>
    <row r="45" spans="1:11">
      <c r="A45" s="410" t="s">
        <v>1054</v>
      </c>
      <c r="B45" s="411" t="s">
        <v>1041</v>
      </c>
      <c r="C45" s="371"/>
    </row>
    <row r="46" spans="1:11">
      <c r="A46" s="410" t="s">
        <v>1055</v>
      </c>
      <c r="B46" s="411" t="s">
        <v>1038</v>
      </c>
      <c r="C46" s="371"/>
    </row>
    <row r="47" spans="1:11">
      <c r="A47" s="410" t="s">
        <v>1056</v>
      </c>
      <c r="B47" s="411" t="s">
        <v>1057</v>
      </c>
      <c r="C47" s="371"/>
    </row>
    <row r="48" spans="1:11">
      <c r="A48" s="410" t="s">
        <v>1058</v>
      </c>
      <c r="B48" s="411" t="s">
        <v>1059</v>
      </c>
      <c r="C48" s="371"/>
    </row>
    <row r="49" spans="1:8">
      <c r="A49" s="410" t="s">
        <v>1060</v>
      </c>
      <c r="B49" s="411" t="s">
        <v>464</v>
      </c>
      <c r="C49" s="371"/>
    </row>
    <row r="50" spans="1:8">
      <c r="A50" s="410" t="s">
        <v>1061</v>
      </c>
      <c r="B50" s="411" t="s">
        <v>1035</v>
      </c>
      <c r="C50" s="371"/>
    </row>
    <row r="51" spans="1:8">
      <c r="A51" s="410" t="s">
        <v>1062</v>
      </c>
      <c r="B51" s="411" t="s">
        <v>1063</v>
      </c>
      <c r="C51" s="371"/>
    </row>
    <row r="52" spans="1:8">
      <c r="A52" s="410" t="s">
        <v>1064</v>
      </c>
      <c r="B52" s="411" t="s">
        <v>1031</v>
      </c>
      <c r="C52" s="371"/>
    </row>
    <row r="53" spans="1:8">
      <c r="A53" s="410" t="s">
        <v>1065</v>
      </c>
      <c r="B53" s="411" t="s">
        <v>1040</v>
      </c>
      <c r="C53" s="371"/>
    </row>
    <row r="54" spans="1:8">
      <c r="A54" s="410" t="s">
        <v>1066</v>
      </c>
      <c r="B54" s="411" t="s">
        <v>954</v>
      </c>
      <c r="C54" s="371"/>
    </row>
    <row r="56" spans="1:8">
      <c r="A56" s="412" t="s">
        <v>1067</v>
      </c>
      <c r="B56" s="372"/>
      <c r="C56" s="372"/>
      <c r="D56" s="372"/>
      <c r="E56" s="372"/>
      <c r="F56" s="372"/>
      <c r="G56" s="372"/>
      <c r="H56" s="372"/>
    </row>
    <row r="57" spans="1:8" s="371" customFormat="1" ht="15">
      <c r="A57" s="413" t="s">
        <v>1068</v>
      </c>
      <c r="B57" s="414"/>
      <c r="C57" s="414"/>
      <c r="D57" s="414"/>
      <c r="E57" s="414"/>
      <c r="F57" s="414"/>
      <c r="G57" s="414"/>
      <c r="H57" s="414"/>
    </row>
    <row r="58" spans="1:8" s="371" customFormat="1">
      <c r="A58" s="266"/>
      <c r="B58" s="266"/>
      <c r="C58" s="266"/>
      <c r="D58" s="266"/>
      <c r="E58" s="266"/>
      <c r="F58" s="266"/>
      <c r="G58" s="266"/>
      <c r="H58" s="266"/>
    </row>
    <row r="59" spans="1:8" s="371" customFormat="1">
      <c r="A59" s="415"/>
      <c r="B59" s="416"/>
      <c r="C59" s="266"/>
      <c r="D59" s="266"/>
      <c r="E59" s="266"/>
      <c r="F59" s="266"/>
      <c r="G59" s="266"/>
      <c r="H59" s="266"/>
    </row>
    <row r="60" spans="1:8" s="371" customFormat="1" ht="30">
      <c r="A60" s="417"/>
      <c r="B60" s="417" t="s">
        <v>948</v>
      </c>
      <c r="C60" s="417" t="s">
        <v>1069</v>
      </c>
      <c r="D60" s="417" t="s">
        <v>1070</v>
      </c>
      <c r="E60" s="417" t="s">
        <v>1071</v>
      </c>
      <c r="F60" s="417" t="s">
        <v>1072</v>
      </c>
      <c r="G60" s="417" t="s">
        <v>1073</v>
      </c>
      <c r="H60" s="417" t="s">
        <v>413</v>
      </c>
    </row>
    <row r="61" spans="1:8" s="371" customFormat="1">
      <c r="A61" s="418" t="s">
        <v>1074</v>
      </c>
      <c r="B61" s="419" t="s">
        <v>1075</v>
      </c>
      <c r="C61" s="420">
        <v>0.115</v>
      </c>
      <c r="D61" s="420">
        <v>0.115</v>
      </c>
      <c r="E61" s="420">
        <v>0.115</v>
      </c>
      <c r="F61" s="420">
        <v>0.115</v>
      </c>
      <c r="G61" s="420">
        <v>0.115</v>
      </c>
      <c r="H61" s="420" t="s">
        <v>1138</v>
      </c>
    </row>
    <row r="62" spans="1:8" s="371" customFormat="1" ht="25.5">
      <c r="A62" s="421" t="s">
        <v>1076</v>
      </c>
      <c r="B62" s="422" t="s">
        <v>1077</v>
      </c>
      <c r="C62" s="420">
        <v>13.236137905012464</v>
      </c>
      <c r="D62" s="423">
        <v>12.651991999180739</v>
      </c>
      <c r="E62" s="420">
        <v>12.084692328836027</v>
      </c>
      <c r="F62" s="420">
        <v>11.566540329706845</v>
      </c>
      <c r="G62" s="420">
        <v>11.614397416077747</v>
      </c>
      <c r="H62" s="420" t="s">
        <v>1139</v>
      </c>
    </row>
    <row r="63" spans="1:8" s="371" customFormat="1">
      <c r="A63" s="362" t="s">
        <v>1078</v>
      </c>
      <c r="B63" s="266"/>
      <c r="C63" s="266"/>
      <c r="D63" s="266"/>
      <c r="E63" s="266"/>
      <c r="F63" s="266"/>
      <c r="G63" s="266"/>
      <c r="H63" s="266"/>
    </row>
    <row r="64" spans="1:8" s="371" customFormat="1">
      <c r="A64" s="266"/>
      <c r="B64" s="266"/>
      <c r="C64" s="266"/>
      <c r="D64" s="266"/>
      <c r="E64" s="266"/>
      <c r="F64" s="266"/>
      <c r="G64" s="266"/>
      <c r="H64" s="266"/>
    </row>
    <row r="65" spans="1:8" s="371" customFormat="1">
      <c r="A65" s="613" t="s">
        <v>1079</v>
      </c>
      <c r="B65" s="613"/>
      <c r="C65" s="613"/>
      <c r="D65" s="424">
        <v>5.29</v>
      </c>
      <c r="E65" s="266"/>
      <c r="F65" s="266"/>
      <c r="G65" s="266"/>
      <c r="H65" s="266"/>
    </row>
    <row r="66" spans="1:8" s="371" customFormat="1">
      <c r="A66" s="266"/>
      <c r="B66" s="311"/>
      <c r="C66" s="311"/>
      <c r="D66" s="311"/>
      <c r="E66" s="266"/>
      <c r="F66" s="266"/>
      <c r="G66" s="266"/>
      <c r="H66" s="266"/>
    </row>
    <row r="67" spans="1:8" s="371" customFormat="1">
      <c r="A67" s="489" t="s">
        <v>1142</v>
      </c>
      <c r="B67" s="266"/>
      <c r="C67" s="266"/>
      <c r="D67" s="266"/>
      <c r="E67" s="266"/>
      <c r="F67" s="266"/>
      <c r="G67" s="266"/>
      <c r="H67" s="266"/>
    </row>
    <row r="68" spans="1:8">
      <c r="A68" s="125" t="s">
        <v>1140</v>
      </c>
      <c r="C68" s="487"/>
      <c r="D68" s="487"/>
      <c r="E68" s="487"/>
      <c r="F68" s="487"/>
      <c r="G68" s="487"/>
    </row>
    <row r="69" spans="1:8">
      <c r="A69" s="125" t="s">
        <v>1141</v>
      </c>
      <c r="C69" s="487"/>
      <c r="D69" s="487"/>
      <c r="E69" s="487"/>
      <c r="F69" s="487"/>
      <c r="G69" s="487"/>
    </row>
    <row r="70" spans="1:8">
      <c r="A70" s="125" t="s">
        <v>1143</v>
      </c>
    </row>
    <row r="72" spans="1:8" ht="15">
      <c r="D72" s="488"/>
    </row>
  </sheetData>
  <mergeCells count="27">
    <mergeCell ref="A65:C65"/>
    <mergeCell ref="B36:C36"/>
    <mergeCell ref="D36:E36"/>
    <mergeCell ref="F36:G36"/>
    <mergeCell ref="H36:I36"/>
    <mergeCell ref="J36:K36"/>
    <mergeCell ref="B37:C37"/>
    <mergeCell ref="D37:E37"/>
    <mergeCell ref="F37:G37"/>
    <mergeCell ref="H37:I37"/>
    <mergeCell ref="J37:K37"/>
    <mergeCell ref="B34:C34"/>
    <mergeCell ref="D34:E34"/>
    <mergeCell ref="F34:G34"/>
    <mergeCell ref="H34:I34"/>
    <mergeCell ref="J34:K34"/>
    <mergeCell ref="B35:C35"/>
    <mergeCell ref="D35:E35"/>
    <mergeCell ref="F35:G35"/>
    <mergeCell ref="H35:I35"/>
    <mergeCell ref="J35:K35"/>
    <mergeCell ref="J15:K15"/>
    <mergeCell ref="A10:D10"/>
    <mergeCell ref="B15:C15"/>
    <mergeCell ref="D15:E15"/>
    <mergeCell ref="F15:G15"/>
    <mergeCell ref="H15:I15"/>
  </mergeCells>
  <pageMargins left="0.7" right="0.7" top="0.75" bottom="0.75" header="0.3" footer="0.3"/>
</worksheet>
</file>

<file path=xl/worksheets/sheet23.xml><?xml version="1.0" encoding="utf-8"?>
<worksheet xmlns="http://schemas.openxmlformats.org/spreadsheetml/2006/main" xmlns:r="http://schemas.openxmlformats.org/officeDocument/2006/relationships">
  <sheetPr codeName="Sheet20"/>
  <dimension ref="A2:G37"/>
  <sheetViews>
    <sheetView topLeftCell="A13" workbookViewId="0">
      <selection activeCell="B22" sqref="B22:C23"/>
    </sheetView>
  </sheetViews>
  <sheetFormatPr defaultRowHeight="12.75"/>
  <cols>
    <col min="1" max="1" width="49.7109375" customWidth="1"/>
    <col min="2" max="2" width="33.7109375" customWidth="1"/>
    <col min="3" max="3" width="41.7109375" customWidth="1"/>
  </cols>
  <sheetData>
    <row r="2" spans="1:7">
      <c r="A2" s="439" t="s">
        <v>1105</v>
      </c>
    </row>
    <row r="4" spans="1:7" ht="15">
      <c r="A4" s="425" t="s">
        <v>1082</v>
      </c>
    </row>
    <row r="5" spans="1:7" ht="15">
      <c r="A5" s="426" t="s">
        <v>1083</v>
      </c>
    </row>
    <row r="6" spans="1:7" ht="15.75" thickBot="1">
      <c r="A6" s="427" t="s">
        <v>1084</v>
      </c>
    </row>
    <row r="7" spans="1:7" ht="16.5" thickBot="1">
      <c r="A7" s="428" t="s">
        <v>1028</v>
      </c>
      <c r="B7" s="429" t="s">
        <v>1029</v>
      </c>
      <c r="C7" s="429" t="s">
        <v>1030</v>
      </c>
      <c r="E7" t="s">
        <v>1104</v>
      </c>
    </row>
    <row r="8" spans="1:7" ht="13.5" thickBot="1">
      <c r="A8" s="430" t="s">
        <v>1011</v>
      </c>
      <c r="B8" s="431">
        <v>6</v>
      </c>
      <c r="C8" s="431">
        <v>6</v>
      </c>
      <c r="E8" s="437" t="s">
        <v>1101</v>
      </c>
      <c r="G8" s="438">
        <v>41143</v>
      </c>
    </row>
    <row r="9" spans="1:7" ht="13.5" thickBot="1">
      <c r="A9" s="430" t="s">
        <v>1031</v>
      </c>
      <c r="B9" s="431">
        <v>15</v>
      </c>
      <c r="C9" s="431">
        <v>15</v>
      </c>
      <c r="E9" s="437" t="s">
        <v>1102</v>
      </c>
    </row>
    <row r="10" spans="1:7" ht="13.5" thickBot="1">
      <c r="A10" s="430" t="s">
        <v>954</v>
      </c>
      <c r="B10" s="431">
        <v>1.5</v>
      </c>
      <c r="C10" s="431">
        <v>1.5</v>
      </c>
      <c r="E10" s="437" t="s">
        <v>1103</v>
      </c>
    </row>
    <row r="11" spans="1:7" ht="13.5" thickBot="1">
      <c r="A11" s="430" t="s">
        <v>464</v>
      </c>
      <c r="B11" s="431">
        <v>1</v>
      </c>
      <c r="C11" s="431">
        <v>0.26</v>
      </c>
    </row>
    <row r="12" spans="1:7" ht="13.5" thickBot="1">
      <c r="A12" s="430" t="s">
        <v>1032</v>
      </c>
      <c r="B12" s="432">
        <v>0.26</v>
      </c>
      <c r="C12" s="432">
        <v>0.68</v>
      </c>
    </row>
    <row r="13" spans="1:7" ht="13.5" thickBot="1">
      <c r="A13" s="430" t="s">
        <v>1033</v>
      </c>
      <c r="B13" s="431">
        <v>70</v>
      </c>
      <c r="C13" s="431">
        <v>88</v>
      </c>
    </row>
    <row r="14" spans="1:7" ht="13.5" thickBot="1">
      <c r="A14" s="430" t="s">
        <v>1034</v>
      </c>
      <c r="B14" s="431">
        <v>40</v>
      </c>
      <c r="C14" s="431">
        <v>2</v>
      </c>
    </row>
    <row r="15" spans="1:7" ht="13.5" thickBot="1">
      <c r="A15" s="430" t="s">
        <v>1035</v>
      </c>
      <c r="B15" s="431">
        <v>12</v>
      </c>
      <c r="C15" s="431">
        <v>12</v>
      </c>
    </row>
    <row r="16" spans="1:7" ht="13.5" thickBot="1">
      <c r="A16" s="430" t="s">
        <v>1036</v>
      </c>
      <c r="B16" s="431">
        <v>365</v>
      </c>
      <c r="C16" s="431">
        <v>365</v>
      </c>
    </row>
    <row r="17" spans="1:3" ht="13.5" thickBot="1">
      <c r="A17" s="430" t="s">
        <v>1037</v>
      </c>
      <c r="B17" s="431">
        <v>1</v>
      </c>
      <c r="C17" s="431">
        <v>1</v>
      </c>
    </row>
    <row r="18" spans="1:3" ht="13.5" thickBot="1">
      <c r="A18" s="430" t="s">
        <v>1038</v>
      </c>
      <c r="B18" s="431">
        <v>100</v>
      </c>
      <c r="C18" s="431">
        <v>100</v>
      </c>
    </row>
    <row r="19" spans="1:3" ht="13.5" thickBot="1">
      <c r="A19" s="430" t="s">
        <v>1085</v>
      </c>
      <c r="B19" s="433">
        <v>0.13</v>
      </c>
      <c r="C19" s="433">
        <v>0.13</v>
      </c>
    </row>
    <row r="20" spans="1:3" ht="13.5" thickBot="1">
      <c r="A20" s="430" t="s">
        <v>1086</v>
      </c>
      <c r="B20" s="433">
        <v>5</v>
      </c>
      <c r="C20" s="433">
        <v>5</v>
      </c>
    </row>
    <row r="21" spans="1:3" ht="13.5" thickBot="1">
      <c r="A21" s="430" t="s">
        <v>1039</v>
      </c>
      <c r="B21" s="431">
        <v>3.0800000000000001E-2</v>
      </c>
      <c r="C21" s="431">
        <v>3.0800000000000001E-2</v>
      </c>
    </row>
    <row r="22" spans="1:3">
      <c r="A22" s="614" t="s">
        <v>1040</v>
      </c>
      <c r="B22" s="616">
        <v>0.9</v>
      </c>
      <c r="C22" s="616" t="s">
        <v>1087</v>
      </c>
    </row>
    <row r="23" spans="1:3" ht="13.5" thickBot="1">
      <c r="A23" s="615"/>
      <c r="B23" s="617"/>
      <c r="C23" s="617"/>
    </row>
    <row r="24" spans="1:3" ht="13.5" thickBot="1">
      <c r="A24" s="430" t="s">
        <v>1041</v>
      </c>
      <c r="B24" s="431">
        <v>91.4</v>
      </c>
      <c r="C24" s="431">
        <v>8.8000000000000007</v>
      </c>
    </row>
    <row r="25" spans="1:3" ht="13.5" thickBot="1">
      <c r="A25" s="430" t="s">
        <v>1088</v>
      </c>
      <c r="B25" s="431">
        <v>7.6</v>
      </c>
      <c r="C25" s="431">
        <v>0.7</v>
      </c>
    </row>
    <row r="26" spans="1:3" ht="13.5" thickBot="1">
      <c r="A26" s="430" t="s">
        <v>1089</v>
      </c>
      <c r="B26" s="431" t="s">
        <v>1087</v>
      </c>
      <c r="C26" s="431">
        <v>6.9</v>
      </c>
    </row>
    <row r="27" spans="1:3" ht="13.5" thickBot="1">
      <c r="A27" s="430" t="s">
        <v>1043</v>
      </c>
      <c r="B27" s="434">
        <v>33364</v>
      </c>
      <c r="C27" s="434">
        <v>3208</v>
      </c>
    </row>
    <row r="28" spans="1:3" ht="13.5" thickBot="1">
      <c r="A28" s="430" t="s">
        <v>1090</v>
      </c>
      <c r="B28" s="431" t="s">
        <v>1087</v>
      </c>
      <c r="C28" s="440">
        <v>30156</v>
      </c>
    </row>
    <row r="29" spans="1:3" ht="13.5" thickBot="1">
      <c r="A29" s="430" t="s">
        <v>1044</v>
      </c>
      <c r="B29" s="434">
        <v>175200</v>
      </c>
      <c r="C29" s="434">
        <v>8760</v>
      </c>
    </row>
    <row r="30" spans="1:3" ht="13.5" thickBot="1">
      <c r="A30" s="430" t="s">
        <v>1091</v>
      </c>
      <c r="B30" s="431" t="s">
        <v>1087</v>
      </c>
      <c r="C30" s="434">
        <v>166440</v>
      </c>
    </row>
    <row r="31" spans="1:3" ht="13.5" thickBot="1">
      <c r="A31" s="430" t="s">
        <v>1092</v>
      </c>
      <c r="B31" s="435">
        <v>4337</v>
      </c>
      <c r="C31" s="435">
        <v>417</v>
      </c>
    </row>
    <row r="32" spans="1:3" ht="13.5" thickBot="1">
      <c r="A32" s="430" t="s">
        <v>1093</v>
      </c>
      <c r="B32" s="431" t="s">
        <v>1087</v>
      </c>
      <c r="C32" s="435">
        <v>3920</v>
      </c>
    </row>
    <row r="33" spans="1:3" ht="15" thickBot="1">
      <c r="A33" s="430" t="s">
        <v>1094</v>
      </c>
      <c r="B33" s="435">
        <v>1171</v>
      </c>
      <c r="C33" s="435">
        <v>59</v>
      </c>
    </row>
    <row r="34" spans="1:3" ht="15" thickBot="1">
      <c r="A34" s="430" t="s">
        <v>1095</v>
      </c>
      <c r="B34" s="431" t="s">
        <v>1087</v>
      </c>
      <c r="C34" s="435">
        <v>1113</v>
      </c>
    </row>
    <row r="35" spans="1:3" ht="15" thickBot="1">
      <c r="A35" s="430" t="s">
        <v>1096</v>
      </c>
      <c r="B35" s="431" t="s">
        <v>1087</v>
      </c>
      <c r="C35" s="431" t="s">
        <v>1097</v>
      </c>
    </row>
    <row r="36" spans="1:3" ht="15" thickBot="1">
      <c r="A36" s="430" t="s">
        <v>1098</v>
      </c>
      <c r="B36" s="431" t="s">
        <v>1099</v>
      </c>
      <c r="C36" s="431" t="s">
        <v>1099</v>
      </c>
    </row>
    <row r="37" spans="1:3" ht="13.5">
      <c r="A37" s="436" t="s">
        <v>1100</v>
      </c>
    </row>
  </sheetData>
  <mergeCells count="3">
    <mergeCell ref="A22:A23"/>
    <mergeCell ref="B22:B23"/>
    <mergeCell ref="C22:C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6</vt:i4>
      </vt:variant>
    </vt:vector>
  </HeadingPairs>
  <TitlesOfParts>
    <vt:vector size="29" baseType="lpstr">
      <vt:lpstr>7PSourceSummary</vt:lpstr>
      <vt:lpstr>forRPM</vt:lpstr>
      <vt:lpstr>SC-NR</vt:lpstr>
      <vt:lpstr>Measure InputOutput_Out</vt:lpstr>
      <vt:lpstr>Measure InputOutput</vt:lpstr>
      <vt:lpstr>Savings and Cost</vt:lpstr>
      <vt:lpstr>MMap</vt:lpstr>
      <vt:lpstr>RTF Input Data</vt:lpstr>
      <vt:lpstr>Measure Weightings</vt:lpstr>
      <vt:lpstr>RTF Summary COMBI</vt:lpstr>
      <vt:lpstr>RTF Summary Conv</vt:lpstr>
      <vt:lpstr>RTF Sum Fryer</vt:lpstr>
      <vt:lpstr>RTF Sum HFHC</vt:lpstr>
      <vt:lpstr>RTF Sum Steamer</vt:lpstr>
      <vt:lpstr>CBSA</vt:lpstr>
      <vt:lpstr>Conv Cost</vt:lpstr>
      <vt:lpstr>Steamer Cost</vt:lpstr>
      <vt:lpstr>Combi Cost</vt:lpstr>
      <vt:lpstr>HFHC Cost</vt:lpstr>
      <vt:lpstr>CostData&amp;Analysis</vt:lpstr>
      <vt:lpstr>ToDo7P</vt:lpstr>
      <vt:lpstr>Steamer Calcs</vt:lpstr>
      <vt:lpstr>Steamer Example</vt:lpstr>
      <vt:lpstr>'RTF Summary COMBI'!LinkedWorkbooks</vt:lpstr>
      <vt:lpstr>'RTF Summary Conv'!LinkedWorkbooks</vt:lpstr>
      <vt:lpstr>MeasureOutput</vt:lpstr>
      <vt:lpstr>MeasureOutputR</vt:lpstr>
      <vt:lpstr>OutSCurve</vt:lpstr>
      <vt:lpstr>SCNR</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2015-03-19T16:37:51Z</dcterms:modified>
</cp:coreProperties>
</file>