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2"/>
  </bookViews>
  <sheets>
    <sheet name="forRPM" sheetId="10" r:id="rId1"/>
    <sheet name="7PSourceSummary" sheetId="5" r:id="rId2"/>
    <sheet name="SC-NR" sheetId="3" r:id="rId3"/>
    <sheet name="M_Input_Out" sheetId="17" r:id="rId4"/>
    <sheet name="M_Input" sheetId="6" r:id="rId5"/>
    <sheet name="CostData" sheetId="12" r:id="rId6"/>
    <sheet name="ETO Server Virt Estim" sheetId="13" r:id="rId7"/>
    <sheet name="6P Server Virt" sheetId="14" r:id="rId8"/>
    <sheet name="ETO Data Centers" sheetId="15" r:id="rId9"/>
    <sheet name="ESTAR SERVERS" sheetId="16" r:id="rId10"/>
    <sheet name="LOG" sheetId="18" r:id="rId11"/>
  </sheets>
  <externalReferences>
    <externalReference r:id="rId12"/>
    <externalReference r:id="rId13"/>
    <externalReference r:id="rId14"/>
    <externalReference r:id="rId15"/>
  </externalReferences>
  <definedNames>
    <definedName name="_xlnm._FilterDatabase" localSheetId="5" hidden="1">CostData!$B$3:$R$3</definedName>
    <definedName name="_Key1" hidden="1">#REF!</definedName>
    <definedName name="_Order1" hidden="1">255</definedName>
    <definedName name="_Sort" hidden="1">#REF!</definedName>
    <definedName name="ACHIEV">[1]!ACHIEV</definedName>
    <definedName name="APPLIC">[1]!APPLIC</definedName>
    <definedName name="BLDGTYPE">[1]!BLDGTYPE</definedName>
    <definedName name="MeasOut">M_Input_Out!$A$1:$BH$56</definedName>
    <definedName name="Population">'[2]Pop Forecast (Base Case)'!$B$5:$BC$10</definedName>
    <definedName name="POST2013">[1]!POST2013</definedName>
    <definedName name="TURN">[1]TURN!TURN</definedName>
    <definedName name="VSTOCK">[1]Lookup!$C$4:$D$12</definedName>
  </definedNames>
  <calcPr calcId="125725"/>
</workbook>
</file>

<file path=xl/calcChain.xml><?xml version="1.0" encoding="utf-8"?>
<calcChain xmlns="http://schemas.openxmlformats.org/spreadsheetml/2006/main">
  <c r="D9" i="3"/>
  <c r="D8"/>
  <c r="C8" l="1"/>
  <c r="A9" s="1"/>
  <c r="C4" i="10"/>
  <c r="A4" s="1"/>
  <c r="C5"/>
  <c r="A5" s="1"/>
  <c r="C3"/>
  <c r="A3" s="1"/>
  <c r="C9" i="3"/>
  <c r="D2" i="5"/>
  <c r="B15" i="18" l="1"/>
  <c r="B14"/>
  <c r="B13"/>
  <c r="B12"/>
  <c r="B11"/>
  <c r="B10"/>
  <c r="B9"/>
  <c r="B8"/>
  <c r="B7"/>
  <c r="B6"/>
  <c r="B5"/>
  <c r="B4"/>
  <c r="V4" i="12" l="1"/>
  <c r="J4" i="10"/>
  <c r="AF4" s="1"/>
  <c r="J5"/>
  <c r="AI5" s="1"/>
  <c r="J3"/>
  <c r="BD3" s="1"/>
  <c r="AV3"/>
  <c r="AO3"/>
  <c r="V6" i="12" l="1"/>
  <c r="AK3" i="10"/>
  <c r="BB3"/>
  <c r="BA3"/>
  <c r="AJ3"/>
  <c r="AU3"/>
  <c r="AF3"/>
  <c r="AQ3"/>
  <c r="BC3"/>
  <c r="AR5"/>
  <c r="BA4"/>
  <c r="AK4"/>
  <c r="G4"/>
  <c r="AZ5"/>
  <c r="AJ5"/>
  <c r="AS4"/>
  <c r="AV5"/>
  <c r="AF5"/>
  <c r="AO4"/>
  <c r="H3"/>
  <c r="AI3"/>
  <c r="AN3"/>
  <c r="AS3"/>
  <c r="AZ3"/>
  <c r="G3"/>
  <c r="AG3"/>
  <c r="AM3"/>
  <c r="AR3"/>
  <c r="AW3"/>
  <c r="F3"/>
  <c r="H5"/>
  <c r="BD5"/>
  <c r="AN5"/>
  <c r="AW4"/>
  <c r="AG4"/>
  <c r="H4"/>
  <c r="BA5"/>
  <c r="AW5"/>
  <c r="AS5"/>
  <c r="AO5"/>
  <c r="AK5"/>
  <c r="AG5"/>
  <c r="BB4"/>
  <c r="AX4"/>
  <c r="AT4"/>
  <c r="AP4"/>
  <c r="AL4"/>
  <c r="AH4"/>
  <c r="F5"/>
  <c r="BB5"/>
  <c r="AX5"/>
  <c r="AT5"/>
  <c r="AP5"/>
  <c r="AL5"/>
  <c r="AH5"/>
  <c r="BC4"/>
  <c r="AY4"/>
  <c r="AU4"/>
  <c r="AQ4"/>
  <c r="AM4"/>
  <c r="AI4"/>
  <c r="G5"/>
  <c r="F4"/>
  <c r="BC5"/>
  <c r="AY5"/>
  <c r="AU5"/>
  <c r="AQ5"/>
  <c r="AM5"/>
  <c r="BD4"/>
  <c r="AZ4"/>
  <c r="AV4"/>
  <c r="AR4"/>
  <c r="AN4"/>
  <c r="AJ4"/>
  <c r="AY3"/>
  <c r="AH3"/>
  <c r="AL3"/>
  <c r="AP3"/>
  <c r="AT3"/>
  <c r="AX3"/>
  <c r="V5" i="12" l="1"/>
  <c r="A45" i="3"/>
  <c r="B45"/>
  <c r="A46"/>
  <c r="B46"/>
  <c r="B44"/>
  <c r="A44"/>
  <c r="D19"/>
  <c r="D25" s="1"/>
  <c r="C90"/>
  <c r="D41"/>
  <c r="F10"/>
  <c r="G10" s="1"/>
  <c r="H10" s="1"/>
  <c r="I10" s="1"/>
  <c r="J10" s="1"/>
  <c r="K10" s="1"/>
  <c r="L10" s="1"/>
  <c r="M10" s="1"/>
  <c r="N10" s="1"/>
  <c r="O10" s="1"/>
  <c r="P10" s="1"/>
  <c r="Q10" s="1"/>
  <c r="R10" s="1"/>
  <c r="S10" s="1"/>
  <c r="T10" s="1"/>
  <c r="U10" s="1"/>
  <c r="V10" s="1"/>
  <c r="W10" s="1"/>
  <c r="X10" s="1"/>
  <c r="E11"/>
  <c r="F11" l="1"/>
  <c r="D31"/>
  <c r="D37"/>
  <c r="D89"/>
  <c r="D24"/>
  <c r="D18"/>
  <c r="D36"/>
  <c r="E42"/>
  <c r="E52"/>
  <c r="E12"/>
  <c r="E18"/>
  <c r="E24"/>
  <c r="D30"/>
  <c r="E29" s="1"/>
  <c r="E30" l="1"/>
  <c r="F30"/>
  <c r="F24"/>
  <c r="F18"/>
  <c r="F52"/>
  <c r="F12"/>
  <c r="F43" s="1"/>
  <c r="F42"/>
  <c r="G11"/>
  <c r="G30" s="1"/>
  <c r="E43"/>
  <c r="E53"/>
  <c r="D8" i="6"/>
  <c r="D9"/>
  <c r="D10"/>
  <c r="D11"/>
  <c r="D12"/>
  <c r="D13"/>
  <c r="D14"/>
  <c r="D15"/>
  <c r="D16"/>
  <c r="D17"/>
  <c r="D18"/>
  <c r="D19"/>
  <c r="D20"/>
  <c r="D21"/>
  <c r="D22"/>
  <c r="D23"/>
  <c r="D24"/>
  <c r="D25"/>
  <c r="D26"/>
  <c r="D27"/>
  <c r="D28"/>
  <c r="D29"/>
  <c r="B8"/>
  <c r="B9"/>
  <c r="B10"/>
  <c r="B11"/>
  <c r="B12"/>
  <c r="B13"/>
  <c r="B14"/>
  <c r="B15"/>
  <c r="B16"/>
  <c r="B17"/>
  <c r="B18"/>
  <c r="B19"/>
  <c r="B20"/>
  <c r="B21"/>
  <c r="B22"/>
  <c r="B23"/>
  <c r="B24"/>
  <c r="B25"/>
  <c r="B26"/>
  <c r="B27"/>
  <c r="B28"/>
  <c r="B29"/>
  <c r="O5" i="12"/>
  <c r="N21"/>
  <c r="N20"/>
  <c r="N19"/>
  <c r="N18"/>
  <c r="N17"/>
  <c r="N16"/>
  <c r="N15"/>
  <c r="O9"/>
  <c r="O25"/>
  <c r="G12" i="3" l="1"/>
  <c r="G53" s="1"/>
  <c r="H11"/>
  <c r="H30" s="1"/>
  <c r="F53"/>
  <c r="G24"/>
  <c r="G52"/>
  <c r="G18"/>
  <c r="G42"/>
  <c r="P25" i="12"/>
  <c r="E29" i="6" s="1"/>
  <c r="C29"/>
  <c r="P5" i="12"/>
  <c r="E9" i="6" s="1"/>
  <c r="C9"/>
  <c r="O7" i="12"/>
  <c r="V8"/>
  <c r="C13" i="6"/>
  <c r="P9" i="12"/>
  <c r="E13" i="6" s="1"/>
  <c r="F54" i="3"/>
  <c r="F91" s="1"/>
  <c r="E54"/>
  <c r="E91" s="1"/>
  <c r="H18"/>
  <c r="O19" i="12"/>
  <c r="O18"/>
  <c r="O17"/>
  <c r="O20"/>
  <c r="O15"/>
  <c r="O21"/>
  <c r="O11"/>
  <c r="O16"/>
  <c r="O4"/>
  <c r="O22"/>
  <c r="O8"/>
  <c r="O10"/>
  <c r="O23"/>
  <c r="O6"/>
  <c r="O24"/>
  <c r="O12"/>
  <c r="O13"/>
  <c r="Q42" i="16"/>
  <c r="Q40"/>
  <c r="C328" i="15"/>
  <c r="C340" s="1"/>
  <c r="C352" s="1"/>
  <c r="C364" s="1"/>
  <c r="C376" s="1"/>
  <c r="C388" s="1"/>
  <c r="C400" s="1"/>
  <c r="C412" s="1"/>
  <c r="C424" s="1"/>
  <c r="C436" s="1"/>
  <c r="C448" s="1"/>
  <c r="C460" s="1"/>
  <c r="C472" s="1"/>
  <c r="C484" s="1"/>
  <c r="C496" s="1"/>
  <c r="C508" s="1"/>
  <c r="C520" s="1"/>
  <c r="C316"/>
  <c r="C312"/>
  <c r="C324" s="1"/>
  <c r="C336" s="1"/>
  <c r="C348" s="1"/>
  <c r="C360" s="1"/>
  <c r="C372" s="1"/>
  <c r="C384" s="1"/>
  <c r="C396" s="1"/>
  <c r="C408" s="1"/>
  <c r="C420" s="1"/>
  <c r="C432" s="1"/>
  <c r="C444" s="1"/>
  <c r="C456" s="1"/>
  <c r="C468" s="1"/>
  <c r="C480" s="1"/>
  <c r="C492" s="1"/>
  <c r="C504" s="1"/>
  <c r="C516" s="1"/>
  <c r="C306"/>
  <c r="C318" s="1"/>
  <c r="C330" s="1"/>
  <c r="C342" s="1"/>
  <c r="C354" s="1"/>
  <c r="C366" s="1"/>
  <c r="C378" s="1"/>
  <c r="C390" s="1"/>
  <c r="C402" s="1"/>
  <c r="C414" s="1"/>
  <c r="C426" s="1"/>
  <c r="C438" s="1"/>
  <c r="C450" s="1"/>
  <c r="C462" s="1"/>
  <c r="C474" s="1"/>
  <c r="C486" s="1"/>
  <c r="C498" s="1"/>
  <c r="C510" s="1"/>
  <c r="C522" s="1"/>
  <c r="B306"/>
  <c r="B318" s="1"/>
  <c r="B330" s="1"/>
  <c r="B342" s="1"/>
  <c r="B354" s="1"/>
  <c r="B366" s="1"/>
  <c r="B378" s="1"/>
  <c r="B390" s="1"/>
  <c r="B402" s="1"/>
  <c r="B414" s="1"/>
  <c r="B426" s="1"/>
  <c r="B438" s="1"/>
  <c r="B450" s="1"/>
  <c r="B462" s="1"/>
  <c r="B474" s="1"/>
  <c r="B486" s="1"/>
  <c r="B498" s="1"/>
  <c r="B510" s="1"/>
  <c r="B522" s="1"/>
  <c r="C304"/>
  <c r="B304"/>
  <c r="B316" s="1"/>
  <c r="B328" s="1"/>
  <c r="B340" s="1"/>
  <c r="B352" s="1"/>
  <c r="B364" s="1"/>
  <c r="B376" s="1"/>
  <c r="B388" s="1"/>
  <c r="B400" s="1"/>
  <c r="B412" s="1"/>
  <c r="B424" s="1"/>
  <c r="B436" s="1"/>
  <c r="B448" s="1"/>
  <c r="B460" s="1"/>
  <c r="B472" s="1"/>
  <c r="B484" s="1"/>
  <c r="B496" s="1"/>
  <c r="B508" s="1"/>
  <c r="B520" s="1"/>
  <c r="C302"/>
  <c r="C314" s="1"/>
  <c r="C326" s="1"/>
  <c r="C338" s="1"/>
  <c r="C350" s="1"/>
  <c r="C362" s="1"/>
  <c r="C374" s="1"/>
  <c r="C386" s="1"/>
  <c r="C398" s="1"/>
  <c r="C410" s="1"/>
  <c r="C422" s="1"/>
  <c r="C434" s="1"/>
  <c r="C446" s="1"/>
  <c r="C458" s="1"/>
  <c r="C470" s="1"/>
  <c r="C482" s="1"/>
  <c r="C494" s="1"/>
  <c r="C506" s="1"/>
  <c r="C518" s="1"/>
  <c r="B302"/>
  <c r="B314" s="1"/>
  <c r="B326" s="1"/>
  <c r="B338" s="1"/>
  <c r="B350" s="1"/>
  <c r="B362" s="1"/>
  <c r="B374" s="1"/>
  <c r="B386" s="1"/>
  <c r="B398" s="1"/>
  <c r="B410" s="1"/>
  <c r="B422" s="1"/>
  <c r="B434" s="1"/>
  <c r="B446" s="1"/>
  <c r="B458" s="1"/>
  <c r="B470" s="1"/>
  <c r="B482" s="1"/>
  <c r="B494" s="1"/>
  <c r="B506" s="1"/>
  <c r="B518" s="1"/>
  <c r="C300"/>
  <c r="B300"/>
  <c r="B312" s="1"/>
  <c r="B324" s="1"/>
  <c r="B336" s="1"/>
  <c r="B348" s="1"/>
  <c r="B360" s="1"/>
  <c r="B372" s="1"/>
  <c r="B384" s="1"/>
  <c r="B396" s="1"/>
  <c r="B408" s="1"/>
  <c r="B420" s="1"/>
  <c r="B432" s="1"/>
  <c r="B444" s="1"/>
  <c r="B456" s="1"/>
  <c r="B468" s="1"/>
  <c r="B480" s="1"/>
  <c r="B492" s="1"/>
  <c r="B504" s="1"/>
  <c r="B516" s="1"/>
  <c r="C298"/>
  <c r="C310" s="1"/>
  <c r="C322" s="1"/>
  <c r="C334" s="1"/>
  <c r="C346" s="1"/>
  <c r="C358" s="1"/>
  <c r="C370" s="1"/>
  <c r="C382" s="1"/>
  <c r="C394" s="1"/>
  <c r="C406" s="1"/>
  <c r="C418" s="1"/>
  <c r="C430" s="1"/>
  <c r="C442" s="1"/>
  <c r="C454" s="1"/>
  <c r="C466" s="1"/>
  <c r="C478" s="1"/>
  <c r="C490" s="1"/>
  <c r="C502" s="1"/>
  <c r="C514" s="1"/>
  <c r="B298"/>
  <c r="B310" s="1"/>
  <c r="B322" s="1"/>
  <c r="B334" s="1"/>
  <c r="B346" s="1"/>
  <c r="B358" s="1"/>
  <c r="B370" s="1"/>
  <c r="B382" s="1"/>
  <c r="B394" s="1"/>
  <c r="B406" s="1"/>
  <c r="B418" s="1"/>
  <c r="B430" s="1"/>
  <c r="B442" s="1"/>
  <c r="B454" s="1"/>
  <c r="B466" s="1"/>
  <c r="B478" s="1"/>
  <c r="B490" s="1"/>
  <c r="B502" s="1"/>
  <c r="B514" s="1"/>
  <c r="C297"/>
  <c r="C309" s="1"/>
  <c r="C321" s="1"/>
  <c r="C333" s="1"/>
  <c r="C345" s="1"/>
  <c r="C357" s="1"/>
  <c r="C369" s="1"/>
  <c r="C381" s="1"/>
  <c r="C393" s="1"/>
  <c r="C405" s="1"/>
  <c r="C417" s="1"/>
  <c r="C429" s="1"/>
  <c r="C441" s="1"/>
  <c r="C453" s="1"/>
  <c r="C465" s="1"/>
  <c r="C477" s="1"/>
  <c r="C489" s="1"/>
  <c r="C501" s="1"/>
  <c r="C513" s="1"/>
  <c r="C525" s="1"/>
  <c r="B297"/>
  <c r="B309" s="1"/>
  <c r="B321" s="1"/>
  <c r="B333" s="1"/>
  <c r="B345" s="1"/>
  <c r="B357" s="1"/>
  <c r="B369" s="1"/>
  <c r="B381" s="1"/>
  <c r="B393" s="1"/>
  <c r="B405" s="1"/>
  <c r="B417" s="1"/>
  <c r="B429" s="1"/>
  <c r="B441" s="1"/>
  <c r="B453" s="1"/>
  <c r="B465" s="1"/>
  <c r="B477" s="1"/>
  <c r="B489" s="1"/>
  <c r="B501" s="1"/>
  <c r="B513" s="1"/>
  <c r="B525" s="1"/>
  <c r="C296"/>
  <c r="C308" s="1"/>
  <c r="C320" s="1"/>
  <c r="C332" s="1"/>
  <c r="C344" s="1"/>
  <c r="C356" s="1"/>
  <c r="C368" s="1"/>
  <c r="C380" s="1"/>
  <c r="C392" s="1"/>
  <c r="C404" s="1"/>
  <c r="C416" s="1"/>
  <c r="C428" s="1"/>
  <c r="C440" s="1"/>
  <c r="C452" s="1"/>
  <c r="C464" s="1"/>
  <c r="C476" s="1"/>
  <c r="C488" s="1"/>
  <c r="C500" s="1"/>
  <c r="C512" s="1"/>
  <c r="C524" s="1"/>
  <c r="B296"/>
  <c r="C295"/>
  <c r="C307" s="1"/>
  <c r="C319" s="1"/>
  <c r="C331" s="1"/>
  <c r="C343" s="1"/>
  <c r="C355" s="1"/>
  <c r="C367" s="1"/>
  <c r="C379" s="1"/>
  <c r="C391" s="1"/>
  <c r="C403" s="1"/>
  <c r="C415" s="1"/>
  <c r="C427" s="1"/>
  <c r="C439" s="1"/>
  <c r="C451" s="1"/>
  <c r="C463" s="1"/>
  <c r="C475" s="1"/>
  <c r="C487" s="1"/>
  <c r="C499" s="1"/>
  <c r="C511" s="1"/>
  <c r="C523" s="1"/>
  <c r="B295"/>
  <c r="B307" s="1"/>
  <c r="B319" s="1"/>
  <c r="B331" s="1"/>
  <c r="B343" s="1"/>
  <c r="B355" s="1"/>
  <c r="B367" s="1"/>
  <c r="B379" s="1"/>
  <c r="B391" s="1"/>
  <c r="B403" s="1"/>
  <c r="B415" s="1"/>
  <c r="B427" s="1"/>
  <c r="B439" s="1"/>
  <c r="B451" s="1"/>
  <c r="B463" s="1"/>
  <c r="B475" s="1"/>
  <c r="B487" s="1"/>
  <c r="B499" s="1"/>
  <c r="B511" s="1"/>
  <c r="B523" s="1"/>
  <c r="C294"/>
  <c r="B294"/>
  <c r="C293"/>
  <c r="C305" s="1"/>
  <c r="C317" s="1"/>
  <c r="C329" s="1"/>
  <c r="C341" s="1"/>
  <c r="C353" s="1"/>
  <c r="C365" s="1"/>
  <c r="C377" s="1"/>
  <c r="C389" s="1"/>
  <c r="C401" s="1"/>
  <c r="C413" s="1"/>
  <c r="C425" s="1"/>
  <c r="C437" s="1"/>
  <c r="C449" s="1"/>
  <c r="C461" s="1"/>
  <c r="C473" s="1"/>
  <c r="C485" s="1"/>
  <c r="C497" s="1"/>
  <c r="C509" s="1"/>
  <c r="C521" s="1"/>
  <c r="B293"/>
  <c r="B305" s="1"/>
  <c r="B317" s="1"/>
  <c r="B329" s="1"/>
  <c r="B341" s="1"/>
  <c r="B353" s="1"/>
  <c r="B365" s="1"/>
  <c r="B377" s="1"/>
  <c r="B389" s="1"/>
  <c r="B401" s="1"/>
  <c r="B413" s="1"/>
  <c r="B425" s="1"/>
  <c r="B437" s="1"/>
  <c r="B449" s="1"/>
  <c r="B461" s="1"/>
  <c r="B473" s="1"/>
  <c r="B485" s="1"/>
  <c r="B497" s="1"/>
  <c r="B509" s="1"/>
  <c r="B521" s="1"/>
  <c r="C292"/>
  <c r="B292"/>
  <c r="C291"/>
  <c r="C303" s="1"/>
  <c r="C315" s="1"/>
  <c r="C327" s="1"/>
  <c r="C339" s="1"/>
  <c r="C351" s="1"/>
  <c r="C363" s="1"/>
  <c r="C375" s="1"/>
  <c r="C387" s="1"/>
  <c r="C399" s="1"/>
  <c r="C411" s="1"/>
  <c r="C423" s="1"/>
  <c r="C435" s="1"/>
  <c r="C447" s="1"/>
  <c r="C459" s="1"/>
  <c r="C471" s="1"/>
  <c r="C483" s="1"/>
  <c r="C495" s="1"/>
  <c r="C507" s="1"/>
  <c r="C519" s="1"/>
  <c r="B291"/>
  <c r="B303" s="1"/>
  <c r="B315" s="1"/>
  <c r="B327" s="1"/>
  <c r="B339" s="1"/>
  <c r="B351" s="1"/>
  <c r="B363" s="1"/>
  <c r="B375" s="1"/>
  <c r="B387" s="1"/>
  <c r="B399" s="1"/>
  <c r="B411" s="1"/>
  <c r="B423" s="1"/>
  <c r="B435" s="1"/>
  <c r="B447" s="1"/>
  <c r="B459" s="1"/>
  <c r="B471" s="1"/>
  <c r="B483" s="1"/>
  <c r="B495" s="1"/>
  <c r="B507" s="1"/>
  <c r="B519" s="1"/>
  <c r="C290"/>
  <c r="B290"/>
  <c r="C289"/>
  <c r="C301" s="1"/>
  <c r="C313" s="1"/>
  <c r="C325" s="1"/>
  <c r="C337" s="1"/>
  <c r="C349" s="1"/>
  <c r="C361" s="1"/>
  <c r="C373" s="1"/>
  <c r="C385" s="1"/>
  <c r="C397" s="1"/>
  <c r="C409" s="1"/>
  <c r="C421" s="1"/>
  <c r="C433" s="1"/>
  <c r="C445" s="1"/>
  <c r="C457" s="1"/>
  <c r="C469" s="1"/>
  <c r="C481" s="1"/>
  <c r="C493" s="1"/>
  <c r="C505" s="1"/>
  <c r="C517" s="1"/>
  <c r="B289"/>
  <c r="B301" s="1"/>
  <c r="B313" s="1"/>
  <c r="B325" s="1"/>
  <c r="B337" s="1"/>
  <c r="B349" s="1"/>
  <c r="B361" s="1"/>
  <c r="B373" s="1"/>
  <c r="B385" s="1"/>
  <c r="B397" s="1"/>
  <c r="B409" s="1"/>
  <c r="B421" s="1"/>
  <c r="B433" s="1"/>
  <c r="B445" s="1"/>
  <c r="B457" s="1"/>
  <c r="B469" s="1"/>
  <c r="B481" s="1"/>
  <c r="B493" s="1"/>
  <c r="B505" s="1"/>
  <c r="B517" s="1"/>
  <c r="C288"/>
  <c r="B288"/>
  <c r="C287"/>
  <c r="C299" s="1"/>
  <c r="C311" s="1"/>
  <c r="C323" s="1"/>
  <c r="C335" s="1"/>
  <c r="C347" s="1"/>
  <c r="C359" s="1"/>
  <c r="C371" s="1"/>
  <c r="C383" s="1"/>
  <c r="C395" s="1"/>
  <c r="C407" s="1"/>
  <c r="C419" s="1"/>
  <c r="C431" s="1"/>
  <c r="C443" s="1"/>
  <c r="C455" s="1"/>
  <c r="C467" s="1"/>
  <c r="C479" s="1"/>
  <c r="C491" s="1"/>
  <c r="C503" s="1"/>
  <c r="C515" s="1"/>
  <c r="B287"/>
  <c r="B299" s="1"/>
  <c r="C286"/>
  <c r="B286"/>
  <c r="D238"/>
  <c r="C238"/>
  <c r="D236" s="1"/>
  <c r="D235"/>
  <c r="G220" s="1"/>
  <c r="H220" s="1"/>
  <c r="C91" s="1"/>
  <c r="D234"/>
  <c r="G218" s="1"/>
  <c r="H218" s="1"/>
  <c r="F223"/>
  <c r="H222"/>
  <c r="G217"/>
  <c r="H217" s="1"/>
  <c r="C93"/>
  <c r="B93"/>
  <c r="B92"/>
  <c r="B91"/>
  <c r="B90"/>
  <c r="C89"/>
  <c r="B89"/>
  <c r="B88"/>
  <c r="E85"/>
  <c r="E72"/>
  <c r="F72" s="1"/>
  <c r="F71"/>
  <c r="E71"/>
  <c r="E70"/>
  <c r="C50"/>
  <c r="C51" s="1"/>
  <c r="C53" s="1"/>
  <c r="G41"/>
  <c r="E41"/>
  <c r="K39"/>
  <c r="I39"/>
  <c r="F39"/>
  <c r="I37"/>
  <c r="F37"/>
  <c r="K37" s="1"/>
  <c r="F35"/>
  <c r="K33"/>
  <c r="F33"/>
  <c r="I33" s="1"/>
  <c r="K31"/>
  <c r="I31"/>
  <c r="F31"/>
  <c r="I29"/>
  <c r="F29"/>
  <c r="K29" s="1"/>
  <c r="K28"/>
  <c r="I28"/>
  <c r="G17"/>
  <c r="F17"/>
  <c r="H15"/>
  <c r="H13"/>
  <c r="C9"/>
  <c r="G6"/>
  <c r="F6"/>
  <c r="H4"/>
  <c r="E17" i="14"/>
  <c r="C17"/>
  <c r="F16"/>
  <c r="E16"/>
  <c r="C16"/>
  <c r="F15"/>
  <c r="E15"/>
  <c r="C15"/>
  <c r="F9"/>
  <c r="F8"/>
  <c r="D8"/>
  <c r="F7"/>
  <c r="D6"/>
  <c r="C6"/>
  <c r="F6" s="1"/>
  <c r="F5"/>
  <c r="O36" i="13"/>
  <c r="N36"/>
  <c r="F16" s="1"/>
  <c r="J36"/>
  <c r="I36"/>
  <c r="G36"/>
  <c r="E36"/>
  <c r="F7" s="1"/>
  <c r="C29"/>
  <c r="C28"/>
  <c r="C26"/>
  <c r="H17" s="1"/>
  <c r="B20"/>
  <c r="I17"/>
  <c r="F17"/>
  <c r="I16"/>
  <c r="H16"/>
  <c r="I15"/>
  <c r="H15"/>
  <c r="G15"/>
  <c r="F15"/>
  <c r="I14"/>
  <c r="H14"/>
  <c r="F14"/>
  <c r="I13"/>
  <c r="H13"/>
  <c r="F13"/>
  <c r="G13" s="1"/>
  <c r="I12"/>
  <c r="H12"/>
  <c r="F12"/>
  <c r="G12"/>
  <c r="I11"/>
  <c r="H11"/>
  <c r="F11"/>
  <c r="G11"/>
  <c r="I10"/>
  <c r="H10"/>
  <c r="F10"/>
  <c r="G10" s="1"/>
  <c r="I9"/>
  <c r="H9"/>
  <c r="F9"/>
  <c r="G9" s="1"/>
  <c r="I8"/>
  <c r="H8"/>
  <c r="G8"/>
  <c r="F8"/>
  <c r="I7"/>
  <c r="H7"/>
  <c r="I6"/>
  <c r="H6"/>
  <c r="F6"/>
  <c r="G6" s="1"/>
  <c r="I5"/>
  <c r="H5"/>
  <c r="F5"/>
  <c r="G5" s="1"/>
  <c r="H4" i="12"/>
  <c r="J4" s="1"/>
  <c r="M4" s="1"/>
  <c r="H5"/>
  <c r="J5" s="1"/>
  <c r="M5" s="1"/>
  <c r="H6"/>
  <c r="J6" s="1"/>
  <c r="M6" s="1"/>
  <c r="H7"/>
  <c r="J7" s="1"/>
  <c r="M7" s="1"/>
  <c r="H26"/>
  <c r="J26" s="1"/>
  <c r="M26" s="1"/>
  <c r="H27"/>
  <c r="J27" s="1"/>
  <c r="M27" s="1"/>
  <c r="H28"/>
  <c r="J28" s="1"/>
  <c r="M28" s="1"/>
  <c r="H29"/>
  <c r="J29" s="1"/>
  <c r="M29" s="1"/>
  <c r="H30"/>
  <c r="J30" s="1"/>
  <c r="M30" s="1"/>
  <c r="H22"/>
  <c r="J22" s="1"/>
  <c r="H23"/>
  <c r="J23" s="1"/>
  <c r="M23" s="1"/>
  <c r="H24"/>
  <c r="J24" s="1"/>
  <c r="M24" s="1"/>
  <c r="H25"/>
  <c r="J25" s="1"/>
  <c r="M25" s="1"/>
  <c r="H8"/>
  <c r="J8" s="1"/>
  <c r="H9"/>
  <c r="J9" s="1"/>
  <c r="M9" s="1"/>
  <c r="H10"/>
  <c r="J10" s="1"/>
  <c r="M10" s="1"/>
  <c r="H11"/>
  <c r="J11" s="1"/>
  <c r="M11" s="1"/>
  <c r="H12"/>
  <c r="J12" s="1"/>
  <c r="M12" s="1"/>
  <c r="J13"/>
  <c r="M13" s="1"/>
  <c r="H14"/>
  <c r="J14" s="1"/>
  <c r="M14" s="1"/>
  <c r="N14"/>
  <c r="O14" s="1"/>
  <c r="H15"/>
  <c r="J15" s="1"/>
  <c r="M15" s="1"/>
  <c r="H16"/>
  <c r="J16" s="1"/>
  <c r="M16" s="1"/>
  <c r="H17"/>
  <c r="J17" s="1"/>
  <c r="M17" s="1"/>
  <c r="H18"/>
  <c r="J18" s="1"/>
  <c r="M18" s="1"/>
  <c r="H19"/>
  <c r="J19" s="1"/>
  <c r="M19" s="1"/>
  <c r="H20"/>
  <c r="J20" s="1"/>
  <c r="M20" s="1"/>
  <c r="H21"/>
  <c r="J21" s="1"/>
  <c r="M21" s="1"/>
  <c r="G43" i="3" l="1"/>
  <c r="H24"/>
  <c r="T12" i="12"/>
  <c r="T11" s="1"/>
  <c r="G7" i="13"/>
  <c r="G16"/>
  <c r="I11" i="3"/>
  <c r="I30" s="1"/>
  <c r="H42"/>
  <c r="H12"/>
  <c r="H43" s="1"/>
  <c r="H52"/>
  <c r="J16" i="14"/>
  <c r="K16" s="1"/>
  <c r="C18" i="6"/>
  <c r="P14" i="12"/>
  <c r="E18" i="6" s="1"/>
  <c r="C16"/>
  <c r="P12" i="12"/>
  <c r="E16" i="6" s="1"/>
  <c r="C14"/>
  <c r="P10" i="12"/>
  <c r="E14" i="6" s="1"/>
  <c r="C20"/>
  <c r="P16" i="12"/>
  <c r="E20" i="6" s="1"/>
  <c r="C24"/>
  <c r="P20" i="12"/>
  <c r="E24" i="6" s="1"/>
  <c r="C11"/>
  <c r="P7" i="12"/>
  <c r="E11" i="6" s="1"/>
  <c r="P13" i="12"/>
  <c r="E17" i="6" s="1"/>
  <c r="C17"/>
  <c r="P23" i="12"/>
  <c r="E27" i="6" s="1"/>
  <c r="C27"/>
  <c r="P4" i="12"/>
  <c r="E8" i="6" s="1"/>
  <c r="C8"/>
  <c r="C19"/>
  <c r="P15" i="12"/>
  <c r="E19" i="6" s="1"/>
  <c r="C23"/>
  <c r="P19" i="12"/>
  <c r="E23" i="6" s="1"/>
  <c r="C10"/>
  <c r="P6" i="12"/>
  <c r="E10" i="6" s="1"/>
  <c r="C26"/>
  <c r="P22" i="12"/>
  <c r="E26" i="6" s="1"/>
  <c r="P21" i="12"/>
  <c r="E25" i="6" s="1"/>
  <c r="C25"/>
  <c r="C22"/>
  <c r="P18" i="12"/>
  <c r="E22" i="6" s="1"/>
  <c r="C28"/>
  <c r="P24" i="12"/>
  <c r="E28" i="6" s="1"/>
  <c r="C12"/>
  <c r="P8" i="12"/>
  <c r="E12" i="6" s="1"/>
  <c r="P11" i="12"/>
  <c r="E15" i="6" s="1"/>
  <c r="C15"/>
  <c r="C21"/>
  <c r="P17" i="12"/>
  <c r="E21" i="6" s="1"/>
  <c r="G54" i="3"/>
  <c r="G91" s="1"/>
  <c r="T4" i="12"/>
  <c r="F70" i="15"/>
  <c r="E73"/>
  <c r="C54"/>
  <c r="C44"/>
  <c r="B311"/>
  <c r="B323" s="1"/>
  <c r="B335" s="1"/>
  <c r="B347" s="1"/>
  <c r="B359" s="1"/>
  <c r="B371" s="1"/>
  <c r="B383" s="1"/>
  <c r="B395" s="1"/>
  <c r="B407" s="1"/>
  <c r="B419" s="1"/>
  <c r="B431" s="1"/>
  <c r="B443" s="1"/>
  <c r="B455" s="1"/>
  <c r="B467" s="1"/>
  <c r="B479" s="1"/>
  <c r="B491" s="1"/>
  <c r="B503" s="1"/>
  <c r="B515" s="1"/>
  <c r="G287"/>
  <c r="H287" s="1"/>
  <c r="J15" i="14"/>
  <c r="K15" s="1"/>
  <c r="G14" i="13"/>
  <c r="J17" i="14"/>
  <c r="K17" s="1"/>
  <c r="I35" i="15"/>
  <c r="K35"/>
  <c r="K41" s="1"/>
  <c r="C88"/>
  <c r="C20"/>
  <c r="I41"/>
  <c r="I42" s="1"/>
  <c r="D233"/>
  <c r="G219" s="1"/>
  <c r="H219" s="1"/>
  <c r="C90" s="1"/>
  <c r="D237"/>
  <c r="G221" s="1"/>
  <c r="H221" s="1"/>
  <c r="C92" s="1"/>
  <c r="B308"/>
  <c r="B320" s="1"/>
  <c r="B332" s="1"/>
  <c r="B344" s="1"/>
  <c r="B356" s="1"/>
  <c r="B368" s="1"/>
  <c r="B380" s="1"/>
  <c r="B392" s="1"/>
  <c r="B404" s="1"/>
  <c r="B416" s="1"/>
  <c r="B428" s="1"/>
  <c r="B440" s="1"/>
  <c r="B452" s="1"/>
  <c r="B464" s="1"/>
  <c r="B476" s="1"/>
  <c r="B488" s="1"/>
  <c r="B500" s="1"/>
  <c r="B512" s="1"/>
  <c r="B524" s="1"/>
  <c r="G280"/>
  <c r="H280" s="1"/>
  <c r="M8" i="12"/>
  <c r="T5" s="1"/>
  <c r="U5"/>
  <c r="M22"/>
  <c r="T6" s="1"/>
  <c r="U6"/>
  <c r="U4"/>
  <c r="H53" i="3" l="1"/>
  <c r="I12"/>
  <c r="I43" s="1"/>
  <c r="I52"/>
  <c r="I24"/>
  <c r="I42"/>
  <c r="J11"/>
  <c r="J30" s="1"/>
  <c r="I18"/>
  <c r="H54"/>
  <c r="H91" s="1"/>
  <c r="F73" i="15"/>
  <c r="G73"/>
  <c r="C60"/>
  <c r="K42"/>
  <c r="G288"/>
  <c r="H288" s="1"/>
  <c r="G274"/>
  <c r="H274" s="1"/>
  <c r="G294"/>
  <c r="H294" s="1"/>
  <c r="G286"/>
  <c r="H286" s="1"/>
  <c r="G276"/>
  <c r="H276" s="1"/>
  <c r="D90"/>
  <c r="F90" s="1"/>
  <c r="G90" s="1"/>
  <c r="G223"/>
  <c r="G281"/>
  <c r="H281" s="1"/>
  <c r="G291"/>
  <c r="H291" s="1"/>
  <c r="G283"/>
  <c r="H283" s="1"/>
  <c r="G292"/>
  <c r="H292" s="1"/>
  <c r="C55"/>
  <c r="D88"/>
  <c r="F88" s="1"/>
  <c r="C94"/>
  <c r="G275"/>
  <c r="H275" s="1"/>
  <c r="D94" s="1"/>
  <c r="G282"/>
  <c r="H282" s="1"/>
  <c r="G285"/>
  <c r="H285" s="1"/>
  <c r="G293"/>
  <c r="H293" s="1"/>
  <c r="G278"/>
  <c r="H278" s="1"/>
  <c r="D92"/>
  <c r="F92" s="1"/>
  <c r="G92" s="1"/>
  <c r="G284"/>
  <c r="H284" s="1"/>
  <c r="H223"/>
  <c r="G277"/>
  <c r="H277" s="1"/>
  <c r="G289"/>
  <c r="H289" s="1"/>
  <c r="G279"/>
  <c r="H279" s="1"/>
  <c r="G290"/>
  <c r="H290" s="1"/>
  <c r="J24" i="3" l="1"/>
  <c r="J42"/>
  <c r="J12"/>
  <c r="J43" s="1"/>
  <c r="J52"/>
  <c r="J18"/>
  <c r="I53"/>
  <c r="K11"/>
  <c r="K30" s="1"/>
  <c r="I54"/>
  <c r="I91" s="1"/>
  <c r="D93" i="15"/>
  <c r="F93" s="1"/>
  <c r="G93" s="1"/>
  <c r="D91"/>
  <c r="D89"/>
  <c r="F89" s="1"/>
  <c r="G89" s="1"/>
  <c r="G88"/>
  <c r="K18" i="3" l="1"/>
  <c r="K42"/>
  <c r="J53"/>
  <c r="K24"/>
  <c r="L11"/>
  <c r="L30" s="1"/>
  <c r="K52"/>
  <c r="K12"/>
  <c r="K43" s="1"/>
  <c r="J54"/>
  <c r="J91" s="1"/>
  <c r="L24"/>
  <c r="C56" i="15"/>
  <c r="C57" s="1"/>
  <c r="F91"/>
  <c r="L18" i="3" l="1"/>
  <c r="K53"/>
  <c r="L12"/>
  <c r="L43" s="1"/>
  <c r="M11"/>
  <c r="M30" s="1"/>
  <c r="L52"/>
  <c r="L42"/>
  <c r="K54"/>
  <c r="K91" s="1"/>
  <c r="G91" i="15"/>
  <c r="G94" s="1"/>
  <c r="F94"/>
  <c r="L53" i="3" l="1"/>
  <c r="M18"/>
  <c r="N11"/>
  <c r="N30" s="1"/>
  <c r="M42"/>
  <c r="M24"/>
  <c r="M52"/>
  <c r="M12"/>
  <c r="M53" s="1"/>
  <c r="L54"/>
  <c r="L91" s="1"/>
  <c r="AD2" i="10"/>
  <c r="AC2"/>
  <c r="AB2"/>
  <c r="AA2"/>
  <c r="Z2"/>
  <c r="Y2"/>
  <c r="X2"/>
  <c r="W2"/>
  <c r="V2"/>
  <c r="U2"/>
  <c r="T2"/>
  <c r="S2"/>
  <c r="R2"/>
  <c r="Q2"/>
  <c r="P2"/>
  <c r="O2"/>
  <c r="N2"/>
  <c r="M2"/>
  <c r="L2"/>
  <c r="K2"/>
  <c r="N18" i="3" l="1"/>
  <c r="N42"/>
  <c r="N24"/>
  <c r="M43"/>
  <c r="N52"/>
  <c r="N12"/>
  <c r="N53" s="1"/>
  <c r="O11"/>
  <c r="O30" s="1"/>
  <c r="M54"/>
  <c r="M91" s="1"/>
  <c r="P11" l="1"/>
  <c r="P30" s="1"/>
  <c r="O12"/>
  <c r="O43" s="1"/>
  <c r="N43"/>
  <c r="N54" s="1"/>
  <c r="N91" s="1"/>
  <c r="O52"/>
  <c r="O18"/>
  <c r="O42"/>
  <c r="O24"/>
  <c r="P42"/>
  <c r="P18"/>
  <c r="B2" i="6"/>
  <c r="P24" i="3" l="1"/>
  <c r="Q11"/>
  <c r="Q30" s="1"/>
  <c r="P12"/>
  <c r="P43" s="1"/>
  <c r="P52"/>
  <c r="O53"/>
  <c r="O54"/>
  <c r="O91" s="1"/>
  <c r="P53"/>
  <c r="Q42"/>
  <c r="Q52"/>
  <c r="Q12"/>
  <c r="R11"/>
  <c r="R30" s="1"/>
  <c r="Q18" l="1"/>
  <c r="Q24"/>
  <c r="Q43"/>
  <c r="Q53"/>
  <c r="R52"/>
  <c r="R42"/>
  <c r="S11"/>
  <c r="S30" s="1"/>
  <c r="R18"/>
  <c r="R12"/>
  <c r="R24"/>
  <c r="P54"/>
  <c r="P91" s="1"/>
  <c r="S52" l="1"/>
  <c r="S12"/>
  <c r="T11"/>
  <c r="T30" s="1"/>
  <c r="S42"/>
  <c r="S24"/>
  <c r="S18"/>
  <c r="Q54"/>
  <c r="Q91" s="1"/>
  <c r="R53"/>
  <c r="R43"/>
  <c r="T52" l="1"/>
  <c r="T24"/>
  <c r="T42"/>
  <c r="T12"/>
  <c r="U11"/>
  <c r="U30" s="1"/>
  <c r="T18"/>
  <c r="R54"/>
  <c r="R91" s="1"/>
  <c r="S53"/>
  <c r="S43"/>
  <c r="T53" l="1"/>
  <c r="T43"/>
  <c r="U42"/>
  <c r="U52"/>
  <c r="U24"/>
  <c r="U18"/>
  <c r="U12"/>
  <c r="V11"/>
  <c r="V30" s="1"/>
  <c r="S54"/>
  <c r="S91" s="1"/>
  <c r="U43" l="1"/>
  <c r="U53"/>
  <c r="V52"/>
  <c r="V42"/>
  <c r="W11"/>
  <c r="W30" s="1"/>
  <c r="V24"/>
  <c r="V18"/>
  <c r="V12"/>
  <c r="T54"/>
  <c r="T91" s="1"/>
  <c r="W52" l="1"/>
  <c r="W42"/>
  <c r="W12"/>
  <c r="X11"/>
  <c r="X30" s="1"/>
  <c r="W24"/>
  <c r="W18"/>
  <c r="V53"/>
  <c r="V43"/>
  <c r="U54"/>
  <c r="U91" s="1"/>
  <c r="W53" l="1"/>
  <c r="W43"/>
  <c r="V54"/>
  <c r="V91" s="1"/>
  <c r="X52"/>
  <c r="X24"/>
  <c r="X42"/>
  <c r="X12"/>
  <c r="X18"/>
  <c r="X53" l="1"/>
  <c r="X43"/>
  <c r="W54"/>
  <c r="W91" s="1"/>
  <c r="X54" l="1"/>
  <c r="X91" s="1"/>
  <c r="Y54" l="1"/>
  <c r="Y91" s="1"/>
  <c r="A19" l="1"/>
  <c r="A25"/>
  <c r="C25"/>
  <c r="C19"/>
  <c r="P25" l="1"/>
  <c r="I25"/>
  <c r="M25"/>
  <c r="R25"/>
  <c r="U25"/>
  <c r="F25"/>
  <c r="E25"/>
  <c r="G25"/>
  <c r="X25"/>
  <c r="J25"/>
  <c r="Q25"/>
  <c r="V25"/>
  <c r="O25"/>
  <c r="W25"/>
  <c r="N25"/>
  <c r="K25"/>
  <c r="S25"/>
  <c r="L25"/>
  <c r="H25"/>
  <c r="T25"/>
  <c r="Z25" l="1"/>
  <c r="Y25" s="1"/>
  <c r="N55" l="1"/>
  <c r="N92" s="1"/>
  <c r="J55"/>
  <c r="J92" s="1"/>
  <c r="R55"/>
  <c r="R92" s="1"/>
  <c r="T55"/>
  <c r="T92" s="1"/>
  <c r="U55"/>
  <c r="U92" s="1"/>
  <c r="L55"/>
  <c r="L92" s="1"/>
  <c r="G55"/>
  <c r="G92" s="1"/>
  <c r="S55"/>
  <c r="S92" s="1"/>
  <c r="O55"/>
  <c r="O92" s="1"/>
  <c r="I55"/>
  <c r="I92" s="1"/>
  <c r="Q55"/>
  <c r="Q92" s="1"/>
  <c r="P55"/>
  <c r="P92" s="1"/>
  <c r="K55"/>
  <c r="K92" s="1"/>
  <c r="V55"/>
  <c r="V92" s="1"/>
  <c r="F55"/>
  <c r="F92" s="1"/>
  <c r="W55"/>
  <c r="W92" s="1"/>
  <c r="H55" l="1"/>
  <c r="H92" s="1"/>
  <c r="X55"/>
  <c r="X92" s="1"/>
  <c r="E55"/>
  <c r="E92" s="1"/>
  <c r="Y55"/>
  <c r="Y92" s="1"/>
  <c r="M55"/>
  <c r="M92" s="1"/>
  <c r="O13" l="1"/>
  <c r="O14" s="1"/>
  <c r="O19" s="1"/>
  <c r="O31" s="1"/>
  <c r="X13"/>
  <c r="X14" s="1"/>
  <c r="T13"/>
  <c r="T14" s="1"/>
  <c r="T19" s="1"/>
  <c r="T31" s="1"/>
  <c r="P13"/>
  <c r="P14" s="1"/>
  <c r="P19" s="1"/>
  <c r="P31" s="1"/>
  <c r="E13"/>
  <c r="E14" s="1"/>
  <c r="E19" s="1"/>
  <c r="U13"/>
  <c r="U14" s="1"/>
  <c r="U19" s="1"/>
  <c r="U31" s="1"/>
  <c r="Q13"/>
  <c r="Q14" s="1"/>
  <c r="Q19" s="1"/>
  <c r="Q31" s="1"/>
  <c r="I13"/>
  <c r="I14" s="1"/>
  <c r="I19" s="1"/>
  <c r="I31" s="1"/>
  <c r="G13"/>
  <c r="G14" s="1"/>
  <c r="G19" s="1"/>
  <c r="G31" s="1"/>
  <c r="V13"/>
  <c r="V14" s="1"/>
  <c r="V19" s="1"/>
  <c r="V31" s="1"/>
  <c r="R13"/>
  <c r="R14" s="1"/>
  <c r="R19" s="1"/>
  <c r="R31" s="1"/>
  <c r="N13"/>
  <c r="N14" s="1"/>
  <c r="N19" s="1"/>
  <c r="N31" s="1"/>
  <c r="J13"/>
  <c r="J14" s="1"/>
  <c r="J19" s="1"/>
  <c r="J31" s="1"/>
  <c r="F13"/>
  <c r="F14" s="1"/>
  <c r="F19" s="1"/>
  <c r="F31" s="1"/>
  <c r="K13"/>
  <c r="K14" s="1"/>
  <c r="K19" s="1"/>
  <c r="K31" s="1"/>
  <c r="L13"/>
  <c r="L14" s="1"/>
  <c r="L19" s="1"/>
  <c r="L31" s="1"/>
  <c r="S13"/>
  <c r="S14" s="1"/>
  <c r="S19" s="1"/>
  <c r="S31" s="1"/>
  <c r="M13" l="1"/>
  <c r="M14" s="1"/>
  <c r="M19" s="1"/>
  <c r="M31" s="1"/>
  <c r="H13"/>
  <c r="H14" s="1"/>
  <c r="H19" s="1"/>
  <c r="H31" s="1"/>
  <c r="W13"/>
  <c r="W14" s="1"/>
  <c r="W19" s="1"/>
  <c r="W31" s="1"/>
  <c r="S44"/>
  <c r="S45"/>
  <c r="Y4" i="10" s="1"/>
  <c r="S46" i="3"/>
  <c r="Y5" i="10" s="1"/>
  <c r="G44" i="3"/>
  <c r="G45"/>
  <c r="M4" i="10" s="1"/>
  <c r="G46" i="3"/>
  <c r="M5" i="10" s="1"/>
  <c r="O45" i="3"/>
  <c r="U4" i="10" s="1"/>
  <c r="O46" i="3"/>
  <c r="U5" i="10" s="1"/>
  <c r="O44" i="3"/>
  <c r="V44"/>
  <c r="V45"/>
  <c r="AB4" i="10" s="1"/>
  <c r="V46" i="3"/>
  <c r="AB5" i="10" s="1"/>
  <c r="Z14" i="3"/>
  <c r="Y19" s="1"/>
  <c r="X19"/>
  <c r="X31" s="1"/>
  <c r="K46"/>
  <c r="Q5" i="10" s="1"/>
  <c r="K45" i="3"/>
  <c r="Q4" i="10" s="1"/>
  <c r="K44" i="3"/>
  <c r="R44"/>
  <c r="R45"/>
  <c r="X4" i="10" s="1"/>
  <c r="R46" i="3"/>
  <c r="X5" i="10" s="1"/>
  <c r="Q45" i="3"/>
  <c r="W4" i="10" s="1"/>
  <c r="Q44" i="3"/>
  <c r="Q46"/>
  <c r="W5" i="10" s="1"/>
  <c r="T45" i="3"/>
  <c r="Z4" i="10" s="1"/>
  <c r="T44" i="3"/>
  <c r="T46"/>
  <c r="Z5" i="10" s="1"/>
  <c r="J46" i="3"/>
  <c r="P5" i="10" s="1"/>
  <c r="J44" i="3"/>
  <c r="J45"/>
  <c r="P4" i="10" s="1"/>
  <c r="E31" i="3"/>
  <c r="F44"/>
  <c r="F46"/>
  <c r="L5" i="10" s="1"/>
  <c r="F45" i="3"/>
  <c r="L4" i="10" s="1"/>
  <c r="U45" i="3"/>
  <c r="AA4" i="10" s="1"/>
  <c r="U44" i="3"/>
  <c r="U46"/>
  <c r="AA5" i="10" s="1"/>
  <c r="L46" i="3"/>
  <c r="R5" i="10" s="1"/>
  <c r="L44" i="3"/>
  <c r="L45"/>
  <c r="R4" i="10" s="1"/>
  <c r="N46" i="3"/>
  <c r="T5" i="10" s="1"/>
  <c r="N44" i="3"/>
  <c r="N45"/>
  <c r="T4" i="10" s="1"/>
  <c r="I45" i="3"/>
  <c r="O4" i="10" s="1"/>
  <c r="I46" i="3"/>
  <c r="O5" i="10" s="1"/>
  <c r="I44" i="3"/>
  <c r="P46"/>
  <c r="V5" i="10" s="1"/>
  <c r="P44" i="3"/>
  <c r="P45"/>
  <c r="V4" i="10" s="1"/>
  <c r="M46" i="3" l="1"/>
  <c r="S5" i="10" s="1"/>
  <c r="M45" i="3"/>
  <c r="S4" i="10" s="1"/>
  <c r="M44" i="3"/>
  <c r="L60"/>
  <c r="L73"/>
  <c r="L81"/>
  <c r="L78"/>
  <c r="L66"/>
  <c r="L72"/>
  <c r="L61"/>
  <c r="L98" s="1"/>
  <c r="L74"/>
  <c r="L83"/>
  <c r="L64"/>
  <c r="L63"/>
  <c r="L57"/>
  <c r="L48"/>
  <c r="L80"/>
  <c r="L84"/>
  <c r="L67"/>
  <c r="L104" s="1"/>
  <c r="L59"/>
  <c r="L68"/>
  <c r="L62"/>
  <c r="L99" s="1"/>
  <c r="L76"/>
  <c r="L65"/>
  <c r="L58"/>
  <c r="L85"/>
  <c r="L122" s="1"/>
  <c r="L71"/>
  <c r="L108" s="1"/>
  <c r="L70"/>
  <c r="L75"/>
  <c r="L79"/>
  <c r="R3" i="10"/>
  <c r="L69" i="3"/>
  <c r="L56"/>
  <c r="L93" s="1"/>
  <c r="L77"/>
  <c r="L82"/>
  <c r="P76"/>
  <c r="P61"/>
  <c r="P77"/>
  <c r="P83"/>
  <c r="P73"/>
  <c r="P71"/>
  <c r="P79"/>
  <c r="P84"/>
  <c r="P67"/>
  <c r="P72"/>
  <c r="P64"/>
  <c r="P80"/>
  <c r="P59"/>
  <c r="P70"/>
  <c r="P56"/>
  <c r="P93" s="1"/>
  <c r="P58"/>
  <c r="P63"/>
  <c r="V3" i="10"/>
  <c r="P60" i="3"/>
  <c r="P66"/>
  <c r="P57"/>
  <c r="P69"/>
  <c r="P82"/>
  <c r="P85"/>
  <c r="P122" s="1"/>
  <c r="P74"/>
  <c r="P111" s="1"/>
  <c r="P81"/>
  <c r="P48"/>
  <c r="P75"/>
  <c r="P62"/>
  <c r="P65"/>
  <c r="P78"/>
  <c r="P115" s="1"/>
  <c r="P68"/>
  <c r="W44"/>
  <c r="W45"/>
  <c r="AC4" i="10" s="1"/>
  <c r="W46" i="3"/>
  <c r="AC5" i="10" s="1"/>
  <c r="Z19" i="3"/>
  <c r="I70"/>
  <c r="I64"/>
  <c r="I56"/>
  <c r="I93" s="1"/>
  <c r="I74"/>
  <c r="I85"/>
  <c r="I57"/>
  <c r="I69"/>
  <c r="I60"/>
  <c r="I81"/>
  <c r="I75"/>
  <c r="I62"/>
  <c r="I61"/>
  <c r="I82"/>
  <c r="I119" s="1"/>
  <c r="I84"/>
  <c r="O3" i="10"/>
  <c r="I68" i="3"/>
  <c r="I77"/>
  <c r="I58"/>
  <c r="I95" s="1"/>
  <c r="I48"/>
  <c r="I71"/>
  <c r="I73"/>
  <c r="I63"/>
  <c r="I72"/>
  <c r="I79"/>
  <c r="I76"/>
  <c r="I83"/>
  <c r="I120" s="1"/>
  <c r="I67"/>
  <c r="I65"/>
  <c r="I59"/>
  <c r="I66"/>
  <c r="I80"/>
  <c r="I78"/>
  <c r="T3" i="10"/>
  <c r="N66" i="3"/>
  <c r="N81"/>
  <c r="N60"/>
  <c r="N85"/>
  <c r="N62"/>
  <c r="N72"/>
  <c r="N74"/>
  <c r="N68"/>
  <c r="N76"/>
  <c r="N78"/>
  <c r="N59"/>
  <c r="N80"/>
  <c r="N64"/>
  <c r="N70"/>
  <c r="N48"/>
  <c r="N67"/>
  <c r="N57"/>
  <c r="N84"/>
  <c r="N65"/>
  <c r="N82"/>
  <c r="N75"/>
  <c r="N73"/>
  <c r="N110" s="1"/>
  <c r="N58"/>
  <c r="N61"/>
  <c r="N83"/>
  <c r="N56"/>
  <c r="N93" s="1"/>
  <c r="N63"/>
  <c r="N77"/>
  <c r="N79"/>
  <c r="N69"/>
  <c r="N71"/>
  <c r="E45"/>
  <c r="K4" i="10" s="1"/>
  <c r="E46" i="3"/>
  <c r="K5" i="10" s="1"/>
  <c r="E44" i="3"/>
  <c r="E37"/>
  <c r="F37" s="1"/>
  <c r="G37" s="1"/>
  <c r="H37" s="1"/>
  <c r="I37" s="1"/>
  <c r="J37" s="1"/>
  <c r="K37" s="1"/>
  <c r="L37" s="1"/>
  <c r="M37" s="1"/>
  <c r="N37" s="1"/>
  <c r="O37" s="1"/>
  <c r="P37" s="1"/>
  <c r="Q37" s="1"/>
  <c r="R37" s="1"/>
  <c r="S37" s="1"/>
  <c r="T37" s="1"/>
  <c r="U37" s="1"/>
  <c r="V37" s="1"/>
  <c r="W37" s="1"/>
  <c r="X37" s="1"/>
  <c r="Z31"/>
  <c r="Q61"/>
  <c r="Q83"/>
  <c r="Q67"/>
  <c r="Q62"/>
  <c r="Q78"/>
  <c r="Q57"/>
  <c r="Q82"/>
  <c r="Q77"/>
  <c r="Q48"/>
  <c r="Q59"/>
  <c r="W3" i="10"/>
  <c r="Q80" i="3"/>
  <c r="Q79"/>
  <c r="Q84"/>
  <c r="Q121" s="1"/>
  <c r="Q73"/>
  <c r="Q66"/>
  <c r="Q71"/>
  <c r="Q63"/>
  <c r="Q76"/>
  <c r="Q70"/>
  <c r="Q64"/>
  <c r="Q56"/>
  <c r="Q93" s="1"/>
  <c r="Q75"/>
  <c r="Q69"/>
  <c r="Q65"/>
  <c r="Q60"/>
  <c r="Q97" s="1"/>
  <c r="Q74"/>
  <c r="Q111" s="1"/>
  <c r="Q72"/>
  <c r="Q58"/>
  <c r="Q85"/>
  <c r="Q122" s="1"/>
  <c r="Q81"/>
  <c r="Q68"/>
  <c r="R59"/>
  <c r="R78"/>
  <c r="R79"/>
  <c r="R48"/>
  <c r="R73"/>
  <c r="X3" i="10"/>
  <c r="R61" i="3"/>
  <c r="R60"/>
  <c r="R57"/>
  <c r="R82"/>
  <c r="R62"/>
  <c r="R99" s="1"/>
  <c r="R66"/>
  <c r="R70"/>
  <c r="R64"/>
  <c r="R58"/>
  <c r="R67"/>
  <c r="R104" s="1"/>
  <c r="R72"/>
  <c r="R75"/>
  <c r="R84"/>
  <c r="R81"/>
  <c r="R63"/>
  <c r="R74"/>
  <c r="R69"/>
  <c r="R71"/>
  <c r="R56"/>
  <c r="R93" s="1"/>
  <c r="R76"/>
  <c r="R113" s="1"/>
  <c r="R85"/>
  <c r="R80"/>
  <c r="R77"/>
  <c r="R68"/>
  <c r="R65"/>
  <c r="R83"/>
  <c r="X46"/>
  <c r="AD5" i="10" s="1"/>
  <c r="X45" i="3"/>
  <c r="AD4" i="10" s="1"/>
  <c r="X44" i="3"/>
  <c r="V84"/>
  <c r="V60"/>
  <c r="V73"/>
  <c r="V80"/>
  <c r="V65"/>
  <c r="V66"/>
  <c r="AB3" i="10"/>
  <c r="V70" i="3"/>
  <c r="V75"/>
  <c r="V63"/>
  <c r="V64"/>
  <c r="V62"/>
  <c r="V68"/>
  <c r="V48"/>
  <c r="V83"/>
  <c r="V72"/>
  <c r="V71"/>
  <c r="V81"/>
  <c r="V77"/>
  <c r="V82"/>
  <c r="V74"/>
  <c r="V69"/>
  <c r="V78"/>
  <c r="V76"/>
  <c r="V85"/>
  <c r="V122" s="1"/>
  <c r="V67"/>
  <c r="V104" s="1"/>
  <c r="V79"/>
  <c r="V116" s="1"/>
  <c r="V58"/>
  <c r="V59"/>
  <c r="V57"/>
  <c r="V61"/>
  <c r="V56"/>
  <c r="V93" s="1"/>
  <c r="H46"/>
  <c r="N5" i="10" s="1"/>
  <c r="H44" i="3"/>
  <c r="H45"/>
  <c r="N4" i="10" s="1"/>
  <c r="U84" i="3"/>
  <c r="U71"/>
  <c r="U85"/>
  <c r="U56"/>
  <c r="U93" s="1"/>
  <c r="U58"/>
  <c r="U72"/>
  <c r="U109" s="1"/>
  <c r="U74"/>
  <c r="U76"/>
  <c r="U70"/>
  <c r="U60"/>
  <c r="U73"/>
  <c r="U82"/>
  <c r="AA3" i="10"/>
  <c r="U75" i="3"/>
  <c r="U65"/>
  <c r="U57"/>
  <c r="U94" s="1"/>
  <c r="U48"/>
  <c r="U80"/>
  <c r="U77"/>
  <c r="U67"/>
  <c r="U61"/>
  <c r="U78"/>
  <c r="U59"/>
  <c r="U63"/>
  <c r="U69"/>
  <c r="U68"/>
  <c r="U66"/>
  <c r="U103" s="1"/>
  <c r="U79"/>
  <c r="U81"/>
  <c r="U64"/>
  <c r="U62"/>
  <c r="U83"/>
  <c r="U120" s="1"/>
  <c r="F65"/>
  <c r="F61"/>
  <c r="F63"/>
  <c r="F67"/>
  <c r="F80"/>
  <c r="F69"/>
  <c r="F73"/>
  <c r="L3" i="10"/>
  <c r="F58" i="3"/>
  <c r="F82"/>
  <c r="F66"/>
  <c r="F83"/>
  <c r="F74"/>
  <c r="F76"/>
  <c r="F71"/>
  <c r="F77"/>
  <c r="F75"/>
  <c r="F48"/>
  <c r="F59"/>
  <c r="F56"/>
  <c r="F93" s="1"/>
  <c r="F79"/>
  <c r="F62"/>
  <c r="F99" s="1"/>
  <c r="F81"/>
  <c r="F64"/>
  <c r="F84"/>
  <c r="F85"/>
  <c r="F60"/>
  <c r="F97" s="1"/>
  <c r="F72"/>
  <c r="F78"/>
  <c r="F57"/>
  <c r="F70"/>
  <c r="F68"/>
  <c r="F105" s="1"/>
  <c r="J65"/>
  <c r="J66"/>
  <c r="J61"/>
  <c r="J59"/>
  <c r="J78"/>
  <c r="J77"/>
  <c r="J63"/>
  <c r="J60"/>
  <c r="J97" s="1"/>
  <c r="J69"/>
  <c r="J67"/>
  <c r="J104" s="1"/>
  <c r="J73"/>
  <c r="J75"/>
  <c r="J64"/>
  <c r="J76"/>
  <c r="J68"/>
  <c r="J84"/>
  <c r="J71"/>
  <c r="J48"/>
  <c r="P3" i="10"/>
  <c r="J83" i="3"/>
  <c r="J56"/>
  <c r="J93" s="1"/>
  <c r="J74"/>
  <c r="J80"/>
  <c r="J58"/>
  <c r="J62"/>
  <c r="J82"/>
  <c r="J72"/>
  <c r="J57"/>
  <c r="J79"/>
  <c r="J116" s="1"/>
  <c r="J81"/>
  <c r="J70"/>
  <c r="J85"/>
  <c r="J122" s="1"/>
  <c r="G84"/>
  <c r="G79"/>
  <c r="G83"/>
  <c r="G70"/>
  <c r="G66"/>
  <c r="M3" i="10"/>
  <c r="G78" i="3"/>
  <c r="G62"/>
  <c r="G76"/>
  <c r="G71"/>
  <c r="G61"/>
  <c r="G75"/>
  <c r="G72"/>
  <c r="G69"/>
  <c r="G74"/>
  <c r="G80"/>
  <c r="G67"/>
  <c r="G104" s="1"/>
  <c r="G59"/>
  <c r="G68"/>
  <c r="G77"/>
  <c r="G63"/>
  <c r="G60"/>
  <c r="G58"/>
  <c r="G57"/>
  <c r="G73"/>
  <c r="G110" s="1"/>
  <c r="G56"/>
  <c r="G93" s="1"/>
  <c r="G65"/>
  <c r="G64"/>
  <c r="G85"/>
  <c r="G122" s="1"/>
  <c r="G48"/>
  <c r="G81"/>
  <c r="G82"/>
  <c r="Z3" i="10"/>
  <c r="T62" i="3"/>
  <c r="T82"/>
  <c r="T58"/>
  <c r="T70"/>
  <c r="T84"/>
  <c r="T57"/>
  <c r="T75"/>
  <c r="T74"/>
  <c r="T73"/>
  <c r="T78"/>
  <c r="T72"/>
  <c r="T48"/>
  <c r="T71"/>
  <c r="T83"/>
  <c r="T85"/>
  <c r="T77"/>
  <c r="T65"/>
  <c r="T76"/>
  <c r="T61"/>
  <c r="T60"/>
  <c r="T56"/>
  <c r="T93" s="1"/>
  <c r="T63"/>
  <c r="T64"/>
  <c r="T68"/>
  <c r="T67"/>
  <c r="T80"/>
  <c r="T66"/>
  <c r="T69"/>
  <c r="T59"/>
  <c r="T81"/>
  <c r="T79"/>
  <c r="K69"/>
  <c r="K85"/>
  <c r="K74"/>
  <c r="K78"/>
  <c r="K48"/>
  <c r="K66"/>
  <c r="K64"/>
  <c r="K71"/>
  <c r="K61"/>
  <c r="K70"/>
  <c r="K82"/>
  <c r="K68"/>
  <c r="K81"/>
  <c r="K76"/>
  <c r="K67"/>
  <c r="K58"/>
  <c r="K62"/>
  <c r="K99" s="1"/>
  <c r="K73"/>
  <c r="K80"/>
  <c r="K65"/>
  <c r="K72"/>
  <c r="K59"/>
  <c r="K79"/>
  <c r="K63"/>
  <c r="Q3" i="10"/>
  <c r="K60" i="3"/>
  <c r="K83"/>
  <c r="K120" s="1"/>
  <c r="K77"/>
  <c r="K57"/>
  <c r="K75"/>
  <c r="K56"/>
  <c r="K93" s="1"/>
  <c r="K84"/>
  <c r="Y45"/>
  <c r="AE4" i="10" s="1"/>
  <c r="Y37" i="3"/>
  <c r="Y44"/>
  <c r="Y46"/>
  <c r="AE5" i="10" s="1"/>
  <c r="Y31" i="3"/>
  <c r="U3" i="10"/>
  <c r="O57" i="3"/>
  <c r="O81"/>
  <c r="O66"/>
  <c r="O67"/>
  <c r="O71"/>
  <c r="O69"/>
  <c r="O48"/>
  <c r="O75"/>
  <c r="O56"/>
  <c r="O93" s="1"/>
  <c r="O62"/>
  <c r="O85"/>
  <c r="O68"/>
  <c r="O64"/>
  <c r="O65"/>
  <c r="O60"/>
  <c r="O58"/>
  <c r="O63"/>
  <c r="O59"/>
  <c r="O80"/>
  <c r="O82"/>
  <c r="O61"/>
  <c r="O72"/>
  <c r="O78"/>
  <c r="O84"/>
  <c r="O74"/>
  <c r="O73"/>
  <c r="O79"/>
  <c r="O116" s="1"/>
  <c r="O76"/>
  <c r="O113" s="1"/>
  <c r="O70"/>
  <c r="O83"/>
  <c r="O77"/>
  <c r="S66"/>
  <c r="S57"/>
  <c r="S48"/>
  <c r="S77"/>
  <c r="S61"/>
  <c r="S64"/>
  <c r="S62"/>
  <c r="S67"/>
  <c r="S60"/>
  <c r="S72"/>
  <c r="Y3" i="10"/>
  <c r="S69" i="3"/>
  <c r="S59"/>
  <c r="S74"/>
  <c r="S56"/>
  <c r="S93" s="1"/>
  <c r="S81"/>
  <c r="S58"/>
  <c r="S65"/>
  <c r="S102" s="1"/>
  <c r="S84"/>
  <c r="S80"/>
  <c r="S85"/>
  <c r="S82"/>
  <c r="S63"/>
  <c r="S100" s="1"/>
  <c r="S75"/>
  <c r="S73"/>
  <c r="S68"/>
  <c r="S76"/>
  <c r="S83"/>
  <c r="S79"/>
  <c r="S78"/>
  <c r="S71"/>
  <c r="S70"/>
  <c r="S107" s="1"/>
  <c r="T120" l="1"/>
  <c r="I98"/>
  <c r="K97"/>
  <c r="V115"/>
  <c r="R122"/>
  <c r="P121"/>
  <c r="O105"/>
  <c r="G97"/>
  <c r="T100"/>
  <c r="T106"/>
  <c r="Q102"/>
  <c r="P109"/>
  <c r="O110"/>
  <c r="S99"/>
  <c r="O120"/>
  <c r="O96"/>
  <c r="O106"/>
  <c r="K114"/>
  <c r="K108"/>
  <c r="T103"/>
  <c r="T122"/>
  <c r="T109"/>
  <c r="G94"/>
  <c r="G117"/>
  <c r="G107"/>
  <c r="J120"/>
  <c r="J112"/>
  <c r="F114"/>
  <c r="F120"/>
  <c r="U116"/>
  <c r="U113"/>
  <c r="R105"/>
  <c r="R119"/>
  <c r="Q100"/>
  <c r="N106"/>
  <c r="N115"/>
  <c r="N118"/>
  <c r="P97"/>
  <c r="P101"/>
  <c r="P114"/>
  <c r="L121"/>
  <c r="F112"/>
  <c r="S108"/>
  <c r="S113"/>
  <c r="S121"/>
  <c r="O118"/>
  <c r="K100"/>
  <c r="K95"/>
  <c r="T98"/>
  <c r="T112"/>
  <c r="G101"/>
  <c r="G114"/>
  <c r="J94"/>
  <c r="L114"/>
  <c r="L116"/>
  <c r="T105"/>
  <c r="T111"/>
  <c r="G109"/>
  <c r="U118"/>
  <c r="U98"/>
  <c r="V113"/>
  <c r="R98"/>
  <c r="Q118"/>
  <c r="I115"/>
  <c r="I108"/>
  <c r="P105"/>
  <c r="P112"/>
  <c r="P95"/>
  <c r="S117"/>
  <c r="S104"/>
  <c r="O114"/>
  <c r="O122"/>
  <c r="K98"/>
  <c r="T97"/>
  <c r="J115"/>
  <c r="F95"/>
  <c r="U106"/>
  <c r="V109"/>
  <c r="R121"/>
  <c r="Q110"/>
  <c r="Q104"/>
  <c r="I97"/>
  <c r="I111"/>
  <c r="K121"/>
  <c r="K102"/>
  <c r="K105"/>
  <c r="T116"/>
  <c r="T101"/>
  <c r="T95"/>
  <c r="G119"/>
  <c r="G112"/>
  <c r="G99"/>
  <c r="F109"/>
  <c r="F101"/>
  <c r="F104"/>
  <c r="U100"/>
  <c r="U104"/>
  <c r="U119"/>
  <c r="V98"/>
  <c r="V114"/>
  <c r="V120"/>
  <c r="V101"/>
  <c r="V110"/>
  <c r="R111"/>
  <c r="R101"/>
  <c r="R115"/>
  <c r="Q96"/>
  <c r="Q120"/>
  <c r="N121"/>
  <c r="N109"/>
  <c r="I117"/>
  <c r="I104"/>
  <c r="I109"/>
  <c r="I99"/>
  <c r="I106"/>
  <c r="P119"/>
  <c r="L118"/>
  <c r="R95"/>
  <c r="N100"/>
  <c r="N95"/>
  <c r="N102"/>
  <c r="I102"/>
  <c r="P103"/>
  <c r="L113"/>
  <c r="L94"/>
  <c r="L111"/>
  <c r="T118"/>
  <c r="Q116"/>
  <c r="O109"/>
  <c r="O102"/>
  <c r="O99"/>
  <c r="S120"/>
  <c r="S112"/>
  <c r="S106"/>
  <c r="K94"/>
  <c r="K118"/>
  <c r="T114"/>
  <c r="G103"/>
  <c r="G121"/>
  <c r="J99"/>
  <c r="J108"/>
  <c r="J101"/>
  <c r="J106"/>
  <c r="F111"/>
  <c r="V95"/>
  <c r="V119"/>
  <c r="V107"/>
  <c r="S116"/>
  <c r="S110"/>
  <c r="S95"/>
  <c r="S103"/>
  <c r="O95"/>
  <c r="K112"/>
  <c r="T121"/>
  <c r="G96"/>
  <c r="G106"/>
  <c r="G116"/>
  <c r="J118"/>
  <c r="J111"/>
  <c r="F119"/>
  <c r="F98"/>
  <c r="U115"/>
  <c r="U112"/>
  <c r="U97"/>
  <c r="V105"/>
  <c r="R108"/>
  <c r="R97"/>
  <c r="Q109"/>
  <c r="Q117"/>
  <c r="Q99"/>
  <c r="N114"/>
  <c r="N104"/>
  <c r="I96"/>
  <c r="I113"/>
  <c r="P99"/>
  <c r="L106"/>
  <c r="L102"/>
  <c r="X76"/>
  <c r="X61"/>
  <c r="AD3" i="10"/>
  <c r="X57" i="3"/>
  <c r="X60"/>
  <c r="X64"/>
  <c r="X75"/>
  <c r="X67"/>
  <c r="X81"/>
  <c r="X69"/>
  <c r="X84"/>
  <c r="X68"/>
  <c r="X83"/>
  <c r="X74"/>
  <c r="X80"/>
  <c r="X79"/>
  <c r="X70"/>
  <c r="X85"/>
  <c r="X48"/>
  <c r="X73"/>
  <c r="X78"/>
  <c r="X59"/>
  <c r="X66"/>
  <c r="X62"/>
  <c r="X77"/>
  <c r="X114" s="1"/>
  <c r="X71"/>
  <c r="X72"/>
  <c r="X58"/>
  <c r="X95" s="1"/>
  <c r="X56"/>
  <c r="X93" s="1"/>
  <c r="X65"/>
  <c r="X82"/>
  <c r="X63"/>
  <c r="X100" s="1"/>
  <c r="M78"/>
  <c r="M79"/>
  <c r="M74"/>
  <c r="M83"/>
  <c r="M80"/>
  <c r="M63"/>
  <c r="M82"/>
  <c r="M58"/>
  <c r="M57"/>
  <c r="M76"/>
  <c r="M66"/>
  <c r="M69"/>
  <c r="M70"/>
  <c r="M73"/>
  <c r="M72"/>
  <c r="S3" i="10"/>
  <c r="M60" i="3"/>
  <c r="M67"/>
  <c r="M84"/>
  <c r="M65"/>
  <c r="M68"/>
  <c r="M85"/>
  <c r="M77"/>
  <c r="M48"/>
  <c r="M81"/>
  <c r="M118" s="1"/>
  <c r="M64"/>
  <c r="M101" s="1"/>
  <c r="M71"/>
  <c r="M56"/>
  <c r="M93" s="1"/>
  <c r="M75"/>
  <c r="M62"/>
  <c r="M61"/>
  <c r="M59"/>
  <c r="M96" s="1"/>
  <c r="Y77"/>
  <c r="Y60"/>
  <c r="Y83"/>
  <c r="Y56"/>
  <c r="Y93" s="1"/>
  <c r="Y84"/>
  <c r="Y76"/>
  <c r="Y80"/>
  <c r="Y79"/>
  <c r="AE3" i="10"/>
  <c r="Y64" i="3"/>
  <c r="Y72"/>
  <c r="Y82"/>
  <c r="Y74"/>
  <c r="Y48"/>
  <c r="Y68"/>
  <c r="Y69"/>
  <c r="Y70"/>
  <c r="Y65"/>
  <c r="Y102" s="1"/>
  <c r="Y66"/>
  <c r="Y75"/>
  <c r="Y85"/>
  <c r="Y122" s="1"/>
  <c r="Y58"/>
  <c r="Y61"/>
  <c r="Y63"/>
  <c r="Y71"/>
  <c r="Y108" s="1"/>
  <c r="Y81"/>
  <c r="Y67"/>
  <c r="Y104" s="1"/>
  <c r="Y73"/>
  <c r="Y62"/>
  <c r="Y59"/>
  <c r="Y96" s="1"/>
  <c r="Y57"/>
  <c r="Y78"/>
  <c r="H56"/>
  <c r="H93" s="1"/>
  <c r="H80"/>
  <c r="H64"/>
  <c r="H82"/>
  <c r="H79"/>
  <c r="H85"/>
  <c r="H69"/>
  <c r="H83"/>
  <c r="H120" s="1"/>
  <c r="H77"/>
  <c r="H57"/>
  <c r="H61"/>
  <c r="H81"/>
  <c r="H74"/>
  <c r="H68"/>
  <c r="H73"/>
  <c r="N3" i="10"/>
  <c r="H60" i="3"/>
  <c r="H58"/>
  <c r="H95" s="1"/>
  <c r="H78"/>
  <c r="H70"/>
  <c r="H59"/>
  <c r="H75"/>
  <c r="H62"/>
  <c r="H99" s="1"/>
  <c r="H71"/>
  <c r="H108" s="1"/>
  <c r="H67"/>
  <c r="H84"/>
  <c r="H65"/>
  <c r="H102" s="1"/>
  <c r="H48"/>
  <c r="H63"/>
  <c r="H66"/>
  <c r="H72"/>
  <c r="H76"/>
  <c r="J96"/>
  <c r="Q94"/>
  <c r="N107"/>
  <c r="P116"/>
  <c r="L100"/>
  <c r="O117"/>
  <c r="O97"/>
  <c r="O103"/>
  <c r="T107"/>
  <c r="G100"/>
  <c r="G113"/>
  <c r="F115"/>
  <c r="F116"/>
  <c r="U121"/>
  <c r="V117"/>
  <c r="R102"/>
  <c r="Q112"/>
  <c r="N111"/>
  <c r="N97"/>
  <c r="I116"/>
  <c r="I105"/>
  <c r="L119"/>
  <c r="L115"/>
  <c r="S115"/>
  <c r="S105"/>
  <c r="S119"/>
  <c r="S111"/>
  <c r="S109"/>
  <c r="S101"/>
  <c r="S94"/>
  <c r="O107"/>
  <c r="O111"/>
  <c r="O98"/>
  <c r="O100"/>
  <c r="O101"/>
  <c r="O108"/>
  <c r="O94"/>
  <c r="K116"/>
  <c r="K117"/>
  <c r="K104"/>
  <c r="K119"/>
  <c r="K101"/>
  <c r="K111"/>
  <c r="T117"/>
  <c r="T113"/>
  <c r="T115"/>
  <c r="T94"/>
  <c r="T119"/>
  <c r="G118"/>
  <c r="G102"/>
  <c r="G95"/>
  <c r="G105"/>
  <c r="G111"/>
  <c r="G98"/>
  <c r="G115"/>
  <c r="G120"/>
  <c r="J107"/>
  <c r="J109"/>
  <c r="J117"/>
  <c r="J105"/>
  <c r="J110"/>
  <c r="J100"/>
  <c r="J98"/>
  <c r="F107"/>
  <c r="F118"/>
  <c r="F96"/>
  <c r="F108"/>
  <c r="F103"/>
  <c r="F110"/>
  <c r="F100"/>
  <c r="U99"/>
  <c r="U96"/>
  <c r="U114"/>
  <c r="U102"/>
  <c r="U110"/>
  <c r="U111"/>
  <c r="U122"/>
  <c r="V94"/>
  <c r="V106"/>
  <c r="V118"/>
  <c r="V100"/>
  <c r="V103"/>
  <c r="V97"/>
  <c r="R114"/>
  <c r="R100"/>
  <c r="R109"/>
  <c r="R107"/>
  <c r="R94"/>
  <c r="R110"/>
  <c r="R96"/>
  <c r="Q95"/>
  <c r="Q101"/>
  <c r="Q108"/>
  <c r="Q115"/>
  <c r="Q98"/>
  <c r="N116"/>
  <c r="N120"/>
  <c r="N112"/>
  <c r="N94"/>
  <c r="N101"/>
  <c r="N113"/>
  <c r="N99"/>
  <c r="N103"/>
  <c r="I103"/>
  <c r="I100"/>
  <c r="I121"/>
  <c r="I112"/>
  <c r="I94"/>
  <c r="I101"/>
  <c r="P102"/>
  <c r="P118"/>
  <c r="P106"/>
  <c r="P107"/>
  <c r="P108"/>
  <c r="P98"/>
  <c r="L112"/>
  <c r="L95"/>
  <c r="L105"/>
  <c r="L117"/>
  <c r="L101"/>
  <c r="L109"/>
  <c r="L110"/>
  <c r="E48"/>
  <c r="E64"/>
  <c r="E78"/>
  <c r="E68"/>
  <c r="E73"/>
  <c r="E62"/>
  <c r="E85"/>
  <c r="E70"/>
  <c r="E72"/>
  <c r="E66"/>
  <c r="K3" i="10"/>
  <c r="E76" i="3"/>
  <c r="E56"/>
  <c r="E93" s="1"/>
  <c r="C10"/>
  <c r="E59"/>
  <c r="E81"/>
  <c r="E69"/>
  <c r="E82"/>
  <c r="E65"/>
  <c r="E84"/>
  <c r="E60"/>
  <c r="E57"/>
  <c r="E74"/>
  <c r="E61"/>
  <c r="E58"/>
  <c r="E80"/>
  <c r="E63"/>
  <c r="E75"/>
  <c r="E79"/>
  <c r="E83"/>
  <c r="E120" s="1"/>
  <c r="E67"/>
  <c r="E71"/>
  <c r="E108" s="1"/>
  <c r="E77"/>
  <c r="W63"/>
  <c r="W61"/>
  <c r="W64"/>
  <c r="W69"/>
  <c r="W59"/>
  <c r="W65"/>
  <c r="W76"/>
  <c r="W85"/>
  <c r="W58"/>
  <c r="W56"/>
  <c r="W93" s="1"/>
  <c r="W83"/>
  <c r="W48"/>
  <c r="W74"/>
  <c r="W80"/>
  <c r="W81"/>
  <c r="W71"/>
  <c r="AC3" i="10"/>
  <c r="W78" i="3"/>
  <c r="W62"/>
  <c r="W75"/>
  <c r="W82"/>
  <c r="W72"/>
  <c r="W66"/>
  <c r="W70"/>
  <c r="W107" s="1"/>
  <c r="W79"/>
  <c r="W73"/>
  <c r="W84"/>
  <c r="W121" s="1"/>
  <c r="W67"/>
  <c r="W68"/>
  <c r="W60"/>
  <c r="W77"/>
  <c r="W114" s="1"/>
  <c r="W57"/>
  <c r="K115"/>
  <c r="J95"/>
  <c r="J121"/>
  <c r="R112"/>
  <c r="S118"/>
  <c r="S114"/>
  <c r="O115"/>
  <c r="K109"/>
  <c r="K106"/>
  <c r="J102"/>
  <c r="F121"/>
  <c r="F117"/>
  <c r="F102"/>
  <c r="U107"/>
  <c r="U95"/>
  <c r="V99"/>
  <c r="R106"/>
  <c r="R116"/>
  <c r="Q113"/>
  <c r="Q119"/>
  <c r="N108"/>
  <c r="N96"/>
  <c r="P117"/>
  <c r="P120"/>
  <c r="S122"/>
  <c r="S96"/>
  <c r="S97"/>
  <c r="S98"/>
  <c r="O121"/>
  <c r="O119"/>
  <c r="O112"/>
  <c r="O104"/>
  <c r="K96"/>
  <c r="K110"/>
  <c r="K113"/>
  <c r="K107"/>
  <c r="K103"/>
  <c r="K122"/>
  <c r="T96"/>
  <c r="T104"/>
  <c r="T102"/>
  <c r="T108"/>
  <c r="T110"/>
  <c r="T99"/>
  <c r="G108"/>
  <c r="J119"/>
  <c r="J113"/>
  <c r="J114"/>
  <c r="J103"/>
  <c r="F94"/>
  <c r="F122"/>
  <c r="F113"/>
  <c r="F106"/>
  <c r="U101"/>
  <c r="U105"/>
  <c r="U117"/>
  <c r="U108"/>
  <c r="V96"/>
  <c r="V111"/>
  <c r="V108"/>
  <c r="V112"/>
  <c r="V102"/>
  <c r="V121"/>
  <c r="R120"/>
  <c r="R117"/>
  <c r="R118"/>
  <c r="R103"/>
  <c r="Q105"/>
  <c r="Q106"/>
  <c r="Q107"/>
  <c r="Q103"/>
  <c r="Q114"/>
  <c r="N98"/>
  <c r="N119"/>
  <c r="N117"/>
  <c r="N105"/>
  <c r="N122"/>
  <c r="I110"/>
  <c r="I114"/>
  <c r="I118"/>
  <c r="I122"/>
  <c r="I107"/>
  <c r="P94"/>
  <c r="P100"/>
  <c r="P96"/>
  <c r="P104"/>
  <c r="P110"/>
  <c r="P113"/>
  <c r="L107"/>
  <c r="L96"/>
  <c r="L120"/>
  <c r="L103"/>
  <c r="L97"/>
  <c r="X102" l="1"/>
  <c r="W110"/>
  <c r="W102"/>
  <c r="Y115"/>
  <c r="G124"/>
  <c r="H115"/>
  <c r="H98"/>
  <c r="M98"/>
  <c r="M108"/>
  <c r="X119"/>
  <c r="X105"/>
  <c r="W115"/>
  <c r="E122"/>
  <c r="W105"/>
  <c r="E117"/>
  <c r="E94"/>
  <c r="N124"/>
  <c r="V124"/>
  <c r="T124"/>
  <c r="H109"/>
  <c r="H101"/>
  <c r="Y94"/>
  <c r="Y109"/>
  <c r="Y117"/>
  <c r="Y120"/>
  <c r="M121"/>
  <c r="M103"/>
  <c r="M119"/>
  <c r="X117"/>
  <c r="X121"/>
  <c r="J124"/>
  <c r="E100"/>
  <c r="H114"/>
  <c r="Y107"/>
  <c r="Y111"/>
  <c r="M97"/>
  <c r="M107"/>
  <c r="M94"/>
  <c r="P124"/>
  <c r="K124"/>
  <c r="I124"/>
  <c r="R124"/>
  <c r="F124"/>
  <c r="W97"/>
  <c r="W109"/>
  <c r="W117"/>
  <c r="E104"/>
  <c r="E111"/>
  <c r="E102"/>
  <c r="E96"/>
  <c r="E115"/>
  <c r="L124"/>
  <c r="O124"/>
  <c r="U124"/>
  <c r="W120"/>
  <c r="W113"/>
  <c r="W101"/>
  <c r="E98"/>
  <c r="E121"/>
  <c r="E118"/>
  <c r="E107"/>
  <c r="S124"/>
  <c r="Q124"/>
  <c r="H103"/>
  <c r="H121"/>
  <c r="H112"/>
  <c r="H105"/>
  <c r="H94"/>
  <c r="H117"/>
  <c r="Y118"/>
  <c r="Y95"/>
  <c r="Y101"/>
  <c r="Y113"/>
  <c r="M99"/>
  <c r="M122"/>
  <c r="M104"/>
  <c r="M110"/>
  <c r="M113"/>
  <c r="M116"/>
  <c r="X108"/>
  <c r="X96"/>
  <c r="X122"/>
  <c r="X111"/>
  <c r="X106"/>
  <c r="X101"/>
  <c r="X98"/>
  <c r="W98"/>
  <c r="H122"/>
  <c r="M100"/>
  <c r="W103"/>
  <c r="W118"/>
  <c r="E113"/>
  <c r="E105"/>
  <c r="Y103"/>
  <c r="Y105"/>
  <c r="X103"/>
  <c r="W116"/>
  <c r="W119"/>
  <c r="W111"/>
  <c r="W95"/>
  <c r="W96"/>
  <c r="W100"/>
  <c r="E119"/>
  <c r="E103"/>
  <c r="E99"/>
  <c r="E101"/>
  <c r="H100"/>
  <c r="H104"/>
  <c r="H96"/>
  <c r="H97"/>
  <c r="H111"/>
  <c r="H116"/>
  <c r="Y99"/>
  <c r="Y121"/>
  <c r="Y114"/>
  <c r="M112"/>
  <c r="M105"/>
  <c r="M117"/>
  <c r="M115"/>
  <c r="X115"/>
  <c r="X107"/>
  <c r="X120"/>
  <c r="X118"/>
  <c r="X97"/>
  <c r="X113"/>
  <c r="Y97"/>
  <c r="W99"/>
  <c r="E112"/>
  <c r="H110"/>
  <c r="H106"/>
  <c r="Y98"/>
  <c r="M114"/>
  <c r="M109"/>
  <c r="M111"/>
  <c r="X109"/>
  <c r="X112"/>
  <c r="W94"/>
  <c r="W104"/>
  <c r="W112"/>
  <c r="W108"/>
  <c r="W122"/>
  <c r="W106"/>
  <c r="E114"/>
  <c r="E116"/>
  <c r="E95"/>
  <c r="E97"/>
  <c r="E106"/>
  <c r="E109"/>
  <c r="E110"/>
  <c r="H113"/>
  <c r="H107"/>
  <c r="H118"/>
  <c r="H119"/>
  <c r="Y110"/>
  <c r="Y100"/>
  <c r="Y112"/>
  <c r="Y106"/>
  <c r="Y119"/>
  <c r="Y116"/>
  <c r="M102"/>
  <c r="M106"/>
  <c r="M95"/>
  <c r="M120"/>
  <c r="X99"/>
  <c r="X110"/>
  <c r="X116"/>
  <c r="X104"/>
  <c r="X94"/>
  <c r="E124" l="1"/>
  <c r="E125" s="1"/>
  <c r="F125" s="1"/>
  <c r="G125" s="1"/>
  <c r="X124"/>
  <c r="Y125"/>
  <c r="H124"/>
  <c r="W124"/>
  <c r="M124"/>
  <c r="H125" l="1"/>
  <c r="I125" s="1"/>
  <c r="J125" s="1"/>
  <c r="K125" s="1"/>
  <c r="L125" s="1"/>
  <c r="M125" s="1"/>
  <c r="N125" s="1"/>
  <c r="O125" s="1"/>
  <c r="P125" s="1"/>
  <c r="Q125" s="1"/>
  <c r="R125" s="1"/>
  <c r="S125" s="1"/>
  <c r="T125" s="1"/>
  <c r="U125" s="1"/>
  <c r="V125" s="1"/>
  <c r="W125" s="1"/>
  <c r="X125"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robert.huang</author>
    <author>Charlie Grist</author>
  </authors>
  <commentList>
    <comment ref="E3" authorId="0">
      <text>
        <r>
          <rPr>
            <b/>
            <sz val="9"/>
            <color indexed="81"/>
            <rFont val="Tahoma"/>
            <family val="2"/>
          </rPr>
          <t>robert.huang:</t>
        </r>
        <r>
          <rPr>
            <sz val="9"/>
            <color indexed="81"/>
            <rFont val="Tahoma"/>
            <family val="2"/>
          </rPr>
          <t xml:space="preserve">
From unpublished NYSERDA work</t>
        </r>
      </text>
    </comment>
    <comment ref="I3" authorId="0">
      <text>
        <r>
          <rPr>
            <b/>
            <sz val="9"/>
            <color indexed="81"/>
            <rFont val="Tahoma"/>
            <family val="2"/>
          </rPr>
          <t>robert.huang:</t>
        </r>
        <r>
          <rPr>
            <sz val="9"/>
            <color indexed="81"/>
            <rFont val="Tahoma"/>
            <family val="2"/>
          </rPr>
          <t xml:space="preserve">
Assumed average commercial rate across US, based on EPA data
</t>
        </r>
      </text>
    </comment>
    <comment ref="K3" authorId="0">
      <text>
        <r>
          <rPr>
            <b/>
            <sz val="9"/>
            <color indexed="81"/>
            <rFont val="Tahoma"/>
            <family val="2"/>
          </rPr>
          <t>robert.huang:</t>
        </r>
        <r>
          <rPr>
            <sz val="9"/>
            <color indexed="81"/>
            <rFont val="Tahoma"/>
            <family val="2"/>
          </rPr>
          <t xml:space="preserve">
From Massoud's estimates for Localized DCs.</t>
        </r>
      </text>
    </comment>
    <comment ref="L3" authorId="0">
      <text>
        <r>
          <rPr>
            <b/>
            <sz val="9"/>
            <color indexed="81"/>
            <rFont val="Tahoma"/>
            <family val="2"/>
          </rPr>
          <t>robert.huang:</t>
        </r>
        <r>
          <rPr>
            <sz val="9"/>
            <color indexed="81"/>
            <rFont val="Tahoma"/>
            <family val="2"/>
          </rPr>
          <t xml:space="preserve">
Provided by Charlie Grist, NWPCC</t>
        </r>
      </text>
    </comment>
    <comment ref="N3" authorId="0">
      <text>
        <r>
          <rPr>
            <b/>
            <sz val="9"/>
            <color indexed="81"/>
            <rFont val="Tahoma"/>
            <family val="2"/>
          </rPr>
          <t>robert.huang:</t>
        </r>
        <r>
          <rPr>
            <sz val="9"/>
            <color indexed="81"/>
            <rFont val="Tahoma"/>
            <family val="2"/>
          </rPr>
          <t xml:space="preserve">
Based on examination of NPCC model.</t>
        </r>
      </text>
    </comment>
    <comment ref="F4" authorId="1">
      <text>
        <r>
          <rPr>
            <b/>
            <sz val="9"/>
            <color indexed="81"/>
            <rFont val="Tahoma"/>
            <family val="2"/>
          </rPr>
          <t>Charlie Grist:</t>
        </r>
        <r>
          <rPr>
            <sz val="9"/>
            <color indexed="81"/>
            <rFont val="Tahoma"/>
            <family val="2"/>
          </rPr>
          <t xml:space="preserve">
Revised to add some cost.  </t>
        </r>
      </text>
    </comment>
    <comment ref="G4" authorId="1">
      <text>
        <r>
          <rPr>
            <b/>
            <sz val="9"/>
            <color indexed="81"/>
            <rFont val="Tahoma"/>
            <family val="2"/>
          </rPr>
          <t>Charlie Grist:</t>
        </r>
        <r>
          <rPr>
            <sz val="9"/>
            <color indexed="81"/>
            <rFont val="Tahoma"/>
            <family val="2"/>
          </rPr>
          <t xml:space="preserve">
Revised to add some cost.  </t>
        </r>
      </text>
    </comment>
    <comment ref="M4" authorId="1">
      <text>
        <r>
          <rPr>
            <b/>
            <sz val="9"/>
            <color indexed="81"/>
            <rFont val="Tahoma"/>
            <family val="2"/>
          </rPr>
          <t>Charlie Grist:</t>
        </r>
        <r>
          <rPr>
            <sz val="9"/>
            <color indexed="81"/>
            <rFont val="Tahoma"/>
            <family val="2"/>
          </rPr>
          <t xml:space="preserve">
Revised to add some cost.  </t>
        </r>
      </text>
    </comment>
    <comment ref="K12" authorId="1">
      <text>
        <r>
          <rPr>
            <b/>
            <sz val="9"/>
            <color indexed="81"/>
            <rFont val="Tahoma"/>
            <family val="2"/>
          </rPr>
          <t>Charlie Grist:</t>
        </r>
        <r>
          <rPr>
            <sz val="9"/>
            <color indexed="81"/>
            <rFont val="Tahoma"/>
            <family val="2"/>
          </rPr>
          <t xml:space="preserve">
Revised to 15 years based on Green Grid and comment from BPA.</t>
        </r>
      </text>
    </comment>
    <comment ref="H13" authorId="1">
      <text>
        <r>
          <rPr>
            <b/>
            <sz val="9"/>
            <color indexed="81"/>
            <rFont val="Tahoma"/>
            <family val="2"/>
          </rPr>
          <t>Charlie Grist:</t>
        </r>
        <r>
          <rPr>
            <sz val="9"/>
            <color indexed="81"/>
            <rFont val="Tahoma"/>
            <family val="2"/>
          </rPr>
          <t xml:space="preserve">
Revised upward from 2.6 based on lower assumed hours of  lighting operation.</t>
        </r>
      </text>
    </comment>
  </commentList>
</comments>
</file>

<file path=xl/comments4.xml><?xml version="1.0" encoding="utf-8"?>
<comments xmlns="http://schemas.openxmlformats.org/spreadsheetml/2006/main">
  <authors>
    <author>Navigant</author>
  </authors>
  <commentList>
    <comment ref="C41" authorId="0">
      <text>
        <r>
          <rPr>
            <b/>
            <sz val="9"/>
            <color indexed="81"/>
            <rFont val="Tahoma"/>
            <family val="2"/>
          </rPr>
          <t>Navigant:</t>
        </r>
        <r>
          <rPr>
            <sz val="9"/>
            <color indexed="81"/>
            <rFont val="Tahoma"/>
            <family val="2"/>
          </rPr>
          <t xml:space="preserve">
Updated to 0 from 0.03 per discussion with ETO 03/30/2014. </t>
        </r>
      </text>
    </comment>
  </commentList>
</comments>
</file>

<file path=xl/sharedStrings.xml><?xml version="1.0" encoding="utf-8"?>
<sst xmlns="http://schemas.openxmlformats.org/spreadsheetml/2006/main" count="1648" uniqueCount="812">
  <si>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</si>
  <si>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</si>
  <si>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</si>
  <si>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</si>
  <si>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</si>
  <si>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</si>
  <si>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</si>
  <si>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</si>
  <si>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</si>
  <si>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</si>
  <si>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</si>
  <si>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</si>
  <si>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</si>
  <si>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</si>
  <si>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</si>
  <si>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</si>
  <si>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</si>
  <si>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</si>
  <si>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</si>
  <si>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</si>
  <si>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</si>
  <si>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</si>
  <si>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</si>
  <si>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</si>
  <si>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</si>
  <si>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</si>
  <si>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</si>
  <si>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</si>
  <si>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</si>
  <si>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</si>
  <si>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</si>
  <si>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</si>
  <si>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</si>
  <si>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</si>
  <si>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</si>
  <si>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</si>
  <si>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</si>
  <si>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</si>
  <si>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</si>
  <si>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</si>
  <si>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</si>
  <si>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R</t>
  </si>
  <si>
    <t>Baseline Energy Use</t>
  </si>
  <si>
    <t>Baseline Penetration</t>
  </si>
  <si>
    <t>Who</t>
  </si>
  <si>
    <t>Busbar Savings</t>
  </si>
  <si>
    <t>lvlcost</t>
  </si>
  <si>
    <t>segment</t>
  </si>
  <si>
    <t>measure</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</si>
  <si>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</si>
  <si>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</si>
  <si>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</si>
  <si>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</si>
  <si>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</si>
  <si>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</si>
  <si>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</si>
  <si>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</si>
  <si>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</si>
  <si>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</si>
  <si>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</si>
  <si>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</si>
  <si>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</si>
  <si>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</si>
  <si>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</si>
  <si>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</si>
  <si>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</si>
  <si>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</si>
  <si>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</si>
  <si>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</si>
  <si>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</si>
  <si>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</si>
  <si>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</si>
  <si>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</si>
  <si>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</si>
  <si>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Decommissioning of unused servers</t>
  </si>
  <si>
    <t>Server virtualization/consolidation</t>
  </si>
  <si>
    <t>Server power management</t>
  </si>
  <si>
    <t>Energy efficient data storage management</t>
  </si>
  <si>
    <t>Tier 1:  Best Practice</t>
  </si>
  <si>
    <t>Energy efficient servers</t>
  </si>
  <si>
    <t>Massive array of idle disks (MAID)</t>
  </si>
  <si>
    <t>Efficient network topology</t>
  </si>
  <si>
    <t>Energy efficient transformers</t>
  </si>
  <si>
    <t>Energy efficient power supplies (UPS)</t>
  </si>
  <si>
    <t>Energy efficient lighting</t>
  </si>
  <si>
    <t>Hot or cold aisle configuration</t>
  </si>
  <si>
    <t>Hot or cold aisle configuration plus containment (e.g., strip curtains or rigid enclosures)</t>
  </si>
  <si>
    <t>Variable speed drives on pumps/fans</t>
  </si>
  <si>
    <t>Premium efficiency motors</t>
  </si>
  <si>
    <t>Air-side economizer</t>
  </si>
  <si>
    <t>In-row cooling</t>
  </si>
  <si>
    <t>Water-side economizer</t>
  </si>
  <si>
    <t>Install misters, foggers, or ultrasonic humidifiers</t>
  </si>
  <si>
    <t>Tier 2:  Commercial Technology</t>
  </si>
  <si>
    <t>Tier 3:  Cutting Edge</t>
  </si>
  <si>
    <t>Solid state storage</t>
  </si>
  <si>
    <t>Direct current (as opposed to AC) to the racks</t>
  </si>
  <si>
    <t>Direct liquid cooling of chips</t>
  </si>
  <si>
    <t>Total of 22 efficiency measures divided into three tiers; Best Practice, Commercial Technology and Cutting Edge.  Measures are described below.</t>
  </si>
  <si>
    <t>Masanet, E., Brown, R.E., Shehabi, A., Koomey, J.G., and B. Nordman (2011). “Estimating the Energy Use and Efficiency Potential of U.S. Data Centers. Proceedings of the IEEE, Volume 99, Number 8</t>
  </si>
  <si>
    <t xml:space="preserve">New for 7P.  Based primarily on Masanet et al.  </t>
  </si>
  <si>
    <t>New analysis from Cadmus.</t>
  </si>
  <si>
    <t>All embedded data centers.  Potential estimate is based on total load estimate from the Cadmus model.</t>
  </si>
  <si>
    <t>Saturation for key measures (virtualization and ENERGY STAR servers) are based on CBSA survey results.  Other key equipment saturations based on national estimates per sources noted in the model.</t>
  </si>
  <si>
    <t>Servers</t>
  </si>
  <si>
    <t>Storage</t>
  </si>
  <si>
    <t>Network</t>
  </si>
  <si>
    <t>Transformer</t>
  </si>
  <si>
    <t>UPS</t>
  </si>
  <si>
    <t>Lighting</t>
  </si>
  <si>
    <t>Cooling</t>
  </si>
  <si>
    <t>There 198 permutations of measure and function.</t>
  </si>
  <si>
    <t>Baseline developed in workbook 'Embedded DC Analysis Tool'</t>
  </si>
  <si>
    <t>Data Centers</t>
  </si>
  <si>
    <t>Function</t>
  </si>
  <si>
    <t>Sources for Payback Periods of EETBPs (Listed in Table 40)</t>
  </si>
  <si>
    <r>
      <t xml:space="preserve">Appliances N: </t>
    </r>
    <r>
      <rPr>
        <b/>
        <sz val="8"/>
        <color rgb="FF000000"/>
        <rFont val="Arial"/>
        <family val="2"/>
      </rPr>
      <t>NetApp Introduces Unified Scale-Out Storage Systems and Virtualization Software for the Unbound Cloud Era</t>
    </r>
    <r>
      <rPr>
        <sz val="8"/>
        <color rgb="FF000000"/>
        <rFont val="Arial"/>
        <family val="2"/>
      </rPr>
      <t xml:space="preserve">. Edited by; 2014. </t>
    </r>
  </si>
  <si>
    <r>
      <t xml:space="preserve">Asetek: </t>
    </r>
    <r>
      <rPr>
        <b/>
        <sz val="8"/>
        <color rgb="FF000000"/>
        <rFont val="Arial"/>
        <family val="2"/>
      </rPr>
      <t>Internal Loop Liquid Cooling</t>
    </r>
    <r>
      <rPr>
        <sz val="8"/>
        <color rgb="FF000000"/>
        <rFont val="Arial"/>
        <family val="2"/>
      </rPr>
      <t xml:space="preserve">. Edited by; 2014. </t>
    </r>
  </si>
  <si>
    <r>
      <t xml:space="preserve">Associates JGa: </t>
    </r>
    <r>
      <rPr>
        <b/>
        <sz val="8"/>
        <color rgb="FF000000"/>
        <rFont val="Arial"/>
        <family val="2"/>
      </rPr>
      <t>Enterprise Class SSD: A Business Benefit Analysis</t>
    </r>
    <r>
      <rPr>
        <sz val="8"/>
        <color rgb="FF000000"/>
        <rFont val="Arial"/>
        <family val="2"/>
      </rPr>
      <t xml:space="preserve">. Edited by; 2014. </t>
    </r>
  </si>
  <si>
    <r>
      <t xml:space="preserve">Bushell, Michael J: </t>
    </r>
    <r>
      <rPr>
        <b/>
        <sz val="8"/>
        <color rgb="FF000000"/>
        <rFont val="Arial"/>
        <family val="2"/>
      </rPr>
      <t>Top 10 Energy Conservation Measures for Data Centers</t>
    </r>
    <r>
      <rPr>
        <sz val="8"/>
        <color rgb="FF000000"/>
        <rFont val="Arial"/>
        <family val="2"/>
      </rPr>
      <t>. Willdan Energy Solutions. Presentation to Energy Center of Wisconsin, December 11, 2014.</t>
    </r>
  </si>
  <si>
    <r>
      <t xml:space="preserve">Consulting F: </t>
    </r>
    <r>
      <rPr>
        <b/>
        <sz val="8"/>
        <color rgb="FF000000"/>
        <rFont val="Arial"/>
        <family val="2"/>
      </rPr>
      <t>The Total Economic Impact of VMware vCenter Configuration Manager</t>
    </r>
    <r>
      <rPr>
        <sz val="8"/>
        <color rgb="FF000000"/>
        <rFont val="Arial"/>
        <family val="2"/>
      </rPr>
      <t xml:space="preserve">. Edited by; 2009. </t>
    </r>
  </si>
  <si>
    <r>
      <t xml:space="preserve">Corporation ID: </t>
    </r>
    <r>
      <rPr>
        <b/>
        <sz val="8"/>
        <color rgb="FF000000"/>
        <rFont val="Arial"/>
        <family val="2"/>
      </rPr>
      <t>IT Management and Virtualization Software Reduce Cost and Energy Consumption at BMC Datacenter: An ROI Case Study</t>
    </r>
    <r>
      <rPr>
        <sz val="8"/>
        <color rgb="FF000000"/>
        <rFont val="Arial"/>
        <family val="2"/>
      </rPr>
      <t>. Framingham, MA; 2008.</t>
    </r>
  </si>
  <si>
    <r>
      <t xml:space="preserve">Corporation ID: </t>
    </r>
    <r>
      <rPr>
        <b/>
        <sz val="8"/>
        <color rgb="FF000000"/>
        <rFont val="Arial"/>
        <family val="2"/>
      </rPr>
      <t>Storage Economics: Assessing the Real Cost of Storage</t>
    </r>
    <r>
      <rPr>
        <sz val="8"/>
        <color rgb="FF000000"/>
        <rFont val="Arial"/>
        <family val="2"/>
      </rPr>
      <t xml:space="preserve">. Edited by. London, UK; 2008. </t>
    </r>
  </si>
  <si>
    <r>
      <t xml:space="preserve">Corporation ID: </t>
    </r>
    <r>
      <rPr>
        <b/>
        <sz val="8"/>
        <color rgb="FF000000"/>
        <rFont val="Arial"/>
        <family val="2"/>
      </rPr>
      <t>The Business Value of Dell EqualLogic and Compellent Primary Storage Solutions</t>
    </r>
    <r>
      <rPr>
        <sz val="8"/>
        <color rgb="FF000000"/>
        <rFont val="Arial"/>
        <family val="2"/>
      </rPr>
      <t xml:space="preserve">. Edited by. London, UK. </t>
    </r>
  </si>
  <si>
    <r>
      <t xml:space="preserve">Courtot P: </t>
    </r>
    <r>
      <rPr>
        <b/>
        <sz val="8"/>
        <color rgb="FF000000"/>
        <rFont val="Arial"/>
        <family val="2"/>
      </rPr>
      <t>Energy Savings Potential of CSL-3 Transformers and PDU’s in Data Centers</t>
    </r>
    <r>
      <rPr>
        <sz val="8"/>
        <color rgb="FF000000"/>
        <rFont val="Arial"/>
        <family val="2"/>
      </rPr>
      <t xml:space="preserve">. Edited by; 2009. </t>
    </r>
  </si>
  <si>
    <r>
      <t xml:space="preserve">Ellis DL: </t>
    </r>
    <r>
      <rPr>
        <b/>
        <sz val="8"/>
        <color rgb="FF000000"/>
        <rFont val="Arial"/>
        <family val="2"/>
      </rPr>
      <t>DATA CENTER DESIGN CONSIDERATIONS AND TRENDS</t>
    </r>
    <r>
      <rPr>
        <sz val="8"/>
        <color rgb="FF000000"/>
        <rFont val="Arial"/>
        <family val="2"/>
      </rPr>
      <t xml:space="preserve">. Edited by: IEEE Central Tennessee Section; 2009. </t>
    </r>
  </si>
  <si>
    <r>
      <t xml:space="preserve">Energy USDo: </t>
    </r>
    <r>
      <rPr>
        <b/>
        <sz val="8"/>
        <color rgb="FF000000"/>
        <rFont val="Arial"/>
        <family val="2"/>
      </rPr>
      <t>Database Technology Company Saves $262,000 Annually</t>
    </r>
    <r>
      <rPr>
        <sz val="8"/>
        <color rgb="FF000000"/>
        <rFont val="Arial"/>
        <family val="2"/>
      </rPr>
      <t xml:space="preserve">. Edited by. Washington, DC; 2009. </t>
    </r>
  </si>
  <si>
    <r>
      <t xml:space="preserve">Geet IMaOV: </t>
    </r>
    <r>
      <rPr>
        <b/>
        <sz val="8"/>
        <color rgb="FF000000"/>
        <rFont val="Arial"/>
        <family val="2"/>
      </rPr>
      <t>Data Center Energy Efficiency and Renewable Energy Site Assessment: Anderson Readiness Center</t>
    </r>
    <r>
      <rPr>
        <sz val="8"/>
        <color rgb="FF000000"/>
        <rFont val="Arial"/>
        <family val="2"/>
      </rPr>
      <t xml:space="preserve">. Edited by. Golden, CO: National Renewable Energy Laboratory; 2014. </t>
    </r>
  </si>
  <si>
    <r>
      <t xml:space="preserve">Google: </t>
    </r>
    <r>
      <rPr>
        <b/>
        <sz val="8"/>
        <color rgb="FF000000"/>
        <rFont val="Arial"/>
        <family val="2"/>
      </rPr>
      <t>Google’s Green Data Centers: Network POP Case Study</t>
    </r>
    <r>
      <rPr>
        <sz val="8"/>
        <color rgb="FF000000"/>
        <rFont val="Arial"/>
        <family val="2"/>
      </rPr>
      <t>. Mountain View, CA: 2011.</t>
    </r>
  </si>
  <si>
    <r>
      <t xml:space="preserve">Grid G: </t>
    </r>
    <r>
      <rPr>
        <b/>
        <sz val="8"/>
        <color rgb="FF000000"/>
        <rFont val="Arial"/>
        <family val="2"/>
      </rPr>
      <t>CASE STUDY: THE ROI OF COOLING SYSTEM ENERGY EFFICIENCY UPGRADES</t>
    </r>
    <r>
      <rPr>
        <sz val="8"/>
        <color rgb="FF000000"/>
        <rFont val="Arial"/>
        <family val="2"/>
      </rPr>
      <t xml:space="preserve">. Edited by; 2011. </t>
    </r>
  </si>
  <si>
    <r>
      <t xml:space="preserve">Group SVL: </t>
    </r>
    <r>
      <rPr>
        <b/>
        <sz val="8"/>
        <color rgb="FF000000"/>
        <rFont val="Arial"/>
        <family val="2"/>
      </rPr>
      <t>Cisco Lab Setpoint Increase: Energy Efficient Data Center Demonstration Project</t>
    </r>
    <r>
      <rPr>
        <sz val="8"/>
        <color rgb="FF000000"/>
        <rFont val="Arial"/>
        <family val="2"/>
      </rPr>
      <t xml:space="preserve">. Edited by. San Jose, CA; 2008. </t>
    </r>
  </si>
  <si>
    <r>
      <t xml:space="preserve">Group SVL: </t>
    </r>
    <r>
      <rPr>
        <b/>
        <sz val="8"/>
        <color rgb="FF000000"/>
        <rFont val="Arial"/>
        <family val="2"/>
      </rPr>
      <t>Control of Computer Room Air Handlers Using Wireless Sensors: Energy Efficient Data Center Demonstration Project</t>
    </r>
    <r>
      <rPr>
        <sz val="8"/>
        <color rgb="FF000000"/>
        <rFont val="Arial"/>
        <family val="2"/>
      </rPr>
      <t xml:space="preserve">. Edited by. San Jose, CA; 2009. </t>
    </r>
  </si>
  <si>
    <r>
      <t xml:space="preserve">IBM: </t>
    </r>
    <r>
      <rPr>
        <b/>
        <sz val="8"/>
        <color rgb="FF000000"/>
        <rFont val="Arial"/>
        <family val="2"/>
      </rPr>
      <t>2009</t>
    </r>
    <r>
      <rPr>
        <sz val="8"/>
        <color rgb="FF000000"/>
        <rFont val="Arial"/>
        <family val="2"/>
      </rPr>
      <t xml:space="preserve">. Edited by. Somers, NY; Cloud Computing: An Explanation of Where ROI Comes From. </t>
    </r>
  </si>
  <si>
    <r>
      <t xml:space="preserve">Kanellos M: </t>
    </r>
    <r>
      <rPr>
        <b/>
        <sz val="8"/>
        <color rgb="FF000000"/>
        <rFont val="Arial"/>
        <family val="2"/>
      </rPr>
      <t>The World’s Best Green Technology?</t>
    </r>
    <r>
      <rPr>
        <sz val="8"/>
        <color rgb="FF000000"/>
        <rFont val="Arial"/>
        <family val="2"/>
      </rPr>
      <t xml:space="preserve"> Edited by; 2010. </t>
    </r>
  </si>
  <si>
    <r>
      <t xml:space="preserve">Kelly M: </t>
    </r>
    <r>
      <rPr>
        <b/>
        <sz val="8"/>
        <color rgb="FF000000"/>
        <rFont val="Arial"/>
        <family val="2"/>
      </rPr>
      <t>365 Main Energy Efficiency Initiatives</t>
    </r>
    <r>
      <rPr>
        <sz val="8"/>
        <color rgb="FF000000"/>
        <rFont val="Arial"/>
        <family val="2"/>
      </rPr>
      <t xml:space="preserve">. Edited by. </t>
    </r>
  </si>
  <si>
    <r>
      <t xml:space="preserve">Mahdavi R: </t>
    </r>
    <r>
      <rPr>
        <b/>
        <sz val="8"/>
        <color rgb="FF000000"/>
        <rFont val="Arial"/>
        <family val="2"/>
      </rPr>
      <t>Energy Efficiency Opportunities in Federal High Performance Computing Data Centers: Prepared for the U.S. Department of Energy Federal Energy Management Program</t>
    </r>
    <r>
      <rPr>
        <sz val="8"/>
        <color rgb="FF000000"/>
        <rFont val="Arial"/>
        <family val="2"/>
      </rPr>
      <t xml:space="preserve">. Edited by. Berkeley, CA: Lawrence Berkeley National Laboratory; 2013. </t>
    </r>
  </si>
  <si>
    <r>
      <t xml:space="preserve">Mahdavi R: </t>
    </r>
    <r>
      <rPr>
        <b/>
        <sz val="8"/>
        <color rgb="FF000000"/>
        <rFont val="Arial"/>
        <family val="2"/>
      </rPr>
      <t>Opportunities to Improve Energy Efficiency in Three Federal Data Centers: Prepared for the U.S. Department of Energy’s Federal Energy Management Program</t>
    </r>
    <r>
      <rPr>
        <sz val="8"/>
        <color rgb="FF000000"/>
        <rFont val="Arial"/>
        <family val="2"/>
      </rPr>
      <t xml:space="preserve">. Edited by. Berkeley, CA: Lawrence Berkeley National Laboratory; 2014. </t>
    </r>
  </si>
  <si>
    <r>
      <t xml:space="preserve">Power EN: </t>
    </r>
    <r>
      <rPr>
        <b/>
        <sz val="8"/>
        <color rgb="FF000000"/>
        <rFont val="Arial"/>
        <family val="2"/>
      </rPr>
      <t>Energy Efficiency Solutions for Your Data Center</t>
    </r>
    <r>
      <rPr>
        <sz val="8"/>
        <color rgb="FF000000"/>
        <rFont val="Arial"/>
        <family val="2"/>
      </rPr>
      <t xml:space="preserve">. Edited by; 2014. </t>
    </r>
  </si>
  <si>
    <r>
      <t xml:space="preserve">Research F: </t>
    </r>
    <r>
      <rPr>
        <b/>
        <sz val="8"/>
        <color rgb="FF000000"/>
        <rFont val="Arial"/>
        <family val="2"/>
      </rPr>
      <t>The Total Economic Impact of HP 3PAR Storage</t>
    </r>
    <r>
      <rPr>
        <sz val="8"/>
        <color rgb="FF000000"/>
        <rFont val="Arial"/>
        <family val="2"/>
      </rPr>
      <t xml:space="preserve">. Edited by. Cambridge, MA; 2012. </t>
    </r>
  </si>
  <si>
    <r>
      <t xml:space="preserve">Resources WDoN: </t>
    </r>
    <r>
      <rPr>
        <b/>
        <sz val="8"/>
        <color rgb="FF000000"/>
        <rFont val="Arial"/>
        <family val="2"/>
      </rPr>
      <t>Godfrey &amp; Kahn – Server Virtualization</t>
    </r>
    <r>
      <rPr>
        <sz val="8"/>
        <color rgb="FF000000"/>
        <rFont val="Arial"/>
        <family val="2"/>
      </rPr>
      <t xml:space="preserve">. Edited by; 2012. </t>
    </r>
  </si>
  <si>
    <r>
      <t xml:space="preserve">Systems HD: </t>
    </r>
    <r>
      <rPr>
        <b/>
        <sz val="8"/>
        <color rgb="FF000000"/>
        <rFont val="Arial"/>
        <family val="2"/>
      </rPr>
      <t>Tiered Storage and Virtualization in the Real World: Calculating the ROI and Cost Savings of a Move to Tiered Storage by Fidelity National Information Services</t>
    </r>
    <r>
      <rPr>
        <sz val="8"/>
        <color rgb="FF000000"/>
        <rFont val="Arial"/>
        <family val="2"/>
      </rPr>
      <t>. Edited by; 2009. vol October 2009.]</t>
    </r>
  </si>
  <si>
    <r>
      <t xml:space="preserve">Target T: </t>
    </r>
    <r>
      <rPr>
        <b/>
        <sz val="8"/>
        <color rgb="FF000000"/>
        <rFont val="Arial"/>
        <family val="2"/>
      </rPr>
      <t>Data Center Energy Efficiency Guide</t>
    </r>
    <r>
      <rPr>
        <sz val="8"/>
        <color rgb="FF000000"/>
        <rFont val="Arial"/>
        <family val="2"/>
      </rPr>
      <t xml:space="preserve">. Edited by; 2011. </t>
    </r>
  </si>
  <si>
    <r>
      <t xml:space="preserve">Technologies P: </t>
    </r>
    <r>
      <rPr>
        <b/>
        <sz val="8"/>
        <color rgb="FF000000"/>
        <rFont val="Arial"/>
        <family val="2"/>
      </rPr>
      <t>Initial investment payback analysis report: Dell PowerEdge R710 solution with Hyper-V vs. Dell PowerEdge 2850 solution</t>
    </r>
    <r>
      <rPr>
        <sz val="8"/>
        <color rgb="FF000000"/>
        <rFont val="Arial"/>
        <family val="2"/>
      </rPr>
      <t xml:space="preserve">. Edited by. Durham, North Carolina; 2009. </t>
    </r>
  </si>
  <si>
    <r>
      <t xml:space="preserve">Vellante D: </t>
    </r>
    <r>
      <rPr>
        <b/>
        <sz val="8"/>
        <color rgb="FF000000"/>
        <rFont val="Arial"/>
        <family val="2"/>
      </rPr>
      <t>JCPenney tiers away energy costs</t>
    </r>
    <r>
      <rPr>
        <sz val="8"/>
        <color rgb="FF000000"/>
        <rFont val="Arial"/>
        <family val="2"/>
      </rPr>
      <t xml:space="preserve">. Edited by; 2010. </t>
    </r>
  </si>
  <si>
    <r>
      <t xml:space="preserve">Wire B: </t>
    </r>
    <r>
      <rPr>
        <b/>
        <sz val="8"/>
        <color rgb="FF000000"/>
        <rFont val="Arial"/>
        <family val="2"/>
      </rPr>
      <t>Asetek Wins Frost &amp; Sullivan Award for Their Revolutionary Data Center Cooling Solution</t>
    </r>
    <r>
      <rPr>
        <sz val="8"/>
        <color rgb="FF000000"/>
        <rFont val="Arial"/>
        <family val="2"/>
      </rPr>
      <t xml:space="preserve">. Edited by; 2014. </t>
    </r>
  </si>
  <si>
    <t>1.9-5.1</t>
  </si>
  <si>
    <t>Y</t>
  </si>
  <si>
    <t>ComT</t>
  </si>
  <si>
    <t>2.3-6.9</t>
  </si>
  <si>
    <t>2.0 - 3.0</t>
  </si>
  <si>
    <t>0.8-6.9</t>
  </si>
  <si>
    <t>0.5-2.4</t>
  </si>
  <si>
    <t>0.7-3.3</t>
  </si>
  <si>
    <t>1-2.2</t>
  </si>
  <si>
    <t>2.2-3</t>
  </si>
  <si>
    <t>1-6.7</t>
  </si>
  <si>
    <t>2.0 - 4.0</t>
  </si>
  <si>
    <t>1-1.5</t>
  </si>
  <si>
    <t>1.0 - 2.0</t>
  </si>
  <si>
    <t>CET</t>
  </si>
  <si>
    <t>-</t>
  </si>
  <si>
    <t>N</t>
  </si>
  <si>
    <t>BP</t>
  </si>
  <si>
    <t>Turn off humidifiers</t>
  </si>
  <si>
    <t>Broaden humidity range</t>
  </si>
  <si>
    <t xml:space="preserve">Adjusting server inlet temperatures </t>
  </si>
  <si>
    <t>Blanking panels, grommets, or structured cabling</t>
  </si>
  <si>
    <t>&lt;1</t>
  </si>
  <si>
    <t>Computational fluid dynamics optimization</t>
  </si>
  <si>
    <t>0.5 - 0.9</t>
  </si>
  <si>
    <t>0.1-1.5</t>
  </si>
  <si>
    <t>Levelized Cost $/kWh</t>
  </si>
  <si>
    <t>Scenario</t>
  </si>
  <si>
    <t>Real Levelized Cost of Energy Savings ($/kWh)</t>
  </si>
  <si>
    <t>Real Discount Rate</t>
  </si>
  <si>
    <t>Lifetime</t>
  </si>
  <si>
    <t>Average Cost ($/kWh)</t>
  </si>
  <si>
    <t>Average commercial rate of electricity ($/kWh)</t>
  </si>
  <si>
    <t>Average Payback</t>
  </si>
  <si>
    <t>High Payback</t>
  </si>
  <si>
    <t>Low Payback</t>
  </si>
  <si>
    <t>Payback period (years)</t>
  </si>
  <si>
    <t>Category</t>
  </si>
  <si>
    <t>Measure</t>
  </si>
  <si>
    <t>From Cadmus as Part of Council 7P Analysis Contract:  Contact is Bob Huang.</t>
  </si>
  <si>
    <t>Server Virtualization</t>
  </si>
  <si>
    <t>EUI and Costs QC Checked</t>
  </si>
  <si>
    <t>No O&amp;M</t>
  </si>
  <si>
    <t>ETO Model Building Type</t>
  </si>
  <si>
    <t>CBSA Building Type</t>
  </si>
  <si>
    <t>CBECS 2003 Mapped Building Type</t>
  </si>
  <si>
    <t>CBSA Building Square Footage</t>
  </si>
  <si>
    <t>Number of Servers per 1000 SQFT</t>
  </si>
  <si>
    <t>Implied Number of Servers per Building</t>
  </si>
  <si>
    <t>Annual Savings per Server (kWh per 1000 SQFT)</t>
  </si>
  <si>
    <t>Cost per Server ($/1000 SQFT)</t>
  </si>
  <si>
    <t>Total</t>
  </si>
  <si>
    <t>Average All Buildings</t>
  </si>
  <si>
    <t>C_Retail</t>
  </si>
  <si>
    <t>Dry Goods Retail</t>
  </si>
  <si>
    <t>Mercantile</t>
  </si>
  <si>
    <t>C_Grocery</t>
  </si>
  <si>
    <t>Grocery</t>
  </si>
  <si>
    <t>Food Sales</t>
  </si>
  <si>
    <t>C_Office</t>
  </si>
  <si>
    <t>Office</t>
  </si>
  <si>
    <t>C_Restaurant</t>
  </si>
  <si>
    <t>Restaurant</t>
  </si>
  <si>
    <t>Food Service</t>
  </si>
  <si>
    <t>C_Warehouse</t>
  </si>
  <si>
    <t>Warehouse</t>
  </si>
  <si>
    <t>C_Hospital</t>
  </si>
  <si>
    <t>Hospital</t>
  </si>
  <si>
    <t>Inpatient</t>
  </si>
  <si>
    <t>C_Lodging</t>
  </si>
  <si>
    <t>Hotel/Motel</t>
  </si>
  <si>
    <t>Lodging</t>
  </si>
  <si>
    <t>C_Other Health</t>
  </si>
  <si>
    <t>Other Health</t>
  </si>
  <si>
    <t>Outpatient</t>
  </si>
  <si>
    <t>C_Other</t>
  </si>
  <si>
    <t>Other</t>
  </si>
  <si>
    <t>C_School</t>
  </si>
  <si>
    <t>School</t>
  </si>
  <si>
    <t>Education</t>
  </si>
  <si>
    <t>C_College</t>
  </si>
  <si>
    <t>University</t>
  </si>
  <si>
    <t>C_Data Center</t>
  </si>
  <si>
    <t>NA</t>
  </si>
  <si>
    <t>Baseline Initial Saturation</t>
  </si>
  <si>
    <t>Enterprise Data Center Baseline Initial Saturation</t>
  </si>
  <si>
    <r>
      <t>However, virtualization is less common in small data centers. A 2012 NRDC paper entitled </t>
    </r>
    <r>
      <rPr>
        <i/>
        <sz val="11"/>
        <color rgb="FF000000"/>
        <rFont val="Calibri"/>
        <family val="2"/>
        <scheme val="minor"/>
      </rPr>
      <t>Small Server Rooms, Big Energy Savings</t>
    </r>
    <r>
      <rPr>
        <sz val="11"/>
        <color rgb="FF000000"/>
        <rFont val="Calibri"/>
        <family val="2"/>
        <scheme val="minor"/>
      </rPr>
      <t> included an informal survey of 30 small businesses (ranging from 3 to 750 employees) and found that only 37% used virtualization.</t>
    </r>
  </si>
  <si>
    <t>Source: 2013, Energy Star, Data Center Energy Efficiency Strategies - Server Virtualization (http://www.energystar.gov/index.cfm?c=power_mgt.datacenter_efficiency_virtualization)</t>
  </si>
  <si>
    <t>Source: Discussion with ETO for data center measures 02/26/2014 - very low baseline initial saturation for data centers</t>
  </si>
  <si>
    <t>Energy and Cost Savings</t>
  </si>
  <si>
    <t>Number of servers</t>
  </si>
  <si>
    <t>Annual Energy Savings (kWh)</t>
  </si>
  <si>
    <t>Annual Energy Savings per Server (kWh/Server)</t>
  </si>
  <si>
    <t>Total Cost</t>
  </si>
  <si>
    <t>Total Cost per Server</t>
  </si>
  <si>
    <t>$/kWh Saved</t>
  </si>
  <si>
    <t>Measure Lifetime (years)</t>
  </si>
  <si>
    <t>Based on Energy Star userful life of a server (https://www.energystar.gov/index.cfm?c=power_mgt.datacenter_efficiency_purchasing)</t>
  </si>
  <si>
    <t>Source: 2007, Green Building Research Center, Best Practices Case Studies - University of California, Santa Cruz Server Virtualization (http://greenbuildings.berkeley.edu/pdfs/bp2007_ucsc_virtualization.pdf)</t>
  </si>
  <si>
    <t>Table C-EQ3 ( Miscellaneous Equipment: Number of Servers) of CBSA 2009 Final Report, Base = Have Server(s)</t>
  </si>
  <si>
    <t/>
  </si>
  <si>
    <t>Number of Servers</t>
  </si>
  <si>
    <t>Vacant</t>
  </si>
  <si>
    <t>Per 1000 SQFT</t>
  </si>
  <si>
    <t>Observations</t>
  </si>
  <si>
    <t>M</t>
  </si>
  <si>
    <t>Small</t>
  </si>
  <si>
    <t>Medium</t>
  </si>
  <si>
    <t>Source: Adapted from 2009, NEEA, Commercial Building Stock Assessment; Table C-EQ3 Miscellaneous Equipment: Number of Servers</t>
  </si>
  <si>
    <t>Table C-EQ3 Servers/1000 SQFT Statistics</t>
  </si>
  <si>
    <t>Min</t>
  </si>
  <si>
    <t>Max</t>
  </si>
  <si>
    <t>Mean</t>
  </si>
  <si>
    <t>Median</t>
  </si>
  <si>
    <t>PUE</t>
  </si>
  <si>
    <t>Summary of Savings Estimates, Normalized to kWh per Server Eliminated and per New Virtual Server</t>
  </si>
  <si>
    <t>Source</t>
  </si>
  <si>
    <t>kWh per Server Eliminated</t>
  </si>
  <si>
    <t>kWh per New Virtual Server</t>
  </si>
  <si>
    <t>Treatment of PUE</t>
  </si>
  <si>
    <t>kWh per Server Eliminated with PUE</t>
  </si>
  <si>
    <t>ETO per ERS work papers</t>
  </si>
  <si>
    <t>Cooling only</t>
  </si>
  <si>
    <t>VMWare (Vendor Case Studies)</t>
  </si>
  <si>
    <t>None</t>
  </si>
  <si>
    <t>BC Hydro (Project Data)</t>
  </si>
  <si>
    <t>Included</t>
  </si>
  <si>
    <t>Green IT White Paper (Typical Examples)</t>
  </si>
  <si>
    <t>VMWare rule of thumb for sales presentations</t>
  </si>
  <si>
    <t>Included high</t>
  </si>
  <si>
    <t>6Plan Estimate with low end PUE</t>
  </si>
  <si>
    <t>Development of Cost and Savings Numbers</t>
  </si>
  <si>
    <t>V Ratio</t>
  </si>
  <si>
    <t>Approach</t>
  </si>
  <si>
    <t>Annual Savings</t>
  </si>
  <si>
    <t>Life</t>
  </si>
  <si>
    <t>Capital</t>
  </si>
  <si>
    <t>Annual OM</t>
  </si>
  <si>
    <t>Shape</t>
  </si>
  <si>
    <t>NEV</t>
  </si>
  <si>
    <t>Cost per First Year Savings</t>
  </si>
  <si>
    <t>Quick Levelized Cost</t>
  </si>
  <si>
    <t>Per 10 Servers Virtualized including Avoided Legacy Servers</t>
  </si>
  <si>
    <t>ExCommLight</t>
  </si>
  <si>
    <t>Per 10 Servers Virtualized NO Avoided Legacy Servers</t>
  </si>
  <si>
    <t>Per 10 Servers Virtualized NO Avoided Legacy Servers NO O&amp;M Savings</t>
  </si>
  <si>
    <t>Measure #</t>
  </si>
  <si>
    <t>Energy Efficiency Measure Name</t>
  </si>
  <si>
    <t>Measure Group</t>
  </si>
  <si>
    <t>Measure Lifetime (Maximum 70 yrs)</t>
  </si>
  <si>
    <t>Annual Electricity Savings (kWh)</t>
  </si>
  <si>
    <t>Total Incremental Cost of Measure</t>
  </si>
  <si>
    <t>Total Incremental Cost of Measure per SQFT (Assuming 10000 SQFT)</t>
  </si>
  <si>
    <t>Total Potential Incentive If Measure is Cost-effective</t>
  </si>
  <si>
    <t>Combined Utility System BCR</t>
  </si>
  <si>
    <t>Combined Societal BCR</t>
  </si>
  <si>
    <t>kWh Levelized Cost</t>
  </si>
  <si>
    <t>Simple Customer Payback w/ Incentive (years)</t>
  </si>
  <si>
    <t>High Efficiency Power Distribution</t>
  </si>
  <si>
    <t>Power Distribution</t>
  </si>
  <si>
    <t>Source: 2014, ETO, Data Center Power Distirbution Blessing Memo</t>
  </si>
  <si>
    <t>(Custom Project Example)</t>
  </si>
  <si>
    <t>Source: Adapted from 2013, ETO, Data Center Power Distribution Blessing Memo</t>
  </si>
  <si>
    <t>Metric</t>
  </si>
  <si>
    <t>Value</t>
  </si>
  <si>
    <t>Data Center PDU Density (PDU's/1000 SQFT)</t>
  </si>
  <si>
    <t>Breakouts incorporated into savings calculations; assumed 1 central PDU per data center</t>
  </si>
  <si>
    <t>Discussion with ETO for data center measures 02/26/2014 - very high baseline initial saturation for data centers, requirement for program</t>
  </si>
  <si>
    <t>High Efficiency Custom Server</t>
  </si>
  <si>
    <t>Server</t>
  </si>
  <si>
    <t>Source: 2014, ETO, Data Center Server Blessing Memo</t>
  </si>
  <si>
    <t>ENERGYSTAR v1.1 Server</t>
  </si>
  <si>
    <t>(savings from 80 PLUS)</t>
  </si>
  <si>
    <t>Source: Adapted from 2013, ETO, Data Center Server Blessing Memo</t>
  </si>
  <si>
    <t>Server Density (Servers/1000 SQFT)</t>
  </si>
  <si>
    <t>Calculated</t>
  </si>
  <si>
    <t>Discussion with ETO for data center measures 02/26/2014 - very low baseline initial saturation for data centers, requirement for program</t>
  </si>
  <si>
    <t>http://www.pge.com/includes/docs/pdfs/mybusiness/energysavingsrebates/incentivesbyindustry/DataCenters_BestPractices.pdf</t>
  </si>
  <si>
    <t>UPS kW Rating</t>
  </si>
  <si>
    <t>Wattage Scaling Factor (Based on Facebook Prinville OR Electrical UPS Specifications)</t>
  </si>
  <si>
    <t>Annual Electricity Savings (kWh/UPS)</t>
  </si>
  <si>
    <t>Total Incremental Cost of Measure ($/UPS)</t>
  </si>
  <si>
    <t>Notes</t>
  </si>
  <si>
    <t>5 kW UPS</t>
  </si>
  <si>
    <t>Voltage and Frequency Independent (VFI) - Double Conversion UPS</t>
  </si>
  <si>
    <t>Source: 2014, ETO, Data Center Uninterruptible Power Supply Blessing Memo</t>
  </si>
  <si>
    <t xml:space="preserve">Straight weight from 75kW Design Capacity due to limited data on measure group shares. Known that the Open Compute project moved away from centralized UPS (http://mvdirona.com/jrh/TalksAndPapers/Open_Compute_Project_Battery_Cabinet_v1.0.pdf). </t>
  </si>
  <si>
    <t>VFI</t>
  </si>
  <si>
    <t>10 kW UPS</t>
  </si>
  <si>
    <t>1,000 kW UPS</t>
  </si>
  <si>
    <t>1.5 kW UPS</t>
  </si>
  <si>
    <t>Voltage Independent (VI) - Interactive UPS</t>
  </si>
  <si>
    <t>VI</t>
  </si>
  <si>
    <t>Voltage and Frequency Dependent (VFD) - Standby UPS</t>
  </si>
  <si>
    <t>VFD</t>
  </si>
  <si>
    <t>Source: Adapted from 2013, ETO, Data Center Uninterruptible Power Supply Blessing Memo</t>
  </si>
  <si>
    <t>AVERAGE</t>
  </si>
  <si>
    <t>UPS Density (UPS/1000 SQFT)</t>
  </si>
  <si>
    <t>Facebook Power Usage Effectiveness (PUE)</t>
  </si>
  <si>
    <t>https://www.facebook.com/PrinevilleDataCenter/app_399244020173259; http://www.facebook.com/note.php?note_id=10150148003778920 (1.07 at full Load)</t>
  </si>
  <si>
    <t>IT Load</t>
  </si>
  <si>
    <t>MW</t>
  </si>
  <si>
    <t>http://perspectives.mvdirona.com/2012/08/13/FunWithEnergyConsumptionData.aspx</t>
  </si>
  <si>
    <t>Average Server Power Draw (kW)</t>
  </si>
  <si>
    <t>Average Estimate for all Installed Servers at Prineville, OR</t>
  </si>
  <si>
    <t>UPS Sizing (kW)</t>
  </si>
  <si>
    <t xml:space="preserve">Design Backup Capability (scalable units installed - up to 75kW) </t>
  </si>
  <si>
    <t>http://mvdirona.com/jrh/TalksAndPapers/Open_Compute_Project_Battery_Cabinet_v1.0.pdf</t>
  </si>
  <si>
    <t>Total UPS Load Requirement Estimate</t>
  </si>
  <si>
    <t>No Factor of Safety</t>
  </si>
  <si>
    <t>Total Number of UPS</t>
  </si>
  <si>
    <t>Annual Losses</t>
  </si>
  <si>
    <t>Annual Savings Comparison</t>
  </si>
  <si>
    <t>30-55%</t>
  </si>
  <si>
    <t>Energy Star UPS units can reduce UPS losses by 30-55%</t>
  </si>
  <si>
    <t>https://www.energystar.gov/certified-products/detail/uninterruptible_power_supplies</t>
  </si>
  <si>
    <t>Technical Suitability</t>
  </si>
  <si>
    <t xml:space="preserve">Engineering Judgement; Review of the Open Compute Project specifications shows a high degree of customization and  attention to efficiency in concert with whole data center design. Efficiency ratings from the Open Compute Project specifications show &gt;90% at 20% load, &gt;94% at 50% load, and &gt;91% at full load. Therefore, part load efficiencies are reportedly greater than Voltage and Frequency Independent (VFI) - Double Conversion UPS and under that of Voltage and Frequency Dependent (VFD) - Standby UPS and Voltage Independent (VI) - Interactive UPS units. Annual savings are based on the scaled design average for all units from UPS sizing of 56.6kW. With this knowledge 50% of the UPS load is assumed to be custom smaller, non-centralized UPS. Of the remaining 50%, there is a large degree of uncertainty of the technical suitability and thus a 50% of 50% = 25% assumption is applied. </t>
  </si>
  <si>
    <t>Total Incremental Cost</t>
  </si>
  <si>
    <t>Table 1: Ac-output UPS Loading Assumptions for Calculating Average Efficiency</t>
  </si>
  <si>
    <t>Rated Output Power, P, in watts (W)</t>
  </si>
  <si>
    <t>Input Dependency Characteristic*</t>
  </si>
  <si>
    <r>
      <t>Proportion of Time Spent at Specified Proportion of Reference Test Load, t</t>
    </r>
    <r>
      <rPr>
        <b/>
        <vertAlign val="subscript"/>
        <sz val="10"/>
        <color rgb="FF555555"/>
        <rFont val="Arial"/>
        <family val="2"/>
      </rPr>
      <t>n%</t>
    </r>
  </si>
  <si>
    <t>P ≤ 1500 W</t>
  </si>
  <si>
    <t>VI or VFI</t>
  </si>
  <si>
    <t>1500 W &lt;P ≤ 10,000 W</t>
  </si>
  <si>
    <t>VFD, VI, or VFI</t>
  </si>
  <si>
    <t>P &gt; 10,000 W</t>
  </si>
  <si>
    <t>2014, Energy Star, UPS Key Product Criteria (https://www.energystar.gov/index.cfm?c=uninterruptible_power_supplies.pr_crit_uninterruptible_power_supplies)</t>
  </si>
  <si>
    <t>Load</t>
  </si>
  <si>
    <t>Energy Star Weight (25% taken to weight 20% measurement)</t>
  </si>
  <si>
    <t>Energy Star Weight (75% redistributed into 50 and 100% totals)</t>
  </si>
  <si>
    <t>% Efficiency (Open Compute Specifications)</t>
  </si>
  <si>
    <t>Rounded up as efficiencies are reportedly greater than measured</t>
  </si>
  <si>
    <t>Table 2: Ac-output UPS Minimum Average Efficiency Requirement</t>
  </si>
  <si>
    <r>
      <t>Minimum Average Efficiency Requirement (Eff</t>
    </r>
    <r>
      <rPr>
        <b/>
        <vertAlign val="subscript"/>
        <sz val="10"/>
        <color rgb="FF555555"/>
        <rFont val="Arial"/>
        <family val="2"/>
      </rPr>
      <t>AVG_MIN</t>
    </r>
    <r>
      <rPr>
        <b/>
        <sz val="10"/>
        <color rgb="FF555555"/>
        <rFont val="Arial"/>
        <family val="2"/>
      </rPr>
      <t>), where:</t>
    </r>
  </si>
  <si>
    <t>P is the Rated Output Power in watts (W), and</t>
  </si>
  <si>
    <t>ln is the natural logarithm.</t>
  </si>
  <si>
    <t>Rated Output Power</t>
  </si>
  <si>
    <t>Input Dependency Characteristic</t>
  </si>
  <si>
    <t>0.0099 X ln (P) +0.815</t>
  </si>
  <si>
    <t>0.0099 X ln (P) +0.805</t>
  </si>
  <si>
    <t>Source: 2014, Energy Star, UPS Key Product Criteria (https://www.energystar.gov/index.cfm?c=uninterruptible_power_supplies.pr_crit_uninterruptible_power_supplies)</t>
  </si>
  <si>
    <t>Annual Consumption Distribution (%)</t>
  </si>
  <si>
    <t>Annual Consumption (kWh/year)</t>
  </si>
  <si>
    <t>Modeled Building SQFT*</t>
  </si>
  <si>
    <t>Implied Annual EUI (kWh/SQFT)</t>
  </si>
  <si>
    <t>Implied Annual EUI (kWh/1000 SQFT)</t>
  </si>
  <si>
    <t xml:space="preserve">Square Footage Approximation for Facebook Prineville, OR. Consumption distribution from LBNL/ACEE and Emerson Studies. </t>
  </si>
  <si>
    <t>Source: Adapted from 2008, Emerson Network Power, Energy Logic: Reducing Data Center Energy Consumption by Creating Savings that Cascade Across Systems (https://www.cisco.com/web/partners/downloads/765/other/Energy_Logic_Reducing_Data_Center_Energy_Consumption.pdf) &amp; 2003, ACEEE, Data Centers and Energy Use - Let's Look at the Data (http://hightech.lbl.gov/documents/data_centers/aceee162.pdf)
* Based on Square Footage Approximation of 334,000 SQFT from 2013, Vault Data Solutions, The Vault Tax Benefits and Data Security
Evaporative Cooling Load assumed to Take Full HVAC Load (Pumps + Chiller + HVAC Air Movement)</t>
  </si>
  <si>
    <t>Source: 2000, Trane, “Chilled Water System Design and Operation”, CTV-SLB005-EN</t>
  </si>
  <si>
    <t>Chilled Water System</t>
  </si>
  <si>
    <t>Consumption (%)</t>
  </si>
  <si>
    <t>Chiller</t>
  </si>
  <si>
    <t>Water Pumps</t>
  </si>
  <si>
    <t>Cooling Tower</t>
  </si>
  <si>
    <t>Source: 2012, Energy Star, Understanding and Designing Energy-Efficiency Programs for Data Centers (http://www.energystar.gov/ia/products/power_mgt/ES_Data_Center_Utility_Guide.pdf)</t>
  </si>
  <si>
    <t>Custom HVAC Data Center Cooling</t>
  </si>
  <si>
    <t>Source: 2011, Open Compute Project, Facebook Data Center v1.0 Mechanical and Electrical Specifications</t>
  </si>
  <si>
    <t>Source: 2013, Glumac, Data Center Efficiency Analysis Study
Note: Per discussion with ETO, System Type 4 baseline cooling should be chillers with measure going to evaporative cooling</t>
  </si>
  <si>
    <t>End-Use</t>
  </si>
  <si>
    <t>LBNL/ACEE</t>
  </si>
  <si>
    <t>Emerson</t>
  </si>
  <si>
    <t>Adjusted Emerson</t>
  </si>
  <si>
    <t>% End-Use Consumption</t>
  </si>
  <si>
    <t>HVAC - Pumps and Chiller</t>
  </si>
  <si>
    <t>Computer Loads</t>
  </si>
  <si>
    <t>UPS Losses</t>
  </si>
  <si>
    <t>Building Switchgear/MV transformer/other losses</t>
  </si>
  <si>
    <t>HVAC - Air Movement</t>
  </si>
  <si>
    <t>2003, ACEEE, Data Centers and Energy Use - Let's Look at the Data (http://hightech.lbl.gov/documents/data_centers/aceee162.pdf)</t>
  </si>
  <si>
    <t>2008, Emerson Network Power, Energy Logic: Reducing Data Center Energy Consumption by Creating Savings that Cascade Across Systems (https://www.cisco.com/web/partners/downloads/765/other/Energy_Logic_Reducing_Data_Center_Energy_Consumption.pdf)</t>
  </si>
  <si>
    <t>Source: 2008, Emerson Network Power, Energy Logic: Reducing Data Center Energy Consumption by Creating Savings that Cascade Across Systems (https://www.cisco.com/web/partners/downloads/765/other/Energy_Logic_Reducing_Data_Center_Energy_Consumption.pdf)</t>
  </si>
  <si>
    <t>Power Draw</t>
  </si>
  <si>
    <t>% Distribution</t>
  </si>
  <si>
    <t>Computing</t>
  </si>
  <si>
    <t>UPS and Distribution Losses</t>
  </si>
  <si>
    <t>Cooling power draw for computing and UPS losses</t>
  </si>
  <si>
    <t>Source: 2003, ACEEE, Data Centers and Energy Use - Let's Look at the Data (http://hightech.lbl.gov/documents/data_centers/aceee162.pdf)</t>
  </si>
  <si>
    <t>https://www.energystar.gov/index.cfm?c=power_mgt.datacenter_efficiency_purchasing</t>
  </si>
  <si>
    <t>Data Center Load Forecast</t>
  </si>
  <si>
    <t>Year</t>
  </si>
  <si>
    <t>Month</t>
  </si>
  <si>
    <t>DC Forecast</t>
  </si>
  <si>
    <t>Base Annual Consumption (MWh)</t>
  </si>
  <si>
    <t>Base Annual Consumption (kWh)</t>
  </si>
  <si>
    <t xml:space="preserve">Consumption here for 2 Enterprise data centers. 50% split assumption for consumption. </t>
  </si>
  <si>
    <t>Source: 2014, ETO, Data Center Load Forecast for PAC</t>
  </si>
  <si>
    <t>http://energy.gov/eere/femp/covered-product-category-enterprise-servers</t>
  </si>
  <si>
    <t>Simple lvl Cost</t>
  </si>
  <si>
    <t>Simple lvl cost</t>
  </si>
  <si>
    <t>Best Practice</t>
  </si>
  <si>
    <t>Modelled in NPCC Model</t>
  </si>
  <si>
    <t>First Cost $/kWh Saved</t>
  </si>
  <si>
    <t>kWh Saved per kWh DC Load</t>
  </si>
  <si>
    <t>Best Practices</t>
  </si>
  <si>
    <t>Cutting Edge Technology</t>
  </si>
  <si>
    <t>Commercial Technology</t>
  </si>
  <si>
    <t>Share of Tier Savings</t>
  </si>
  <si>
    <t>Cutting Edge</t>
  </si>
  <si>
    <t>Savings Units are:</t>
  </si>
  <si>
    <t>Total Industrial-Total Industrial</t>
  </si>
  <si>
    <t>Shaped Savings Results; By Category and sorted by TRC BC ratio</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</si>
  <si>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</si>
  <si>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</si>
  <si>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</si>
  <si>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</si>
  <si>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</si>
  <si>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</si>
  <si>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</si>
  <si>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</si>
  <si>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</si>
  <si>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</si>
  <si>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</si>
  <si>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</si>
  <si>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</si>
  <si>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</si>
  <si>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</si>
  <si>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</si>
  <si>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</si>
  <si>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</si>
  <si>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</si>
  <si>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</si>
  <si>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</si>
  <si>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</si>
  <si>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</si>
  <si>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</si>
  <si>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</si>
  <si>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</si>
  <si>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</si>
  <si>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</si>
  <si>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</si>
  <si>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</si>
  <si>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</si>
  <si>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</si>
  <si>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</si>
  <si>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</si>
  <si>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</si>
  <si>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</si>
  <si>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</si>
  <si>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</si>
  <si>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</si>
  <si>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</si>
  <si>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</si>
  <si>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</si>
  <si>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</si>
  <si>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</si>
  <si>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</si>
  <si>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</si>
  <si>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</si>
  <si>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</si>
  <si>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</si>
  <si>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</si>
  <si>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</si>
  <si>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</si>
  <si>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</si>
  <si>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</si>
  <si>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</si>
  <si>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</si>
  <si>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</si>
  <si>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</si>
  <si>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</si>
  <si>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</si>
  <si>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</si>
  <si>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</si>
  <si>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</si>
  <si>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</si>
  <si>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</si>
  <si>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</si>
  <si>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</si>
  <si>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</si>
  <si>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</si>
  <si>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</si>
  <si>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</si>
  <si>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</si>
  <si>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</si>
  <si>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</si>
  <si>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</si>
  <si>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</si>
  <si>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</si>
  <si>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</si>
  <si>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</si>
  <si>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</si>
  <si>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</si>
  <si>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</si>
  <si>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</si>
  <si>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</si>
  <si>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</si>
  <si>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</si>
  <si>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</si>
  <si>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</si>
  <si>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</si>
  <si>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</si>
  <si>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</si>
  <si>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</si>
  <si>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</si>
  <si>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</si>
  <si>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</si>
  <si>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</si>
  <si>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</si>
  <si>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</si>
  <si>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</si>
  <si>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</si>
  <si>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</si>
  <si>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</si>
  <si>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</si>
  <si>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</si>
  <si>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</si>
  <si>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</si>
  <si>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</si>
  <si>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</si>
  <si>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</si>
  <si>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</si>
  <si>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</si>
  <si>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</si>
  <si>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</si>
  <si>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</si>
  <si>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</si>
  <si>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</si>
  <si>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</si>
  <si>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</si>
  <si>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</si>
  <si>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</si>
  <si>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</si>
  <si>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</si>
  <si>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</si>
  <si>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</si>
  <si>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</si>
  <si>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</si>
  <si>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</si>
  <si>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</si>
  <si>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</si>
  <si>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</si>
  <si>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</si>
  <si>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</si>
  <si>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</si>
  <si>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</si>
  <si>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</si>
  <si>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</si>
  <si>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</si>
  <si>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</si>
  <si>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</si>
  <si>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</si>
  <si>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</si>
  <si>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</si>
  <si>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</si>
  <si>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</si>
  <si>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</si>
  <si>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</si>
  <si>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</si>
  <si>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</si>
  <si>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</si>
  <si>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</si>
  <si>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</si>
  <si>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</si>
  <si>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</si>
  <si>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</si>
  <si>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</si>
  <si>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</si>
  <si>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</si>
  <si>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</si>
  <si>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</si>
  <si>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</si>
  <si>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</si>
  <si>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</si>
  <si>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</si>
  <si>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</si>
  <si>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</si>
  <si>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</si>
  <si>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</si>
  <si>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</si>
  <si>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</si>
  <si>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</si>
  <si>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</si>
  <si>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</si>
  <si>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</si>
  <si>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</si>
  <si>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</si>
  <si>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</si>
  <si>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</si>
  <si>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</si>
  <si>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</si>
  <si>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</si>
  <si>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</si>
  <si>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</si>
  <si>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</si>
  <si>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</si>
  <si>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</si>
  <si>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</si>
  <si>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</si>
  <si>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</si>
  <si>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</si>
  <si>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</si>
  <si>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</si>
  <si>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</si>
  <si>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</si>
  <si>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</si>
  <si>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</si>
  <si>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</si>
  <si>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</si>
  <si>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</si>
  <si>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</si>
  <si>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</si>
  <si>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</si>
  <si>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</si>
  <si>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</si>
  <si>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</si>
  <si>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</si>
  <si>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</si>
  <si>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</si>
  <si>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</si>
  <si>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</si>
  <si>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</si>
  <si>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</si>
  <si>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First Cost per kWh Saved</t>
  </si>
  <si>
    <t>kWh/MWh DC Load</t>
  </si>
  <si>
    <t>Units Scalar</t>
  </si>
  <si>
    <t>Units Methodology</t>
  </si>
  <si>
    <t>Vintage</t>
  </si>
  <si>
    <t>End-Use:</t>
  </si>
  <si>
    <t>Measure Bundle</t>
  </si>
  <si>
    <t>Report Year</t>
  </si>
  <si>
    <t>Total Potential (aMW)</t>
  </si>
  <si>
    <t>TOTAL MAX</t>
  </si>
  <si>
    <t>TOTAL</t>
  </si>
  <si>
    <t>APPLY MEASURE APPLICABILITY, SATURATION TURNOVER RATE FOR MAX ANNUAL # UNITS</t>
  </si>
  <si>
    <t>Saturation</t>
  </si>
  <si>
    <t>Carryover from Untreated New</t>
  </si>
  <si>
    <t>Achievability =&gt;</t>
  </si>
  <si>
    <t>INCREMENTAL ACHIEVABILITY</t>
  </si>
  <si>
    <t>Acheivable and 85% Max Per Year</t>
  </si>
  <si>
    <t>CUMULATIVE ADOPTION</t>
  </si>
  <si>
    <t>SUPPLY CURVE SAVINGS BY BUNDLE</t>
  </si>
  <si>
    <t>aMW</t>
  </si>
  <si>
    <t>kWh per Luminaire</t>
  </si>
  <si>
    <t>Max Annual Available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</si>
  <si>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</si>
  <si>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</si>
  <si>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</si>
  <si>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</si>
  <si>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</si>
  <si>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</si>
  <si>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</si>
  <si>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</si>
  <si>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</si>
  <si>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</si>
  <si>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</si>
  <si>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</si>
  <si>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</si>
  <si>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</si>
  <si>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</si>
  <si>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</si>
  <si>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</si>
  <si>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</si>
  <si>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</si>
  <si>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</si>
  <si>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</si>
  <si>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</si>
  <si>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</si>
  <si>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</si>
  <si>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</si>
  <si>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</si>
  <si>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</si>
  <si>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</si>
  <si>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</si>
  <si>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</si>
  <si>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</si>
  <si>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</si>
  <si>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</si>
  <si>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</si>
  <si>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</si>
  <si>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</si>
  <si>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</si>
  <si>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</si>
  <si>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</si>
  <si>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</si>
  <si>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</si>
  <si>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</si>
  <si>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</si>
  <si>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</si>
  <si>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</si>
  <si>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</si>
  <si>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</si>
  <si>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</si>
  <si>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</si>
  <si>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</si>
  <si>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</si>
  <si>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</si>
  <si>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</si>
  <si>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</si>
  <si>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</si>
  <si>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</si>
  <si>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</si>
  <si>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</si>
  <si>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</si>
  <si>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</si>
  <si>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</si>
  <si>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</si>
  <si>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</si>
  <si>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</si>
  <si>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</si>
  <si>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</si>
  <si>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</si>
  <si>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</si>
  <si>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</si>
  <si>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</si>
  <si>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</si>
  <si>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</si>
  <si>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</si>
  <si>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</si>
  <si>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</si>
  <si>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</si>
  <si>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</si>
  <si>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SC-NR</t>
  </si>
  <si>
    <t>FLOOR_2016</t>
  </si>
  <si>
    <t>FLOOR_2017</t>
  </si>
  <si>
    <t>FLOOR_2018</t>
  </si>
  <si>
    <t>FLOOR_2019</t>
  </si>
  <si>
    <t>FLOOR_2020</t>
  </si>
  <si>
    <t>FLOOR_2021</t>
  </si>
  <si>
    <t>FLOOR_2022</t>
  </si>
  <si>
    <t>FLOOR_2023</t>
  </si>
  <si>
    <t>FLOOR_2024</t>
  </si>
  <si>
    <t>FLOOR_2025</t>
  </si>
  <si>
    <t>FLOOR_2026</t>
  </si>
  <si>
    <t>FLOOR_2027</t>
  </si>
  <si>
    <t>FLOOR_2028</t>
  </si>
  <si>
    <t>FLOOR_2029</t>
  </si>
  <si>
    <t>FLOOR_2030</t>
  </si>
  <si>
    <t>FLOOR_2031</t>
  </si>
  <si>
    <t>FLOOR_2032</t>
  </si>
  <si>
    <t>FLOOR_2033</t>
  </si>
  <si>
    <t>FLOOR_2034</t>
  </si>
  <si>
    <t>FLOOR_2035</t>
  </si>
  <si>
    <t>Total per Year</t>
  </si>
  <si>
    <t>Cumulative at Earliest Deployment</t>
  </si>
  <si>
    <t>MWh Embedded Data Center Load</t>
  </si>
  <si>
    <t>aMW Embedded Data Center Load</t>
  </si>
  <si>
    <t>Total EDC Load</t>
  </si>
  <si>
    <t>Applicability</t>
  </si>
  <si>
    <t>Electronics</t>
  </si>
  <si>
    <t>Retro5Med</t>
  </si>
  <si>
    <t>Medium early.  Most potential in virtualization and other fast uptake measures.</t>
  </si>
  <si>
    <t>New from Cadmus model</t>
  </si>
  <si>
    <t>Flat - Use Total Industrial</t>
  </si>
  <si>
    <t>Model developed by Cadmus and Masanet.  Based on equipment upgrades and equipment turnover model.  Also incorporates interaction with cooling and infrastructure requirements which impact PUE.  Model uses seven categories of data center workload function (described below)</t>
  </si>
  <si>
    <t>Based on CBSA 2014 data on data centers embedded in commercial buildings.  Cadmus used power supply data, data center floor area, number of racks, HVAC system characteristics and other factors  to estimate baseline energy use.</t>
  </si>
  <si>
    <t xml:space="preserve">Costs for measures are from a variety of sources dated 2008-2014. </t>
  </si>
  <si>
    <t xml:space="preserve">Units are MWh of Embedded Data Center (EDC) load.  Savings are kWh per MWh EDC load.  Treated here as Retrofit for purposes of supply curve.  Units analysis, including stock turnover components, are in the EDC model.  EDC load is taken as the Business as Usual case (BAU) from the model.  This model incorporates growth in demand for computation, turnover of equipment, increasing performance of new equipment entering the stock, existing saturations of efficient equipment, like virtualization, and other factors.    Measure applicability is based on a baseline penetration estimated at 20%.  Twenty two measures are bundled into three tiers. </t>
  </si>
  <si>
    <t>Assume 20% due to significant market uptake of virtualization</t>
  </si>
  <si>
    <t>Description</t>
  </si>
  <si>
    <t>When</t>
  </si>
  <si>
    <t>CG</t>
  </si>
  <si>
    <t>Changed from Reto to NR approach</t>
  </si>
  <si>
    <t>Better reflects nature of opportuntity and the potential over long run where growth is in the stock.</t>
  </si>
  <si>
    <t>Turnover Rate</t>
  </si>
  <si>
    <t>Average Measure Life</t>
  </si>
  <si>
    <t>NR</t>
  </si>
  <si>
    <t>Q:\SeventhPlan\Conservation Analysis\Global EE Inputs\MC Files\MC_AND_LOADSHAPE_v3.0_24segment-7P-D9 - NewSegValues.xlsx</t>
  </si>
  <si>
    <t>Updated High Low Forecast</t>
  </si>
  <si>
    <t>Stock</t>
  </si>
  <si>
    <t>DataCenter</t>
  </si>
  <si>
    <t>Respond to comments make changes</t>
  </si>
  <si>
    <t>Added costs for decomissionig, increased costs for lighting, check ES server market pen</t>
  </si>
  <si>
    <t>Five to fifteen years depending on hardware</t>
  </si>
  <si>
    <t>Have not found measured shape data</t>
  </si>
  <si>
    <t>Wednesday, 18 March , 2015 at 12:02 AM</t>
  </si>
</sst>
</file>

<file path=xl/styles.xml><?xml version="1.0" encoding="utf-8"?>
<styleSheet xmlns="http://schemas.openxmlformats.org/spreadsheetml/2006/main">
  <numFmts count="24">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_);_(* \(#,##0.0\);_(* &quot;-&quot;?_);_(@_)"/>
    <numFmt numFmtId="173" formatCode="_(&quot;$&quot;* #,##0.0000_);_(&quot;$&quot;* \(#,##0.0000\);_(&quot;$&quot;* &quot;-&quot;??_);_(@_)"/>
    <numFmt numFmtId="174" formatCode="_(&quot;$&quot;* #,##0.000_);_(&quot;$&quot;* \(#,##0.000\);_(&quot;$&quot;* &quot;-&quot;??_);_(@_)"/>
    <numFmt numFmtId="175" formatCode="0.0%"/>
    <numFmt numFmtId="176" formatCode="_(* #,##0.00000_);_(* \(#,##0.00000\);_(* &quot;-&quot;??_);_(@_)"/>
    <numFmt numFmtId="177" formatCode="0.0000%"/>
    <numFmt numFmtId="178" formatCode="0.00000000000000000%"/>
    <numFmt numFmtId="179" formatCode="&quot;$&quot;#,##0.000_);[Red]\(&quot;$&quot;#,##0.000\)"/>
    <numFmt numFmtId="180" formatCode="0.0;[Red]\-0.0"/>
    <numFmt numFmtId="181" formatCode="\ "/>
    <numFmt numFmtId="182" formatCode="&quot;$&quot;#,##0.00000_);[Red]\(&quot;$&quot;#,##0.00000\)"/>
  </numFmts>
  <fonts count="73">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sz val="8"/>
      <name val="Arial"/>
      <family val="2"/>
    </font>
    <font>
      <b/>
      <sz val="9"/>
      <color rgb="FF000000"/>
      <name val="Arial"/>
      <family val="2"/>
    </font>
    <font>
      <sz val="8"/>
      <color rgb="FF000000"/>
      <name val="Arial"/>
      <family val="2"/>
    </font>
    <font>
      <b/>
      <sz val="8"/>
      <color rgb="FF000000"/>
      <name val="Arial"/>
      <family val="2"/>
    </font>
    <font>
      <sz val="8"/>
      <color theme="1"/>
      <name val="Arial"/>
      <family val="2"/>
    </font>
    <font>
      <sz val="11"/>
      <color rgb="FFFF0000"/>
      <name val="Calibri"/>
      <family val="2"/>
      <scheme val="minor"/>
    </font>
    <font>
      <sz val="8"/>
      <color rgb="FFFF0000"/>
      <name val="Arial"/>
      <family val="2"/>
    </font>
    <font>
      <b/>
      <sz val="8"/>
      <name val="Arial"/>
      <family val="2"/>
    </font>
    <font>
      <b/>
      <sz val="11"/>
      <color rgb="FFFF0000"/>
      <name val="Calibri"/>
      <family val="2"/>
      <scheme val="minor"/>
    </font>
    <font>
      <sz val="11"/>
      <color rgb="FF000000"/>
      <name val="Calibri"/>
      <family val="2"/>
      <scheme val="minor"/>
    </font>
    <font>
      <i/>
      <sz val="11"/>
      <color rgb="FF000000"/>
      <name val="Calibri"/>
      <family val="2"/>
      <scheme val="minor"/>
    </font>
    <font>
      <b/>
      <sz val="11"/>
      <color theme="1"/>
      <name val="Arial"/>
      <family val="2"/>
    </font>
    <font>
      <sz val="11"/>
      <color theme="1"/>
      <name val="Arial"/>
      <family val="2"/>
    </font>
    <font>
      <b/>
      <sz val="11"/>
      <color rgb="FFFFFFFF"/>
      <name val="Arial"/>
      <family val="2"/>
    </font>
    <font>
      <b/>
      <sz val="12"/>
      <color rgb="FF000000"/>
      <name val="Arial"/>
      <family val="2"/>
    </font>
    <font>
      <b/>
      <sz val="10"/>
      <color rgb="FF555555"/>
      <name val="Arial"/>
      <family val="2"/>
    </font>
    <font>
      <b/>
      <vertAlign val="subscript"/>
      <sz val="10"/>
      <color rgb="FF555555"/>
      <name val="Arial"/>
      <family val="2"/>
    </font>
    <font>
      <b/>
      <sz val="10"/>
      <color rgb="FF000000"/>
      <name val="Arial"/>
      <family val="2"/>
    </font>
    <font>
      <sz val="10"/>
      <color rgb="FF000000"/>
      <name val="Arial"/>
      <family val="2"/>
    </font>
    <font>
      <u/>
      <sz val="11"/>
      <color theme="10"/>
      <name val="Calibri"/>
      <family val="2"/>
      <scheme val="minor"/>
    </font>
    <font>
      <i/>
      <sz val="10"/>
      <name val="Arial"/>
      <family val="2"/>
    </font>
    <font>
      <i/>
      <sz val="10"/>
      <color theme="1"/>
      <name val="Arial"/>
      <family val="2"/>
    </font>
    <font>
      <sz val="10"/>
      <color rgb="FFFF0000"/>
      <name val="Arial"/>
      <family val="2"/>
    </font>
    <font>
      <sz val="10"/>
      <color indexed="9"/>
      <name val="Arial"/>
      <family val="2"/>
    </font>
    <font>
      <sz val="10"/>
      <color indexed="10"/>
      <name val="Arial"/>
      <family val="2"/>
    </font>
    <font>
      <b/>
      <sz val="11"/>
      <color theme="0"/>
      <name val="Calibri"/>
      <family val="2"/>
      <scheme val="minor"/>
    </font>
  </fonts>
  <fills count="60">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41"/>
        <bgColor indexed="64"/>
      </patternFill>
    </fill>
    <fill>
      <patternFill patternType="solid">
        <fgColor rgb="FF42C4DD"/>
        <bgColor indexed="64"/>
      </patternFill>
    </fill>
    <fill>
      <patternFill patternType="solid">
        <fgColor rgb="FFC0C0C0"/>
        <bgColor indexed="64"/>
      </patternFill>
    </fill>
    <fill>
      <patternFill patternType="solid">
        <fgColor rgb="FFFCB715"/>
        <bgColor indexed="64"/>
      </patternFill>
    </fill>
    <fill>
      <patternFill patternType="solid">
        <fgColor rgb="FFBFBFBF"/>
        <bgColor indexed="64"/>
      </patternFill>
    </fill>
    <fill>
      <patternFill patternType="solid">
        <fgColor rgb="FFFF0000"/>
        <bgColor indexed="64"/>
      </patternFill>
    </fill>
    <fill>
      <patternFill patternType="solid">
        <fgColor rgb="FFF3F3F3"/>
        <bgColor indexed="64"/>
      </patternFill>
    </fill>
    <fill>
      <patternFill patternType="solid">
        <fgColor rgb="FFFFFFFF"/>
        <bgColor indexed="64"/>
      </patternFill>
    </fill>
    <fill>
      <patternFill patternType="solid">
        <fgColor theme="1"/>
        <bgColor indexed="64"/>
      </patternFill>
    </fill>
    <fill>
      <patternFill patternType="solid">
        <fgColor theme="6" tint="0.39997558519241921"/>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8" tint="-0.249977111117893"/>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ck">
        <color rgb="FFCCCCCC"/>
      </bottom>
      <diagonal/>
    </border>
    <border>
      <left style="thick">
        <color rgb="FFCCCCCC"/>
      </left>
      <right style="thick">
        <color rgb="FFE2E2E2"/>
      </right>
      <top style="thick">
        <color rgb="FFCCCCCC"/>
      </top>
      <bottom/>
      <diagonal/>
    </border>
    <border>
      <left style="thick">
        <color rgb="FFE2E2E2"/>
      </left>
      <right style="thick">
        <color rgb="FFE2E2E2"/>
      </right>
      <top style="thick">
        <color rgb="FFCCCCCC"/>
      </top>
      <bottom/>
      <diagonal/>
    </border>
    <border>
      <left style="thick">
        <color rgb="FFE2E2E2"/>
      </left>
      <right/>
      <top style="thick">
        <color rgb="FFCCCCCC"/>
      </top>
      <bottom style="thick">
        <color rgb="FFE2E2E2"/>
      </bottom>
      <diagonal/>
    </border>
    <border>
      <left/>
      <right/>
      <top style="thick">
        <color rgb="FFCCCCCC"/>
      </top>
      <bottom style="thick">
        <color rgb="FFE2E2E2"/>
      </bottom>
      <diagonal/>
    </border>
    <border>
      <left/>
      <right style="thick">
        <color rgb="FFCCCCCC"/>
      </right>
      <top style="thick">
        <color rgb="FFCCCCCC"/>
      </top>
      <bottom style="thick">
        <color rgb="FFE2E2E2"/>
      </bottom>
      <diagonal/>
    </border>
    <border>
      <left style="thick">
        <color rgb="FFCCCCCC"/>
      </left>
      <right style="thick">
        <color rgb="FFE2E2E2"/>
      </right>
      <top/>
      <bottom style="thick">
        <color rgb="FFE2E2E2"/>
      </bottom>
      <diagonal/>
    </border>
    <border>
      <left style="thick">
        <color rgb="FFE2E2E2"/>
      </left>
      <right style="thick">
        <color rgb="FFE2E2E2"/>
      </right>
      <top/>
      <bottom style="thick">
        <color rgb="FFE2E2E2"/>
      </bottom>
      <diagonal/>
    </border>
    <border>
      <left style="thick">
        <color rgb="FFE2E2E2"/>
      </left>
      <right style="thick">
        <color rgb="FFE2E2E2"/>
      </right>
      <top style="thick">
        <color rgb="FFE2E2E2"/>
      </top>
      <bottom style="thick">
        <color rgb="FFE2E2E2"/>
      </bottom>
      <diagonal/>
    </border>
    <border>
      <left style="thick">
        <color rgb="FFE2E2E2"/>
      </left>
      <right style="thick">
        <color rgb="FFCCCCCC"/>
      </right>
      <top style="thick">
        <color rgb="FFE2E2E2"/>
      </top>
      <bottom style="thick">
        <color rgb="FFE2E2E2"/>
      </bottom>
      <diagonal/>
    </border>
    <border>
      <left style="thick">
        <color rgb="FFCCCCCC"/>
      </left>
      <right style="medium">
        <color rgb="FFE2E2E2"/>
      </right>
      <top style="thick">
        <color rgb="FFE2E2E2"/>
      </top>
      <bottom/>
      <diagonal/>
    </border>
    <border>
      <left style="medium">
        <color rgb="FFE2E2E2"/>
      </left>
      <right style="medium">
        <color rgb="FFE2E2E2"/>
      </right>
      <top style="medium">
        <color rgb="FFE2E2E2"/>
      </top>
      <bottom style="medium">
        <color rgb="FFE2E2E2"/>
      </bottom>
      <diagonal/>
    </border>
    <border>
      <left style="medium">
        <color rgb="FFE2E2E2"/>
      </left>
      <right style="thick">
        <color rgb="FFCCCCCC"/>
      </right>
      <top style="medium">
        <color rgb="FFE2E2E2"/>
      </top>
      <bottom style="medium">
        <color rgb="FFE2E2E2"/>
      </bottom>
      <diagonal/>
    </border>
    <border>
      <left style="thick">
        <color rgb="FFCCCCCC"/>
      </left>
      <right style="medium">
        <color rgb="FFE2E2E2"/>
      </right>
      <top/>
      <bottom style="medium">
        <color rgb="FFE2E2E2"/>
      </bottom>
      <diagonal/>
    </border>
    <border>
      <left style="thick">
        <color rgb="FFCCCCCC"/>
      </left>
      <right style="medium">
        <color rgb="FFE2E2E2"/>
      </right>
      <top style="medium">
        <color rgb="FFE2E2E2"/>
      </top>
      <bottom style="medium">
        <color rgb="FFE2E2E2"/>
      </bottom>
      <diagonal/>
    </border>
    <border>
      <left style="thick">
        <color rgb="FFCCCCCC"/>
      </left>
      <right style="medium">
        <color rgb="FFE2E2E2"/>
      </right>
      <top style="medium">
        <color rgb="FFE2E2E2"/>
      </top>
      <bottom style="thick">
        <color rgb="FFCCCCCC"/>
      </bottom>
      <diagonal/>
    </border>
    <border>
      <left style="medium">
        <color rgb="FFE2E2E2"/>
      </left>
      <right style="medium">
        <color rgb="FFE2E2E2"/>
      </right>
      <top style="medium">
        <color rgb="FFE2E2E2"/>
      </top>
      <bottom style="thick">
        <color rgb="FFCCCCCC"/>
      </bottom>
      <diagonal/>
    </border>
    <border>
      <left style="medium">
        <color rgb="FFE2E2E2"/>
      </left>
      <right style="medium">
        <color rgb="FFE2E2E2"/>
      </right>
      <top style="medium">
        <color rgb="FFE2E2E2"/>
      </top>
      <bottom/>
      <diagonal/>
    </border>
    <border>
      <left style="medium">
        <color rgb="FFE2E2E2"/>
      </left>
      <right style="thick">
        <color rgb="FFCCCCCC"/>
      </right>
      <top style="medium">
        <color rgb="FFE2E2E2"/>
      </top>
      <bottom/>
      <diagonal/>
    </border>
    <border>
      <left style="thick">
        <color rgb="FFCCCCCC"/>
      </left>
      <right/>
      <top style="thick">
        <color rgb="FFCCCCCC"/>
      </top>
      <bottom/>
      <diagonal/>
    </border>
    <border>
      <left/>
      <right/>
      <top style="thick">
        <color rgb="FFCCCCCC"/>
      </top>
      <bottom/>
      <diagonal/>
    </border>
    <border>
      <left/>
      <right style="thick">
        <color rgb="FFCCCCCC"/>
      </right>
      <top style="thick">
        <color rgb="FFCCCCCC"/>
      </top>
      <bottom/>
      <diagonal/>
    </border>
    <border>
      <left style="thick">
        <color rgb="FFCCCCCC"/>
      </left>
      <right/>
      <top/>
      <bottom/>
      <diagonal/>
    </border>
    <border>
      <left/>
      <right style="thick">
        <color rgb="FFCCCCCC"/>
      </right>
      <top/>
      <bottom/>
      <diagonal/>
    </border>
    <border>
      <left style="thick">
        <color rgb="FFCCCCCC"/>
      </left>
      <right/>
      <top/>
      <bottom style="thick">
        <color rgb="FFE2E2E2"/>
      </bottom>
      <diagonal/>
    </border>
    <border>
      <left/>
      <right/>
      <top/>
      <bottom style="thick">
        <color rgb="FFE2E2E2"/>
      </bottom>
      <diagonal/>
    </border>
    <border>
      <left/>
      <right style="thick">
        <color rgb="FFCCCCCC"/>
      </right>
      <top/>
      <bottom style="thick">
        <color rgb="FFE2E2E2"/>
      </bottom>
      <diagonal/>
    </border>
    <border>
      <left style="thick">
        <color rgb="FFCCCCCC"/>
      </left>
      <right style="thick">
        <color rgb="FFE2E2E2"/>
      </right>
      <top style="thick">
        <color rgb="FFE2E2E2"/>
      </top>
      <bottom/>
      <diagonal/>
    </border>
    <border>
      <left style="thick">
        <color rgb="FFE2E2E2"/>
      </left>
      <right/>
      <top style="thick">
        <color rgb="FFE2E2E2"/>
      </top>
      <bottom style="thick">
        <color rgb="FFE2E2E2"/>
      </bottom>
      <diagonal/>
    </border>
    <border>
      <left/>
      <right/>
      <top style="thick">
        <color rgb="FFE2E2E2"/>
      </top>
      <bottom style="thick">
        <color rgb="FFE2E2E2"/>
      </bottom>
      <diagonal/>
    </border>
    <border>
      <left/>
      <right style="thick">
        <color rgb="FFCCCCCC"/>
      </right>
      <top style="thick">
        <color rgb="FFE2E2E2"/>
      </top>
      <bottom style="thick">
        <color rgb="FFE2E2E2"/>
      </bottom>
      <diagonal/>
    </border>
    <border>
      <left style="medium">
        <color rgb="FFE2E2E2"/>
      </left>
      <right/>
      <top style="thick">
        <color rgb="FFE2E2E2"/>
      </top>
      <bottom style="medium">
        <color rgb="FFE2E2E2"/>
      </bottom>
      <diagonal/>
    </border>
    <border>
      <left/>
      <right style="medium">
        <color rgb="FFE2E2E2"/>
      </right>
      <top style="thick">
        <color rgb="FFE2E2E2"/>
      </top>
      <bottom style="medium">
        <color rgb="FFE2E2E2"/>
      </bottom>
      <diagonal/>
    </border>
    <border>
      <left style="medium">
        <color rgb="FFE2E2E2"/>
      </left>
      <right style="thick">
        <color rgb="FFCCCCCC"/>
      </right>
      <top style="thick">
        <color rgb="FFE2E2E2"/>
      </top>
      <bottom/>
      <diagonal/>
    </border>
    <border>
      <left style="medium">
        <color rgb="FFE2E2E2"/>
      </left>
      <right style="thick">
        <color rgb="FFCCCCCC"/>
      </right>
      <top/>
      <bottom style="medium">
        <color rgb="FFE2E2E2"/>
      </bottom>
      <diagonal/>
    </border>
    <border>
      <left style="medium">
        <color rgb="FFE2E2E2"/>
      </left>
      <right style="thick">
        <color rgb="FFCCCCCC"/>
      </right>
      <top style="medium">
        <color rgb="FFE2E2E2"/>
      </top>
      <bottom style="thick">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s>
  <cellStyleXfs count="192">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66" fillId="0" borderId="0" applyNumberFormat="0" applyFill="0" applyBorder="0" applyAlignment="0" applyProtection="0"/>
  </cellStyleXfs>
  <cellXfs count="489">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7"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4" fillId="0" borderId="0" xfId="0" applyFont="1" applyAlignment="1">
      <alignment horizontal="center" readingOrder="1"/>
    </xf>
    <xf numFmtId="0" fontId="3" fillId="8" borderId="2" xfId="0" applyFont="1" applyFill="1" applyBorder="1"/>
    <xf numFmtId="0" fontId="44" fillId="3" borderId="5" xfId="0" applyFont="1" applyFill="1" applyBorder="1"/>
    <xf numFmtId="0" fontId="44" fillId="3" borderId="6" xfId="0" applyFont="1" applyFill="1" applyBorder="1"/>
    <xf numFmtId="0" fontId="44" fillId="3" borderId="11" xfId="0" applyFont="1" applyFill="1" applyBorder="1"/>
    <xf numFmtId="0" fontId="44" fillId="37" borderId="5" xfId="0" applyFont="1" applyFill="1" applyBorder="1"/>
    <xf numFmtId="0" fontId="44" fillId="3" borderId="23" xfId="0" applyFont="1" applyFill="1" applyBorder="1"/>
    <xf numFmtId="0" fontId="44" fillId="3" borderId="26" xfId="0" applyFont="1" applyFill="1" applyBorder="1"/>
    <xf numFmtId="0" fontId="44" fillId="3" borderId="24" xfId="0" applyFont="1" applyFill="1" applyBorder="1"/>
    <xf numFmtId="164" fontId="13" fillId="33" borderId="28" xfId="0" applyNumberFormat="1" applyFont="1" applyFill="1" applyBorder="1" applyAlignment="1">
      <alignment horizontal="centerContinuous" wrapText="1" readingOrder="1"/>
    </xf>
    <xf numFmtId="164" fontId="13" fillId="33" borderId="29"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4" fillId="3" borderId="27" xfId="0" applyFont="1" applyFill="1" applyBorder="1"/>
    <xf numFmtId="164" fontId="13" fillId="34" borderId="8" xfId="0" applyNumberFormat="1" applyFont="1" applyFill="1" applyBorder="1" applyAlignment="1">
      <alignment horizontal="center" wrapText="1" readingOrder="1"/>
    </xf>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0" fontId="6" fillId="0" borderId="5" xfId="0" applyFont="1" applyFill="1" applyBorder="1" applyAlignment="1">
      <alignment horizontal="left" vertical="center" wrapText="1"/>
    </xf>
    <xf numFmtId="0" fontId="2" fillId="0" borderId="5" xfId="0" applyFont="1" applyBorder="1"/>
    <xf numFmtId="0" fontId="0" fillId="0" borderId="0" xfId="0" applyAlignment="1">
      <alignment wrapText="1"/>
    </xf>
    <xf numFmtId="0" fontId="0" fillId="0" borderId="5" xfId="0" applyFill="1" applyBorder="1"/>
    <xf numFmtId="0" fontId="48" fillId="0" borderId="30" xfId="103" applyFont="1" applyBorder="1" applyAlignment="1">
      <alignment horizontal="center" vertical="center" wrapText="1"/>
    </xf>
    <xf numFmtId="0" fontId="2" fillId="0" borderId="0" xfId="103"/>
    <xf numFmtId="0" fontId="49" fillId="0" borderId="31" xfId="103" applyFont="1" applyBorder="1" applyAlignment="1">
      <alignment vertical="center" wrapText="1"/>
    </xf>
    <xf numFmtId="9" fontId="51" fillId="39" borderId="5" xfId="168" applyNumberFormat="1" applyFont="1" applyFill="1" applyBorder="1"/>
    <xf numFmtId="44" fontId="47" fillId="39" borderId="5" xfId="188" applyFont="1" applyFill="1" applyBorder="1" applyAlignment="1"/>
    <xf numFmtId="9" fontId="47" fillId="39" borderId="5" xfId="168" applyFont="1" applyFill="1" applyBorder="1" applyAlignment="1"/>
    <xf numFmtId="0" fontId="47" fillId="39" borderId="5" xfId="103" applyFont="1" applyFill="1" applyBorder="1" applyAlignment="1">
      <alignment horizontal="center" wrapText="1"/>
    </xf>
    <xf numFmtId="173" fontId="47" fillId="39" borderId="5" xfId="188" applyNumberFormat="1" applyFont="1" applyFill="1" applyBorder="1" applyAlignment="1">
      <alignment horizontal="center" wrapText="1"/>
    </xf>
    <xf numFmtId="173" fontId="47" fillId="39" borderId="5" xfId="188" applyNumberFormat="1" applyFont="1" applyFill="1" applyBorder="1" applyAlignment="1"/>
    <xf numFmtId="0" fontId="47" fillId="39" borderId="5" xfId="103" applyFont="1" applyFill="1" applyBorder="1" applyAlignment="1">
      <alignment horizontal="left" vertical="center" wrapText="1"/>
    </xf>
    <xf numFmtId="16" fontId="47" fillId="39" borderId="5" xfId="103" applyNumberFormat="1" applyFont="1" applyFill="1" applyBorder="1" applyAlignment="1">
      <alignment horizontal="center" wrapText="1"/>
    </xf>
    <xf numFmtId="0" fontId="52" fillId="0" borderId="0" xfId="103" applyFont="1"/>
    <xf numFmtId="9" fontId="51" fillId="40" borderId="5" xfId="168" applyNumberFormat="1" applyFont="1" applyFill="1" applyBorder="1"/>
    <xf numFmtId="44" fontId="47" fillId="40" borderId="5" xfId="188" applyFont="1" applyFill="1" applyBorder="1" applyAlignment="1"/>
    <xf numFmtId="9" fontId="47" fillId="40" borderId="5" xfId="168" applyFont="1" applyFill="1" applyBorder="1" applyAlignment="1"/>
    <xf numFmtId="0" fontId="47" fillId="40" borderId="5" xfId="103" applyFont="1" applyFill="1" applyBorder="1" applyAlignment="1">
      <alignment horizontal="center" wrapText="1"/>
    </xf>
    <xf numFmtId="173" fontId="47" fillId="40" borderId="5" xfId="188" applyNumberFormat="1" applyFont="1" applyFill="1" applyBorder="1" applyAlignment="1">
      <alignment horizontal="center" wrapText="1"/>
    </xf>
    <xf numFmtId="173" fontId="47" fillId="40" borderId="5" xfId="188" applyNumberFormat="1" applyFont="1" applyFill="1" applyBorder="1" applyAlignment="1"/>
    <xf numFmtId="16" fontId="47" fillId="40" borderId="5" xfId="103" applyNumberFormat="1" applyFont="1" applyFill="1" applyBorder="1" applyAlignment="1">
      <alignment horizontal="center" wrapText="1"/>
    </xf>
    <xf numFmtId="0" fontId="47" fillId="40" borderId="5" xfId="103" applyFont="1" applyFill="1" applyBorder="1" applyAlignment="1">
      <alignment horizontal="left" vertical="center" wrapText="1"/>
    </xf>
    <xf numFmtId="9" fontId="53" fillId="0" borderId="5" xfId="168" applyNumberFormat="1" applyFont="1" applyBorder="1"/>
    <xf numFmtId="44" fontId="47" fillId="0" borderId="5" xfId="188" applyFont="1" applyBorder="1" applyAlignment="1"/>
    <xf numFmtId="9" fontId="47" fillId="0" borderId="5" xfId="168" applyFont="1" applyBorder="1" applyAlignment="1"/>
    <xf numFmtId="0" fontId="47" fillId="0" borderId="5" xfId="103" applyFont="1" applyBorder="1" applyAlignment="1">
      <alignment horizontal="center" wrapText="1"/>
    </xf>
    <xf numFmtId="173" fontId="47" fillId="0" borderId="5" xfId="188" applyNumberFormat="1" applyFont="1" applyBorder="1" applyAlignment="1">
      <alignment horizontal="center" wrapText="1"/>
    </xf>
    <xf numFmtId="173" fontId="47" fillId="0" borderId="5" xfId="188" applyNumberFormat="1" applyFont="1" applyBorder="1" applyAlignment="1"/>
    <xf numFmtId="0" fontId="47" fillId="0" borderId="5" xfId="103" applyFont="1" applyBorder="1" applyAlignment="1">
      <alignment horizontal="left" vertical="center" wrapText="1"/>
    </xf>
    <xf numFmtId="174" fontId="44" fillId="39" borderId="5" xfId="188" applyNumberFormat="1" applyFont="1" applyFill="1" applyBorder="1"/>
    <xf numFmtId="173" fontId="44" fillId="39" borderId="5" xfId="188" applyNumberFormat="1" applyFont="1" applyFill="1" applyBorder="1"/>
    <xf numFmtId="174" fontId="44" fillId="40" borderId="5" xfId="188" applyNumberFormat="1" applyFont="1" applyFill="1" applyBorder="1"/>
    <xf numFmtId="173" fontId="44" fillId="40" borderId="5" xfId="188" applyNumberFormat="1" applyFont="1" applyFill="1" applyBorder="1"/>
    <xf numFmtId="0" fontId="44" fillId="3" borderId="5" xfId="103" applyFont="1" applyFill="1" applyBorder="1" applyAlignment="1">
      <alignment wrapText="1"/>
    </xf>
    <xf numFmtId="0" fontId="44" fillId="3" borderId="5" xfId="103" applyFont="1" applyFill="1" applyBorder="1"/>
    <xf numFmtId="0" fontId="54" fillId="3" borderId="5" xfId="103" applyFont="1" applyFill="1" applyBorder="1" applyAlignment="1">
      <alignment horizontal="center" vertical="center" wrapText="1"/>
    </xf>
    <xf numFmtId="0" fontId="47" fillId="8" borderId="5" xfId="103" applyFont="1" applyFill="1" applyBorder="1" applyAlignment="1">
      <alignment horizontal="left" vertical="center" wrapText="1"/>
    </xf>
    <xf numFmtId="0" fontId="47" fillId="8" borderId="5" xfId="103" applyFont="1" applyFill="1" applyBorder="1" applyAlignment="1">
      <alignment horizontal="center" wrapText="1"/>
    </xf>
    <xf numFmtId="173" fontId="47" fillId="8" borderId="5" xfId="188" applyNumberFormat="1" applyFont="1" applyFill="1" applyBorder="1" applyAlignment="1"/>
    <xf numFmtId="173" fontId="47" fillId="8" borderId="5" xfId="188" applyNumberFormat="1" applyFont="1" applyFill="1" applyBorder="1" applyAlignment="1">
      <alignment horizontal="center" wrapText="1"/>
    </xf>
    <xf numFmtId="9" fontId="47" fillId="8" borderId="5" xfId="168" applyFont="1" applyFill="1" applyBorder="1" applyAlignment="1"/>
    <xf numFmtId="44" fontId="47" fillId="8" borderId="5" xfId="188" applyFont="1" applyFill="1" applyBorder="1" applyAlignment="1"/>
    <xf numFmtId="9" fontId="51" fillId="8" borderId="5" xfId="168" applyNumberFormat="1" applyFont="1" applyFill="1" applyBorder="1"/>
    <xf numFmtId="173" fontId="44" fillId="8" borderId="5" xfId="188" applyNumberFormat="1" applyFont="1" applyFill="1" applyBorder="1"/>
    <xf numFmtId="174" fontId="44" fillId="8" borderId="5" xfId="188" applyNumberFormat="1" applyFont="1" applyFill="1" applyBorder="1"/>
    <xf numFmtId="0" fontId="44" fillId="8" borderId="0" xfId="103" applyFont="1" applyFill="1"/>
    <xf numFmtId="0" fontId="44" fillId="8" borderId="0" xfId="103" applyFont="1" applyFill="1" applyAlignment="1">
      <alignment horizontal="center" vertical="center"/>
    </xf>
    <xf numFmtId="0" fontId="2" fillId="8" borderId="0" xfId="103" applyFont="1" applyFill="1" applyAlignment="1">
      <alignment horizontal="center" vertical="center"/>
    </xf>
    <xf numFmtId="0" fontId="2" fillId="8" borderId="0" xfId="103" applyFont="1" applyFill="1"/>
    <xf numFmtId="0" fontId="55" fillId="0" borderId="0" xfId="103" applyFont="1"/>
    <xf numFmtId="0" fontId="44" fillId="41" borderId="0" xfId="103" applyFont="1" applyFill="1" applyAlignment="1">
      <alignment horizontal="center" vertical="center"/>
    </xf>
    <xf numFmtId="0" fontId="2" fillId="41" borderId="0" xfId="103" applyFont="1" applyFill="1" applyAlignment="1">
      <alignment horizontal="center" vertical="center"/>
    </xf>
    <xf numFmtId="0" fontId="2" fillId="41" borderId="0" xfId="103" applyFont="1" applyFill="1"/>
    <xf numFmtId="0" fontId="2" fillId="0" borderId="0" xfId="103" applyFont="1" applyAlignment="1">
      <alignment horizontal="center" vertical="center"/>
    </xf>
    <xf numFmtId="0" fontId="2" fillId="0" borderId="0" xfId="103" applyFont="1"/>
    <xf numFmtId="0" fontId="44" fillId="0" borderId="5" xfId="103" applyFont="1" applyBorder="1" applyAlignment="1">
      <alignment horizontal="center" vertical="center" wrapText="1"/>
    </xf>
    <xf numFmtId="168" fontId="44" fillId="42" borderId="7" xfId="103" applyNumberFormat="1" applyFont="1" applyFill="1" applyBorder="1" applyAlignment="1">
      <alignment horizontal="center" vertical="center" wrapText="1"/>
    </xf>
    <xf numFmtId="0" fontId="44" fillId="0" borderId="5" xfId="103" applyFont="1" applyFill="1" applyBorder="1" applyAlignment="1">
      <alignment horizontal="center" vertical="center" wrapText="1"/>
    </xf>
    <xf numFmtId="0" fontId="44" fillId="0" borderId="0" xfId="103" applyFont="1" applyFill="1" applyBorder="1" applyAlignment="1">
      <alignment horizontal="center" vertical="center" wrapText="1"/>
    </xf>
    <xf numFmtId="0" fontId="2" fillId="0" borderId="5" xfId="103" applyFont="1" applyBorder="1" applyAlignment="1">
      <alignment horizontal="center" vertical="center" wrapText="1"/>
    </xf>
    <xf numFmtId="0" fontId="2" fillId="0" borderId="5" xfId="103" applyFont="1" applyBorder="1"/>
    <xf numFmtId="168" fontId="2" fillId="42" borderId="5" xfId="103" applyNumberFormat="1" applyFont="1" applyFill="1" applyBorder="1" applyAlignment="1">
      <alignment horizontal="center" vertical="center"/>
    </xf>
    <xf numFmtId="43" fontId="0" fillId="0" borderId="5" xfId="189" applyNumberFormat="1" applyFont="1" applyBorder="1" applyAlignment="1">
      <alignment horizontal="center" vertical="center"/>
    </xf>
    <xf numFmtId="43" fontId="0" fillId="0" borderId="5" xfId="189" applyNumberFormat="1" applyFont="1" applyBorder="1"/>
    <xf numFmtId="44" fontId="0" fillId="0" borderId="5" xfId="188" applyFont="1" applyBorder="1" applyAlignment="1">
      <alignment horizontal="center" vertical="center"/>
    </xf>
    <xf numFmtId="43" fontId="0" fillId="0" borderId="0" xfId="189" applyNumberFormat="1" applyFont="1"/>
    <xf numFmtId="0" fontId="2" fillId="0" borderId="0" xfId="103" applyFont="1" applyBorder="1"/>
    <xf numFmtId="0" fontId="5" fillId="0" borderId="5" xfId="103" applyFont="1" applyBorder="1"/>
    <xf numFmtId="0" fontId="2" fillId="41" borderId="5" xfId="103" applyFont="1" applyFill="1" applyBorder="1" applyAlignment="1">
      <alignment horizontal="center" vertical="center" wrapText="1"/>
    </xf>
    <xf numFmtId="0" fontId="5" fillId="0" borderId="5" xfId="103" applyFont="1" applyFill="1" applyBorder="1"/>
    <xf numFmtId="164" fontId="5" fillId="0" borderId="5" xfId="103" applyNumberFormat="1" applyFont="1" applyBorder="1"/>
    <xf numFmtId="0" fontId="6" fillId="38" borderId="5" xfId="103" applyFont="1" applyFill="1" applyBorder="1" applyAlignment="1">
      <alignment horizontal="center" vertical="center" wrapText="1"/>
    </xf>
    <xf numFmtId="168" fontId="6" fillId="38" borderId="5" xfId="103" applyNumberFormat="1" applyFont="1" applyFill="1" applyBorder="1" applyAlignment="1">
      <alignment horizontal="center" vertical="center"/>
    </xf>
    <xf numFmtId="168" fontId="6" fillId="38" borderId="5" xfId="189" applyNumberFormat="1" applyFont="1" applyFill="1" applyBorder="1" applyAlignment="1">
      <alignment horizontal="center" vertical="center"/>
    </xf>
    <xf numFmtId="43" fontId="6" fillId="38" borderId="5" xfId="189" applyNumberFormat="1" applyFont="1" applyFill="1" applyBorder="1"/>
    <xf numFmtId="43" fontId="0" fillId="38" borderId="5" xfId="189" applyNumberFormat="1" applyFont="1" applyFill="1" applyBorder="1" applyAlignment="1">
      <alignment horizontal="center" vertical="center"/>
    </xf>
    <xf numFmtId="44" fontId="6" fillId="38" borderId="5" xfId="188" applyNumberFormat="1" applyFont="1" applyFill="1" applyBorder="1"/>
    <xf numFmtId="168" fontId="6" fillId="38" borderId="0" xfId="103" applyNumberFormat="1" applyFont="1" applyFill="1" applyBorder="1"/>
    <xf numFmtId="43" fontId="6" fillId="38" borderId="0" xfId="189" applyNumberFormat="1" applyFont="1" applyFill="1"/>
    <xf numFmtId="0" fontId="6" fillId="38" borderId="0" xfId="103" applyFont="1" applyFill="1" applyBorder="1"/>
    <xf numFmtId="0" fontId="6" fillId="38" borderId="0" xfId="103" applyFont="1" applyFill="1"/>
    <xf numFmtId="43" fontId="2" fillId="0" borderId="0" xfId="103" applyNumberFormat="1" applyFont="1" applyAlignment="1">
      <alignment horizontal="center" vertical="center"/>
    </xf>
    <xf numFmtId="0" fontId="44" fillId="0" borderId="0" xfId="103" applyFont="1"/>
    <xf numFmtId="175" fontId="44" fillId="0" borderId="0" xfId="103" applyNumberFormat="1" applyFont="1" applyAlignment="1">
      <alignment horizontal="center" vertical="center"/>
    </xf>
    <xf numFmtId="0" fontId="56" fillId="0" borderId="0" xfId="103" applyFont="1" applyAlignment="1">
      <alignment horizontal="left" vertical="center" indent="1"/>
    </xf>
    <xf numFmtId="9" fontId="2" fillId="0" borderId="0" xfId="103" applyNumberFormat="1"/>
    <xf numFmtId="168" fontId="0" fillId="0" borderId="0" xfId="189" applyNumberFormat="1" applyFont="1"/>
    <xf numFmtId="169" fontId="0" fillId="0" borderId="0" xfId="188" applyNumberFormat="1" applyFont="1"/>
    <xf numFmtId="44" fontId="0" fillId="0" borderId="0" xfId="188" applyFont="1"/>
    <xf numFmtId="0" fontId="2" fillId="0" borderId="0" xfId="103" applyFont="1" applyAlignment="1">
      <alignment horizontal="left" vertical="center"/>
    </xf>
    <xf numFmtId="0" fontId="6" fillId="0" borderId="0" xfId="103" applyFont="1" applyAlignment="1">
      <alignment horizontal="center" vertical="center"/>
    </xf>
    <xf numFmtId="0" fontId="6" fillId="0" borderId="0" xfId="103" applyFont="1" applyAlignment="1">
      <alignment horizontal="left" vertical="center"/>
    </xf>
    <xf numFmtId="0" fontId="52" fillId="0" borderId="0" xfId="103" applyFont="1" applyAlignment="1">
      <alignment horizontal="left" vertical="center"/>
    </xf>
    <xf numFmtId="0" fontId="44" fillId="0" borderId="0" xfId="103" applyFont="1" applyFill="1"/>
    <xf numFmtId="0" fontId="44" fillId="38" borderId="5" xfId="103" applyFont="1" applyFill="1" applyBorder="1" applyAlignment="1">
      <alignment horizontal="center" vertical="center"/>
    </xf>
    <xf numFmtId="0" fontId="2" fillId="0" borderId="5" xfId="103" applyFont="1" applyBorder="1" applyAlignment="1">
      <alignment horizontal="center" vertical="center"/>
    </xf>
    <xf numFmtId="0" fontId="2" fillId="0" borderId="5" xfId="103" applyFont="1" applyFill="1" applyBorder="1" applyAlignment="1">
      <alignment horizontal="center" vertical="center"/>
    </xf>
    <xf numFmtId="171" fontId="2" fillId="0" borderId="5" xfId="103" applyNumberFormat="1" applyFont="1" applyBorder="1" applyAlignment="1">
      <alignment horizontal="center" vertical="center"/>
    </xf>
    <xf numFmtId="0" fontId="44" fillId="0" borderId="0" xfId="103" applyFont="1" applyAlignment="1">
      <alignment horizontal="left" vertical="center"/>
    </xf>
    <xf numFmtId="0" fontId="44" fillId="0" borderId="5" xfId="103" applyFont="1" applyBorder="1" applyAlignment="1">
      <alignment horizontal="center" vertical="center"/>
    </xf>
    <xf numFmtId="0" fontId="2" fillId="0" borderId="0" xfId="103">
      <alignment readingOrder="1"/>
    </xf>
    <xf numFmtId="0" fontId="14" fillId="0" borderId="0" xfId="103" applyFont="1">
      <alignment readingOrder="1"/>
    </xf>
    <xf numFmtId="0" fontId="14" fillId="3" borderId="0" xfId="103" applyFont="1" applyFill="1" applyAlignment="1">
      <alignment wrapText="1" readingOrder="1"/>
    </xf>
    <xf numFmtId="168" fontId="0" fillId="0" borderId="0" xfId="189" applyNumberFormat="1" applyFont="1">
      <alignment readingOrder="1"/>
    </xf>
    <xf numFmtId="168" fontId="2" fillId="43" borderId="0" xfId="103" applyNumberFormat="1" applyFill="1">
      <alignment readingOrder="1"/>
    </xf>
    <xf numFmtId="168" fontId="2" fillId="0" borderId="0" xfId="103" applyNumberFormat="1">
      <alignment readingOrder="1"/>
    </xf>
    <xf numFmtId="168" fontId="0" fillId="0" borderId="0" xfId="189" applyNumberFormat="1" applyFont="1" applyAlignment="1">
      <alignment readingOrder="1"/>
    </xf>
    <xf numFmtId="168" fontId="14" fillId="0" borderId="0" xfId="189" applyNumberFormat="1" applyFont="1" applyAlignment="1">
      <alignment readingOrder="1"/>
    </xf>
    <xf numFmtId="0" fontId="2" fillId="3" borderId="0" xfId="103" applyFill="1" applyAlignment="1">
      <alignment wrapText="1" readingOrder="1"/>
    </xf>
    <xf numFmtId="169" fontId="0" fillId="0" borderId="0" xfId="188" applyNumberFormat="1" applyFont="1">
      <alignment readingOrder="1"/>
    </xf>
    <xf numFmtId="174" fontId="0" fillId="0" borderId="0" xfId="188" applyNumberFormat="1" applyFont="1">
      <alignment readingOrder="1"/>
    </xf>
    <xf numFmtId="8" fontId="2" fillId="0" borderId="0" xfId="103" applyNumberFormat="1"/>
    <xf numFmtId="0" fontId="58" fillId="44" borderId="5" xfId="103" applyFont="1" applyFill="1" applyBorder="1" applyAlignment="1">
      <alignment horizontal="center" vertical="center" wrapText="1"/>
    </xf>
    <xf numFmtId="0" fontId="59" fillId="0" borderId="5" xfId="103" applyFont="1" applyBorder="1" applyAlignment="1">
      <alignment horizontal="center" vertical="center" wrapText="1"/>
    </xf>
    <xf numFmtId="0" fontId="2" fillId="41" borderId="0" xfId="103" applyFill="1" applyBorder="1" applyAlignment="1"/>
    <xf numFmtId="0" fontId="58" fillId="41" borderId="0" xfId="103" applyFont="1" applyFill="1" applyBorder="1" applyAlignment="1">
      <alignment horizontal="left" vertical="center"/>
    </xf>
    <xf numFmtId="0" fontId="44" fillId="42" borderId="5" xfId="103" applyFont="1" applyFill="1" applyBorder="1" applyAlignment="1">
      <alignment horizontal="center" vertical="center"/>
    </xf>
    <xf numFmtId="43" fontId="44" fillId="42" borderId="5" xfId="103" applyNumberFormat="1" applyFont="1" applyFill="1" applyBorder="1" applyAlignment="1">
      <alignment horizontal="center" vertical="center"/>
    </xf>
    <xf numFmtId="9" fontId="0" fillId="41" borderId="0" xfId="190" applyFont="1" applyFill="1" applyBorder="1" applyAlignment="1"/>
    <xf numFmtId="168" fontId="2" fillId="41" borderId="0" xfId="103" applyNumberFormat="1" applyFill="1" applyBorder="1" applyAlignment="1"/>
    <xf numFmtId="0" fontId="44" fillId="41" borderId="5" xfId="103" applyFont="1" applyFill="1" applyBorder="1" applyAlignment="1">
      <alignment horizontal="center" vertical="center"/>
    </xf>
    <xf numFmtId="0" fontId="58" fillId="41" borderId="5" xfId="103" applyFont="1" applyFill="1" applyBorder="1" applyAlignment="1">
      <alignment horizontal="center" vertical="center" wrapText="1"/>
    </xf>
    <xf numFmtId="176" fontId="59" fillId="41" borderId="5" xfId="189" applyNumberFormat="1" applyFont="1" applyFill="1" applyBorder="1" applyAlignment="1">
      <alignment horizontal="center" vertical="center" wrapText="1"/>
    </xf>
    <xf numFmtId="0" fontId="2" fillId="41" borderId="5" xfId="103" applyFill="1" applyBorder="1" applyAlignment="1">
      <alignment horizontal="left" vertical="center"/>
    </xf>
    <xf numFmtId="9" fontId="2" fillId="0" borderId="5" xfId="103" applyNumberFormat="1" applyBorder="1" applyAlignment="1">
      <alignment horizontal="center" vertical="center"/>
    </xf>
    <xf numFmtId="0" fontId="2" fillId="0" borderId="5" xfId="103" applyFont="1" applyBorder="1" applyAlignment="1">
      <alignment horizontal="left" vertical="center"/>
    </xf>
    <xf numFmtId="0" fontId="59" fillId="0" borderId="4" xfId="103" applyFont="1" applyBorder="1" applyAlignment="1">
      <alignment horizontal="center" vertical="center" wrapText="1"/>
    </xf>
    <xf numFmtId="0" fontId="59" fillId="38" borderId="5" xfId="103" applyFont="1" applyFill="1" applyBorder="1" applyAlignment="1">
      <alignment horizontal="center" vertical="center" wrapText="1"/>
    </xf>
    <xf numFmtId="0" fontId="2" fillId="41" borderId="0" xfId="103" applyFill="1"/>
    <xf numFmtId="0" fontId="59" fillId="41" borderId="0" xfId="103" applyFont="1" applyFill="1" applyBorder="1" applyAlignment="1">
      <alignment horizontal="center" vertical="center" wrapText="1"/>
    </xf>
    <xf numFmtId="9" fontId="59" fillId="41" borderId="0" xfId="190" applyFont="1" applyFill="1" applyBorder="1" applyAlignment="1">
      <alignment horizontal="center" vertical="center" wrapText="1"/>
    </xf>
    <xf numFmtId="4" fontId="59" fillId="41" borderId="0" xfId="103" applyNumberFormat="1" applyFont="1" applyFill="1" applyBorder="1" applyAlignment="1">
      <alignment horizontal="center" vertical="center" wrapText="1"/>
    </xf>
    <xf numFmtId="6" fontId="59" fillId="41" borderId="0" xfId="103" applyNumberFormat="1" applyFont="1" applyFill="1" applyBorder="1" applyAlignment="1">
      <alignment horizontal="center" vertical="center" wrapText="1"/>
    </xf>
    <xf numFmtId="0" fontId="58" fillId="41" borderId="0" xfId="103" applyFont="1" applyFill="1" applyBorder="1" applyAlignment="1">
      <alignment horizontal="center" vertical="center" wrapText="1"/>
    </xf>
    <xf numFmtId="8" fontId="59" fillId="41" borderId="0" xfId="103" applyNumberFormat="1" applyFont="1" applyFill="1" applyBorder="1" applyAlignment="1">
      <alignment horizontal="center" vertical="center"/>
    </xf>
    <xf numFmtId="0" fontId="59" fillId="41" borderId="0" xfId="103" applyFont="1" applyFill="1" applyBorder="1" applyAlignment="1">
      <alignment horizontal="center" vertical="center"/>
    </xf>
    <xf numFmtId="43" fontId="59" fillId="41" borderId="5" xfId="189" applyNumberFormat="1" applyFont="1" applyFill="1" applyBorder="1" applyAlignment="1">
      <alignment horizontal="center" vertical="center" wrapText="1"/>
    </xf>
    <xf numFmtId="43" fontId="59" fillId="41" borderId="0" xfId="103" applyNumberFormat="1" applyFont="1" applyFill="1" applyBorder="1" applyAlignment="1">
      <alignment horizontal="center" vertical="center" wrapText="1"/>
    </xf>
    <xf numFmtId="0" fontId="2" fillId="41" borderId="0" xfId="103" applyFill="1" applyBorder="1"/>
    <xf numFmtId="168" fontId="58" fillId="38" borderId="5" xfId="189" applyNumberFormat="1" applyFont="1" applyFill="1" applyBorder="1" applyAlignment="1">
      <alignment horizontal="center" vertical="center" wrapText="1"/>
    </xf>
    <xf numFmtId="0" fontId="2" fillId="38" borderId="5" xfId="103" applyFill="1" applyBorder="1"/>
    <xf numFmtId="43" fontId="58" fillId="38" borderId="5" xfId="189" applyNumberFormat="1" applyFont="1" applyFill="1" applyBorder="1" applyAlignment="1">
      <alignment horizontal="center" vertical="center" wrapText="1"/>
    </xf>
    <xf numFmtId="6" fontId="59" fillId="38" borderId="5" xfId="103" applyNumberFormat="1" applyFont="1" applyFill="1" applyBorder="1" applyAlignment="1">
      <alignment horizontal="center" vertical="center" wrapText="1"/>
    </xf>
    <xf numFmtId="44" fontId="58" fillId="38" borderId="5" xfId="188" applyFont="1" applyFill="1" applyBorder="1" applyAlignment="1">
      <alignment horizontal="center" vertical="center" wrapText="1"/>
    </xf>
    <xf numFmtId="168" fontId="58" fillId="41" borderId="0" xfId="189" applyNumberFormat="1" applyFont="1" applyFill="1" applyBorder="1" applyAlignment="1">
      <alignment horizontal="center" vertical="center" wrapText="1"/>
    </xf>
    <xf numFmtId="43" fontId="58" fillId="42" borderId="5" xfId="189" applyNumberFormat="1" applyFont="1" applyFill="1" applyBorder="1" applyAlignment="1">
      <alignment horizontal="center" vertical="center" wrapText="1"/>
    </xf>
    <xf numFmtId="44" fontId="58" fillId="42" borderId="5" xfId="188" applyFont="1" applyFill="1" applyBorder="1" applyAlignment="1">
      <alignment horizontal="center" vertical="center" wrapText="1"/>
    </xf>
    <xf numFmtId="168" fontId="59" fillId="41" borderId="0" xfId="189" applyNumberFormat="1" applyFont="1" applyFill="1" applyBorder="1" applyAlignment="1">
      <alignment horizontal="center" vertical="center" wrapText="1"/>
    </xf>
    <xf numFmtId="43" fontId="59" fillId="41" borderId="0" xfId="189" applyFont="1" applyFill="1" applyBorder="1" applyAlignment="1">
      <alignment horizontal="center" vertical="center" wrapText="1"/>
    </xf>
    <xf numFmtId="10" fontId="58" fillId="41" borderId="5" xfId="190" applyNumberFormat="1" applyFont="1" applyFill="1" applyBorder="1" applyAlignment="1">
      <alignment horizontal="center" vertical="center" wrapText="1"/>
    </xf>
    <xf numFmtId="0" fontId="2" fillId="0" borderId="5" xfId="103" applyBorder="1"/>
    <xf numFmtId="0" fontId="2" fillId="41" borderId="5" xfId="103" applyFill="1" applyBorder="1"/>
    <xf numFmtId="0" fontId="59" fillId="41" borderId="5" xfId="103" applyFont="1" applyFill="1" applyBorder="1" applyAlignment="1">
      <alignment horizontal="center" vertical="center" wrapText="1"/>
    </xf>
    <xf numFmtId="3" fontId="2" fillId="0" borderId="5" xfId="103" applyNumberFormat="1" applyBorder="1"/>
    <xf numFmtId="168" fontId="0" fillId="0" borderId="5" xfId="189" applyNumberFormat="1" applyFont="1" applyBorder="1"/>
    <xf numFmtId="0" fontId="2" fillId="0" borderId="5" xfId="103" applyBorder="1" applyAlignment="1">
      <alignment horizontal="left" vertical="center"/>
    </xf>
    <xf numFmtId="0" fontId="2" fillId="0" borderId="0" xfId="103" applyFill="1" applyBorder="1"/>
    <xf numFmtId="43" fontId="0" fillId="38" borderId="5" xfId="189" applyNumberFormat="1" applyFont="1" applyFill="1" applyBorder="1"/>
    <xf numFmtId="168" fontId="2" fillId="0" borderId="5" xfId="103" applyNumberFormat="1" applyBorder="1"/>
    <xf numFmtId="0" fontId="55" fillId="0" borderId="5" xfId="103" applyFont="1" applyBorder="1"/>
    <xf numFmtId="9" fontId="55" fillId="0" borderId="5" xfId="190" applyFont="1" applyBorder="1"/>
    <xf numFmtId="0" fontId="55" fillId="0" borderId="5" xfId="103" applyFont="1" applyBorder="1" applyAlignment="1">
      <alignment horizontal="center" vertical="center"/>
    </xf>
    <xf numFmtId="169" fontId="2" fillId="38" borderId="5" xfId="103" applyNumberFormat="1" applyFill="1" applyBorder="1"/>
    <xf numFmtId="9" fontId="62" fillId="49" borderId="40" xfId="103" applyNumberFormat="1" applyFont="1" applyFill="1" applyBorder="1" applyAlignment="1">
      <alignment horizontal="center" vertical="top" wrapText="1"/>
    </xf>
    <xf numFmtId="9" fontId="62" fillId="49" borderId="41" xfId="103" applyNumberFormat="1" applyFont="1" applyFill="1" applyBorder="1" applyAlignment="1">
      <alignment horizontal="center" vertical="top" wrapText="1"/>
    </xf>
    <xf numFmtId="0" fontId="65" fillId="50" borderId="43" xfId="103" applyFont="1" applyFill="1" applyBorder="1" applyAlignment="1">
      <alignment vertical="top" wrapText="1"/>
    </xf>
    <xf numFmtId="0" fontId="65" fillId="50" borderId="44" xfId="103" applyFont="1" applyFill="1" applyBorder="1" applyAlignment="1">
      <alignment vertical="top" wrapText="1"/>
    </xf>
    <xf numFmtId="0" fontId="64" fillId="50" borderId="46" xfId="103" applyFont="1" applyFill="1" applyBorder="1" applyAlignment="1">
      <alignment vertical="top" wrapText="1"/>
    </xf>
    <xf numFmtId="0" fontId="64" fillId="38" borderId="47" xfId="103" applyFont="1" applyFill="1" applyBorder="1" applyAlignment="1">
      <alignment vertical="top" wrapText="1"/>
    </xf>
    <xf numFmtId="0" fontId="65" fillId="38" borderId="48" xfId="103" applyFont="1" applyFill="1" applyBorder="1" applyAlignment="1">
      <alignment vertical="top" wrapText="1"/>
    </xf>
    <xf numFmtId="0" fontId="65" fillId="38" borderId="49" xfId="103" applyFont="1" applyFill="1" applyBorder="1" applyAlignment="1">
      <alignment vertical="top" wrapText="1"/>
    </xf>
    <xf numFmtId="0" fontId="65" fillId="38" borderId="50" xfId="103" applyFont="1" applyFill="1" applyBorder="1" applyAlignment="1">
      <alignment vertical="top" wrapText="1"/>
    </xf>
    <xf numFmtId="0" fontId="44" fillId="41" borderId="0" xfId="103" applyFont="1" applyFill="1" applyBorder="1"/>
    <xf numFmtId="0" fontId="44" fillId="41" borderId="5" xfId="103" applyFont="1" applyFill="1" applyBorder="1"/>
    <xf numFmtId="9" fontId="2" fillId="41" borderId="5" xfId="103" applyNumberFormat="1" applyFill="1" applyBorder="1"/>
    <xf numFmtId="0" fontId="2" fillId="41" borderId="9" xfId="103" applyFill="1" applyBorder="1"/>
    <xf numFmtId="175" fontId="44" fillId="38" borderId="5" xfId="190" applyNumberFormat="1" applyFont="1" applyFill="1" applyBorder="1"/>
    <xf numFmtId="0" fontId="44" fillId="38" borderId="5" xfId="103" applyFont="1" applyFill="1" applyBorder="1"/>
    <xf numFmtId="0" fontId="2" fillId="49" borderId="56" xfId="103" applyFill="1" applyBorder="1" applyAlignment="1">
      <alignment horizontal="left" vertical="top" wrapText="1"/>
    </xf>
    <xf numFmtId="0" fontId="2" fillId="49" borderId="57" xfId="103" applyFill="1" applyBorder="1" applyAlignment="1">
      <alignment horizontal="left" vertical="top" wrapText="1"/>
    </xf>
    <xf numFmtId="0" fontId="2" fillId="49" borderId="58" xfId="103" applyFill="1" applyBorder="1" applyAlignment="1">
      <alignment horizontal="left" vertical="top" wrapText="1"/>
    </xf>
    <xf numFmtId="0" fontId="62" fillId="49" borderId="40" xfId="103" applyFont="1" applyFill="1" applyBorder="1" applyAlignment="1">
      <alignment horizontal="center" vertical="top" wrapText="1"/>
    </xf>
    <xf numFmtId="0" fontId="62" fillId="49" borderId="41" xfId="103" applyFont="1" applyFill="1" applyBorder="1" applyAlignment="1">
      <alignment horizontal="center" vertical="top" wrapText="1"/>
    </xf>
    <xf numFmtId="0" fontId="65" fillId="50" borderId="63" xfId="103" applyFont="1" applyFill="1" applyBorder="1" applyAlignment="1">
      <alignment vertical="top" wrapText="1"/>
    </xf>
    <xf numFmtId="0" fontId="65" fillId="50" borderId="64" xfId="103" applyFont="1" applyFill="1" applyBorder="1" applyAlignment="1">
      <alignment vertical="top" wrapText="1"/>
    </xf>
    <xf numFmtId="0" fontId="65" fillId="50" borderId="65" xfId="103" applyFont="1" applyFill="1" applyBorder="1" applyAlignment="1">
      <alignment vertical="top" wrapText="1"/>
    </xf>
    <xf numFmtId="0" fontId="65" fillId="50" borderId="66" xfId="103" applyFont="1" applyFill="1" applyBorder="1" applyAlignment="1">
      <alignment vertical="top" wrapText="1"/>
    </xf>
    <xf numFmtId="0" fontId="64" fillId="50" borderId="47" xfId="103" applyFont="1" applyFill="1" applyBorder="1" applyAlignment="1">
      <alignment vertical="top" wrapText="1"/>
    </xf>
    <xf numFmtId="0" fontId="65" fillId="50" borderId="48" xfId="103" applyFont="1" applyFill="1" applyBorder="1" applyAlignment="1">
      <alignment vertical="top" wrapText="1"/>
    </xf>
    <xf numFmtId="0" fontId="65" fillId="50" borderId="67" xfId="103" applyFont="1" applyFill="1" applyBorder="1" applyAlignment="1">
      <alignment vertical="top" wrapText="1"/>
    </xf>
    <xf numFmtId="2" fontId="2" fillId="41" borderId="0" xfId="103" applyNumberFormat="1" applyFill="1" applyBorder="1"/>
    <xf numFmtId="10" fontId="59" fillId="41" borderId="0" xfId="190" applyNumberFormat="1" applyFont="1" applyFill="1" applyBorder="1" applyAlignment="1">
      <alignment horizontal="center" vertical="center" wrapText="1"/>
    </xf>
    <xf numFmtId="177" fontId="59" fillId="41" borderId="0" xfId="190" applyNumberFormat="1" applyFont="1" applyFill="1" applyBorder="1" applyAlignment="1">
      <alignment horizontal="center" vertical="center" wrapText="1"/>
    </xf>
    <xf numFmtId="0" fontId="5" fillId="41" borderId="5" xfId="103" applyFont="1" applyFill="1" applyBorder="1" applyAlignment="1">
      <alignment horizontal="center" vertical="center" wrapText="1"/>
    </xf>
    <xf numFmtId="0" fontId="6" fillId="41" borderId="5" xfId="103" applyFont="1" applyFill="1" applyBorder="1"/>
    <xf numFmtId="9" fontId="6" fillId="41" borderId="5" xfId="190" applyFont="1" applyFill="1" applyBorder="1"/>
    <xf numFmtId="168" fontId="6" fillId="41" borderId="5" xfId="103" applyNumberFormat="1" applyFont="1" applyFill="1" applyBorder="1"/>
    <xf numFmtId="0" fontId="5" fillId="41" borderId="5" xfId="103" applyFont="1" applyFill="1" applyBorder="1"/>
    <xf numFmtId="9" fontId="5" fillId="41" borderId="5" xfId="190" applyFont="1" applyFill="1" applyBorder="1"/>
    <xf numFmtId="168" fontId="5" fillId="41" borderId="5" xfId="103" applyNumberFormat="1" applyFont="1" applyFill="1" applyBorder="1"/>
    <xf numFmtId="168" fontId="6" fillId="38" borderId="5" xfId="103" applyNumberFormat="1" applyFont="1" applyFill="1" applyBorder="1"/>
    <xf numFmtId="168" fontId="5" fillId="38" borderId="5" xfId="103" applyNumberFormat="1" applyFont="1" applyFill="1" applyBorder="1"/>
    <xf numFmtId="168" fontId="44" fillId="0" borderId="0" xfId="103" applyNumberFormat="1" applyFont="1" applyFill="1" applyBorder="1" applyAlignment="1">
      <alignment horizontal="center" vertical="center" wrapText="1"/>
    </xf>
    <xf numFmtId="178" fontId="44" fillId="0" borderId="0" xfId="103" applyNumberFormat="1" applyFont="1" applyFill="1" applyBorder="1" applyAlignment="1">
      <alignment horizontal="center" vertical="center" wrapText="1"/>
    </xf>
    <xf numFmtId="0" fontId="44" fillId="0" borderId="0" xfId="103" applyFont="1" applyFill="1" applyBorder="1" applyAlignment="1">
      <alignment horizontal="left" vertical="center"/>
    </xf>
    <xf numFmtId="0" fontId="2" fillId="0" borderId="5" xfId="103" applyFont="1" applyFill="1" applyBorder="1" applyAlignment="1">
      <alignment horizontal="center" vertical="center" wrapText="1"/>
    </xf>
    <xf numFmtId="9" fontId="2" fillId="0" borderId="5" xfId="103" applyNumberFormat="1" applyFont="1" applyFill="1" applyBorder="1" applyAlignment="1">
      <alignment horizontal="center" vertical="center" wrapText="1"/>
    </xf>
    <xf numFmtId="43" fontId="44" fillId="0" borderId="5" xfId="103" applyNumberFormat="1" applyFont="1" applyBorder="1" applyAlignment="1">
      <alignment horizontal="center" vertical="center"/>
    </xf>
    <xf numFmtId="0" fontId="2" fillId="0" borderId="5" xfId="103" applyBorder="1" applyAlignment="1">
      <alignment horizontal="center" vertical="center"/>
    </xf>
    <xf numFmtId="9" fontId="0" fillId="0" borderId="5" xfId="190" applyFont="1" applyBorder="1" applyAlignment="1">
      <alignment horizontal="center" vertical="center"/>
    </xf>
    <xf numFmtId="9" fontId="2" fillId="38" borderId="5" xfId="103" applyNumberFormat="1" applyFill="1" applyBorder="1" applyAlignment="1">
      <alignment horizontal="center" vertical="center"/>
    </xf>
    <xf numFmtId="9" fontId="0" fillId="51" borderId="5" xfId="190" applyFont="1" applyFill="1" applyBorder="1" applyAlignment="1">
      <alignment horizontal="center" vertical="center"/>
    </xf>
    <xf numFmtId="0" fontId="2" fillId="51" borderId="5" xfId="103" applyFill="1" applyBorder="1" applyAlignment="1">
      <alignment horizontal="center" vertical="center"/>
    </xf>
    <xf numFmtId="9" fontId="0" fillId="38" borderId="5" xfId="190" applyFont="1" applyFill="1" applyBorder="1" applyAlignment="1">
      <alignment horizontal="center" vertical="center"/>
    </xf>
    <xf numFmtId="0" fontId="5" fillId="0" borderId="0" xfId="103" applyFont="1" applyAlignment="1">
      <alignment vertical="center"/>
    </xf>
    <xf numFmtId="0" fontId="44" fillId="0" borderId="5" xfId="103" applyFont="1" applyBorder="1"/>
    <xf numFmtId="9" fontId="0" fillId="0" borderId="5" xfId="190" applyFont="1" applyBorder="1"/>
    <xf numFmtId="9" fontId="44" fillId="0" borderId="5" xfId="190" applyFont="1" applyBorder="1"/>
    <xf numFmtId="9" fontId="0" fillId="0" borderId="0" xfId="190" applyFont="1"/>
    <xf numFmtId="0" fontId="44" fillId="0" borderId="5" xfId="103" applyFont="1" applyBorder="1" applyAlignment="1">
      <alignment wrapText="1"/>
    </xf>
    <xf numFmtId="0" fontId="44" fillId="0" borderId="5" xfId="103" applyFont="1" applyFill="1" applyBorder="1" applyAlignment="1">
      <alignment wrapText="1"/>
    </xf>
    <xf numFmtId="0" fontId="2" fillId="0" borderId="5" xfId="103" applyBorder="1" applyAlignment="1">
      <alignment wrapText="1"/>
    </xf>
    <xf numFmtId="168" fontId="0" fillId="0" borderId="5" xfId="189" applyNumberFormat="1" applyFont="1" applyBorder="1" applyAlignment="1">
      <alignment wrapText="1"/>
    </xf>
    <xf numFmtId="0" fontId="2" fillId="38" borderId="5" xfId="103" applyFill="1" applyBorder="1" applyAlignment="1">
      <alignment wrapText="1"/>
    </xf>
    <xf numFmtId="168" fontId="0" fillId="38" borderId="5" xfId="189" applyNumberFormat="1" applyFont="1" applyFill="1" applyBorder="1" applyAlignment="1">
      <alignment wrapText="1"/>
    </xf>
    <xf numFmtId="0" fontId="2" fillId="38" borderId="0" xfId="103" applyFill="1"/>
    <xf numFmtId="0" fontId="2" fillId="0" borderId="5" xfId="103" applyFill="1" applyBorder="1" applyAlignment="1">
      <alignment wrapText="1"/>
    </xf>
    <xf numFmtId="0" fontId="59" fillId="44" borderId="5" xfId="103" applyFont="1" applyFill="1" applyBorder="1" applyAlignment="1">
      <alignment horizontal="left" wrapText="1"/>
    </xf>
    <xf numFmtId="179" fontId="59" fillId="52" borderId="5" xfId="103" applyNumberFormat="1" applyFont="1" applyFill="1" applyBorder="1" applyAlignment="1">
      <alignment horizontal="center" vertical="center" wrapText="1"/>
    </xf>
    <xf numFmtId="9" fontId="59" fillId="41" borderId="0" xfId="168" applyFont="1" applyFill="1" applyBorder="1" applyAlignment="1">
      <alignment horizontal="center" vertical="center" wrapText="1"/>
    </xf>
    <xf numFmtId="0" fontId="66" fillId="0" borderId="0" xfId="191"/>
    <xf numFmtId="164" fontId="0" fillId="0" borderId="0" xfId="0" applyNumberFormat="1" applyFill="1" applyBorder="1">
      <alignment readingOrder="1"/>
    </xf>
    <xf numFmtId="175" fontId="51" fillId="8" borderId="5" xfId="168" applyNumberFormat="1" applyFont="1" applyFill="1" applyBorder="1"/>
    <xf numFmtId="175" fontId="53" fillId="0" borderId="5" xfId="168" applyNumberFormat="1" applyFont="1" applyBorder="1"/>
    <xf numFmtId="175" fontId="51" fillId="40" borderId="5" xfId="168" applyNumberFormat="1" applyFont="1" applyFill="1" applyBorder="1"/>
    <xf numFmtId="175" fontId="51" fillId="39" borderId="5" xfId="168" applyNumberFormat="1" applyFont="1" applyFill="1" applyBorder="1"/>
    <xf numFmtId="164" fontId="0" fillId="0" borderId="0" xfId="0" applyNumberFormat="1" applyFill="1" applyBorder="1"/>
    <xf numFmtId="0" fontId="67" fillId="2" borderId="0" xfId="0" applyFont="1" applyFill="1" applyAlignment="1">
      <alignment horizontal="right" readingOrder="1"/>
    </xf>
    <xf numFmtId="0" fontId="68" fillId="2" borderId="0" xfId="0" applyFont="1" applyFill="1">
      <alignment readingOrder="1"/>
    </xf>
    <xf numFmtId="44" fontId="4" fillId="0" borderId="0" xfId="2" applyNumberFormat="1" applyFont="1">
      <alignment readingOrder="1"/>
    </xf>
    <xf numFmtId="0" fontId="70" fillId="53" borderId="9" xfId="0" applyFont="1" applyFill="1" applyBorder="1" applyAlignment="1">
      <alignment horizontal="left" readingOrder="1"/>
    </xf>
    <xf numFmtId="0" fontId="70" fillId="53"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 fontId="0" fillId="0" borderId="0" xfId="0" applyNumberFormat="1">
      <alignment readingOrder="1"/>
    </xf>
    <xf numFmtId="164" fontId="71" fillId="0" borderId="0" xfId="0" applyNumberFormat="1" applyFont="1">
      <alignment readingOrder="1"/>
    </xf>
    <xf numFmtId="0" fontId="70" fillId="54" borderId="9" xfId="0" applyFont="1" applyFill="1" applyBorder="1" applyAlignment="1">
      <alignment horizontal="left" wrapText="1" readingOrder="1"/>
    </xf>
    <xf numFmtId="0" fontId="70" fillId="54" borderId="8" xfId="0" applyFont="1" applyFill="1" applyBorder="1" applyAlignment="1">
      <alignment horizontal="center" wrapText="1" readingOrder="1"/>
    </xf>
    <xf numFmtId="0" fontId="70" fillId="53" borderId="10" xfId="0" applyFont="1" applyFill="1" applyBorder="1" applyAlignment="1">
      <alignment horizontal="center" wrapText="1" readingOrder="1"/>
    </xf>
    <xf numFmtId="0" fontId="0" fillId="0" borderId="68" xfId="0" applyBorder="1">
      <alignment readingOrder="1"/>
    </xf>
    <xf numFmtId="0" fontId="0" fillId="0" borderId="69" xfId="0" applyBorder="1">
      <alignment readingOrder="1"/>
    </xf>
    <xf numFmtId="0" fontId="0" fillId="0" borderId="70" xfId="0" applyBorder="1">
      <alignment readingOrder="1"/>
    </xf>
    <xf numFmtId="0" fontId="0" fillId="0" borderId="71" xfId="0" applyBorder="1">
      <alignment readingOrder="1"/>
    </xf>
    <xf numFmtId="0" fontId="0" fillId="0" borderId="0" xfId="0" applyBorder="1">
      <alignment readingOrder="1"/>
    </xf>
    <xf numFmtId="0" fontId="0" fillId="0" borderId="72" xfId="0" applyBorder="1">
      <alignment readingOrder="1"/>
    </xf>
    <xf numFmtId="0" fontId="0" fillId="0" borderId="73" xfId="0" applyBorder="1">
      <alignment readingOrder="1"/>
    </xf>
    <xf numFmtId="0" fontId="0" fillId="0" borderId="74" xfId="0" applyBorder="1">
      <alignment readingOrder="1"/>
    </xf>
    <xf numFmtId="0" fontId="0" fillId="0" borderId="75" xfId="0" applyBorder="1">
      <alignment readingOrder="1"/>
    </xf>
    <xf numFmtId="0" fontId="13" fillId="55" borderId="1" xfId="0" applyFont="1" applyFill="1" applyBorder="1" applyAlignment="1">
      <alignment horizontal="centerContinuous" wrapText="1" readingOrder="1"/>
    </xf>
    <xf numFmtId="0" fontId="13" fillId="55" borderId="3" xfId="0" applyFont="1" applyFill="1" applyBorder="1" applyAlignment="1">
      <alignment horizontal="centerContinuous" wrapText="1" readingOrder="1"/>
    </xf>
    <xf numFmtId="164" fontId="13" fillId="55" borderId="1" xfId="0" applyNumberFormat="1" applyFont="1" applyFill="1" applyBorder="1" applyAlignment="1">
      <alignment horizontal="centerContinuous" wrapText="1" readingOrder="1"/>
    </xf>
    <xf numFmtId="164" fontId="13" fillId="55" borderId="2" xfId="0" applyNumberFormat="1" applyFont="1" applyFill="1" applyBorder="1" applyAlignment="1">
      <alignment horizontal="centerContinuous" wrapText="1" readingOrder="1"/>
    </xf>
    <xf numFmtId="164" fontId="13" fillId="55" borderId="3" xfId="0" applyNumberFormat="1" applyFont="1" applyFill="1" applyBorder="1" applyAlignment="1">
      <alignment horizontal="centerContinuous" wrapText="1" readingOrder="1"/>
    </xf>
    <xf numFmtId="164" fontId="13" fillId="55" borderId="10" xfId="0" applyNumberFormat="1" applyFont="1" applyFill="1" applyBorder="1" applyAlignment="1">
      <alignment horizontal="center" wrapText="1" readingOrder="1"/>
    </xf>
    <xf numFmtId="180" fontId="13" fillId="34" borderId="8"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64" fontId="14" fillId="0" borderId="0" xfId="0" applyNumberFormat="1" applyFont="1">
      <alignment readingOrder="1"/>
    </xf>
    <xf numFmtId="181" fontId="14" fillId="0" borderId="0" xfId="0" applyNumberFormat="1" applyFont="1">
      <alignment readingOrder="1"/>
    </xf>
    <xf numFmtId="181" fontId="0" fillId="0" borderId="0" xfId="0" applyNumberFormat="1">
      <alignment readingOrder="1"/>
    </xf>
    <xf numFmtId="181" fontId="71" fillId="0" borderId="0" xfId="0" applyNumberFormat="1" applyFont="1">
      <alignment readingOrder="1"/>
    </xf>
    <xf numFmtId="2" fontId="0" fillId="0" borderId="0" xfId="0" applyNumberFormat="1">
      <alignment readingOrder="1"/>
    </xf>
    <xf numFmtId="171" fontId="0" fillId="0" borderId="0" xfId="0" applyNumberFormat="1">
      <alignment readingOrder="1"/>
    </xf>
    <xf numFmtId="0" fontId="54" fillId="3" borderId="0" xfId="103" applyFont="1" applyFill="1" applyBorder="1" applyAlignment="1">
      <alignment horizontal="center" vertical="center" wrapText="1"/>
    </xf>
    <xf numFmtId="175" fontId="53" fillId="0" borderId="0" xfId="168" applyNumberFormat="1" applyFont="1" applyBorder="1"/>
    <xf numFmtId="182" fontId="2" fillId="0" borderId="0" xfId="103" applyNumberFormat="1"/>
    <xf numFmtId="44" fontId="47" fillId="8" borderId="5" xfId="188" applyNumberFormat="1" applyFont="1" applyFill="1" applyBorder="1" applyAlignment="1"/>
    <xf numFmtId="168" fontId="4" fillId="0" borderId="0" xfId="1" applyNumberFormat="1" applyFont="1">
      <alignment readingOrder="1"/>
    </xf>
    <xf numFmtId="0" fontId="68" fillId="0" borderId="0" xfId="0" applyFont="1">
      <alignment readingOrder="1"/>
    </xf>
    <xf numFmtId="0" fontId="68" fillId="0" borderId="0" xfId="0" applyFont="1"/>
    <xf numFmtId="43" fontId="44" fillId="8" borderId="5" xfId="1" applyFont="1" applyFill="1" applyBorder="1"/>
    <xf numFmtId="43" fontId="44" fillId="39" borderId="5" xfId="1" applyFont="1" applyFill="1" applyBorder="1"/>
    <xf numFmtId="43" fontId="44" fillId="40" borderId="5" xfId="1" applyFont="1" applyFill="1" applyBorder="1"/>
    <xf numFmtId="43" fontId="44" fillId="52" borderId="5" xfId="1" applyFont="1" applyFill="1" applyBorder="1"/>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6" xfId="0" applyNumberFormat="1" applyFill="1" applyBorder="1" applyAlignment="1">
      <alignment vertical="center" wrapText="1" readingOrder="1"/>
    </xf>
    <xf numFmtId="0" fontId="0" fillId="2" borderId="27" xfId="0" applyNumberFormat="1" applyFill="1" applyBorder="1" applyAlignment="1">
      <alignment vertical="center" wrapText="1" readingOrder="1"/>
    </xf>
    <xf numFmtId="0" fontId="0" fillId="3" borderId="6" xfId="0" applyFill="1" applyBorder="1">
      <alignment readingOrder="1"/>
    </xf>
    <xf numFmtId="0" fontId="0" fillId="3" borderId="0" xfId="0" applyFill="1">
      <alignment readingOrder="1"/>
    </xf>
    <xf numFmtId="0" fontId="43" fillId="56" borderId="0" xfId="0" applyFont="1" applyFill="1">
      <alignment readingOrder="1"/>
    </xf>
    <xf numFmtId="0" fontId="0" fillId="3" borderId="76" xfId="0" applyFill="1" applyBorder="1">
      <alignment readingOrder="1"/>
    </xf>
    <xf numFmtId="1" fontId="0" fillId="0" borderId="0" xfId="0" quotePrefix="1" applyNumberFormat="1">
      <alignment readingOrder="1"/>
    </xf>
    <xf numFmtId="0" fontId="69" fillId="0" borderId="0" xfId="0" applyFont="1">
      <alignment readingOrder="1"/>
    </xf>
    <xf numFmtId="0" fontId="0" fillId="3" borderId="0" xfId="0" applyFill="1" applyAlignment="1">
      <alignment vertical="center" wrapText="1" readingOrder="1"/>
    </xf>
    <xf numFmtId="0" fontId="0" fillId="0" borderId="0" xfId="0" quotePrefix="1">
      <alignment readingOrder="1"/>
    </xf>
    <xf numFmtId="0" fontId="0" fillId="3" borderId="11" xfId="0" applyFill="1" applyBorder="1">
      <alignment readingOrder="1"/>
    </xf>
    <xf numFmtId="0" fontId="0" fillId="39" borderId="0" xfId="0" applyFill="1">
      <alignment readingOrder="1"/>
    </xf>
    <xf numFmtId="0" fontId="0" fillId="2" borderId="0" xfId="0" applyFill="1">
      <alignment readingOrder="1"/>
    </xf>
    <xf numFmtId="9" fontId="0" fillId="39" borderId="0" xfId="0" applyNumberFormat="1" applyFill="1" applyAlignment="1">
      <alignment horizontal="center"/>
    </xf>
    <xf numFmtId="1" fontId="0" fillId="0" borderId="0" xfId="0" quotePrefix="1" applyNumberFormat="1" applyFill="1">
      <alignment readingOrder="1"/>
    </xf>
    <xf numFmtId="1" fontId="0" fillId="0" borderId="0" xfId="0" applyNumberFormat="1"/>
    <xf numFmtId="0" fontId="4" fillId="0" borderId="0" xfId="0" applyFont="1">
      <alignment readingOrder="1"/>
    </xf>
    <xf numFmtId="168" fontId="0" fillId="0" borderId="0" xfId="0" applyNumberFormat="1"/>
    <xf numFmtId="0" fontId="44" fillId="37" borderId="7" xfId="0" applyFont="1" applyFill="1" applyBorder="1"/>
    <xf numFmtId="9" fontId="6" fillId="0" borderId="0" xfId="168" applyFont="1" applyFill="1" applyAlignment="1">
      <alignment horizontal="center" readingOrder="1"/>
    </xf>
    <xf numFmtId="9" fontId="0" fillId="0" borderId="0" xfId="168" applyFont="1" applyFill="1" applyAlignment="1">
      <alignment horizontal="center"/>
    </xf>
    <xf numFmtId="0" fontId="0" fillId="0" borderId="0" xfId="0" applyFill="1"/>
    <xf numFmtId="168" fontId="0" fillId="0" borderId="0" xfId="0" applyNumberFormat="1" applyFill="1"/>
    <xf numFmtId="9" fontId="6" fillId="0" borderId="0" xfId="168" applyFont="1" applyAlignment="1">
      <alignment horizontal="center" readingOrder="1"/>
    </xf>
    <xf numFmtId="0" fontId="44" fillId="3" borderId="9" xfId="0" applyFont="1" applyFill="1" applyBorder="1"/>
    <xf numFmtId="0" fontId="44" fillId="0" borderId="0" xfId="0" applyFont="1">
      <alignment readingOrder="1"/>
    </xf>
    <xf numFmtId="9" fontId="44" fillId="3" borderId="5" xfId="161" applyFont="1" applyFill="1" applyBorder="1"/>
    <xf numFmtId="0" fontId="44" fillId="3" borderId="7" xfId="0" applyFont="1" applyFill="1" applyBorder="1"/>
    <xf numFmtId="0" fontId="0" fillId="58" borderId="0" xfId="0" applyFill="1">
      <alignment readingOrder="1"/>
    </xf>
    <xf numFmtId="1" fontId="6" fillId="0" borderId="0" xfId="0" applyNumberFormat="1" applyFont="1"/>
    <xf numFmtId="172" fontId="0" fillId="0" borderId="0" xfId="0" applyNumberFormat="1"/>
    <xf numFmtId="168" fontId="0" fillId="58" borderId="0" xfId="189" applyNumberFormat="1" applyFont="1" applyFill="1">
      <alignment readingOrder="1"/>
    </xf>
    <xf numFmtId="1" fontId="6" fillId="0" borderId="0" xfId="0" applyNumberFormat="1" applyFont="1">
      <alignment readingOrder="1"/>
    </xf>
    <xf numFmtId="164" fontId="0" fillId="57" borderId="0" xfId="0" applyNumberFormat="1" applyFill="1" applyAlignment="1">
      <alignment horizontal="center" readingOrder="1"/>
    </xf>
    <xf numFmtId="0" fontId="44" fillId="2" borderId="5" xfId="0" applyFont="1" applyFill="1" applyBorder="1"/>
    <xf numFmtId="0" fontId="0" fillId="0" borderId="0" xfId="0" applyAlignment="1">
      <alignment horizontal="center" readingOrder="1"/>
    </xf>
    <xf numFmtId="0" fontId="0" fillId="3" borderId="0" xfId="0" applyFill="1" applyAlignment="1">
      <alignment horizontal="center" readingOrder="1"/>
    </xf>
    <xf numFmtId="1" fontId="0" fillId="58" borderId="0" xfId="0" applyNumberFormat="1" applyFill="1">
      <alignment readingOrder="1"/>
    </xf>
    <xf numFmtId="0" fontId="0" fillId="3" borderId="0" xfId="0" applyFill="1" applyAlignment="1">
      <alignment horizontal="right" readingOrder="1"/>
    </xf>
    <xf numFmtId="172" fontId="0" fillId="0" borderId="0" xfId="0" applyNumberFormat="1">
      <alignment readingOrder="1"/>
    </xf>
    <xf numFmtId="0" fontId="44" fillId="57" borderId="5" xfId="0" applyFont="1" applyFill="1" applyBorder="1"/>
    <xf numFmtId="164" fontId="44" fillId="57" borderId="5" xfId="0" applyNumberFormat="1" applyFont="1" applyFill="1" applyBorder="1"/>
    <xf numFmtId="164" fontId="0" fillId="0" borderId="0" xfId="0" applyNumberFormat="1"/>
    <xf numFmtId="168" fontId="0" fillId="0" borderId="0" xfId="1" quotePrefix="1" applyNumberFormat="1" applyFont="1" applyFill="1">
      <alignment readingOrder="1"/>
    </xf>
    <xf numFmtId="0" fontId="42" fillId="3" borderId="5" xfId="0" applyFont="1" applyFill="1" applyBorder="1">
      <alignment readingOrder="1"/>
    </xf>
    <xf numFmtId="1" fontId="44" fillId="57" borderId="5" xfId="0" applyNumberFormat="1" applyFont="1" applyFill="1" applyBorder="1"/>
    <xf numFmtId="43" fontId="0" fillId="0" borderId="0" xfId="1" applyNumberFormat="1" applyFont="1">
      <alignment readingOrder="1"/>
    </xf>
    <xf numFmtId="168" fontId="0" fillId="10" borderId="0" xfId="53" applyNumberFormat="1" applyFont="1" applyFill="1" applyAlignment="1">
      <alignment horizontal="center" readingOrder="1"/>
    </xf>
    <xf numFmtId="168" fontId="0" fillId="0" borderId="0" xfId="1" applyNumberFormat="1" applyFont="1">
      <alignment readingOrder="1"/>
    </xf>
    <xf numFmtId="0" fontId="72" fillId="59" borderId="28" xfId="0" applyFont="1" applyFill="1" applyBorder="1" applyAlignment="1">
      <alignment horizontal="center" wrapText="1"/>
    </xf>
    <xf numFmtId="0" fontId="72" fillId="59" borderId="78" xfId="0" applyFont="1" applyFill="1" applyBorder="1" applyAlignment="1">
      <alignment horizontal="center" wrapText="1"/>
    </xf>
    <xf numFmtId="14" fontId="0" fillId="0" borderId="0" xfId="0" applyNumberFormat="1"/>
    <xf numFmtId="164" fontId="2" fillId="0" borderId="0" xfId="103" applyNumberFormat="1"/>
    <xf numFmtId="0" fontId="44" fillId="8" borderId="5" xfId="103" applyFont="1" applyFill="1" applyBorder="1"/>
    <xf numFmtId="9" fontId="44" fillId="8" borderId="5" xfId="187" applyFont="1" applyFill="1" applyBorder="1"/>
    <xf numFmtId="1" fontId="42" fillId="57" borderId="26" xfId="0" applyNumberFormat="1" applyFont="1" applyFill="1" applyBorder="1" applyAlignment="1">
      <alignment horizontal="center" readingOrder="1"/>
    </xf>
    <xf numFmtId="0" fontId="0" fillId="3" borderId="26" xfId="0" applyFont="1" applyFill="1" applyBorder="1">
      <alignment readingOrder="1"/>
    </xf>
    <xf numFmtId="0" fontId="43" fillId="56" borderId="24" xfId="0" applyFont="1" applyFill="1" applyBorder="1">
      <alignment readingOrder="1"/>
    </xf>
    <xf numFmtId="0" fontId="43" fillId="56" borderId="77" xfId="0" applyFont="1" applyFill="1" applyBorder="1">
      <alignment readingOrder="1"/>
    </xf>
    <xf numFmtId="0" fontId="0" fillId="57" borderId="27" xfId="0" applyFill="1" applyBorder="1">
      <alignment readingOrder="1"/>
    </xf>
    <xf numFmtId="0" fontId="7" fillId="2" borderId="6" xfId="0" applyNumberFormat="1" applyFont="1" applyFill="1" applyBorder="1" applyAlignment="1">
      <alignment horizontal="left" vertical="center" wrapText="1" readingOrder="1"/>
    </xf>
    <xf numFmtId="0" fontId="7" fillId="2" borderId="23" xfId="0" applyNumberFormat="1" applyFont="1" applyFill="1" applyBorder="1" applyAlignment="1">
      <alignment horizontal="left" vertical="center" wrapText="1" readingOrder="1"/>
    </xf>
    <xf numFmtId="0" fontId="7" fillId="2" borderId="24" xfId="0" applyNumberFormat="1" applyFont="1" applyFill="1" applyBorder="1" applyAlignment="1">
      <alignment horizontal="left" vertical="center" wrapText="1" readingOrder="1"/>
    </xf>
    <xf numFmtId="0" fontId="7" fillId="2" borderId="76" xfId="0" applyNumberFormat="1" applyFont="1" applyFill="1" applyBorder="1" applyAlignment="1">
      <alignment horizontal="left" vertical="center" wrapText="1" readingOrder="1"/>
    </xf>
    <xf numFmtId="0" fontId="7" fillId="2" borderId="0" xfId="0" applyNumberFormat="1" applyFont="1" applyFill="1" applyBorder="1" applyAlignment="1">
      <alignment horizontal="left" vertical="center" wrapText="1" readingOrder="1"/>
    </xf>
    <xf numFmtId="0" fontId="7" fillId="2" borderId="77" xfId="0" applyNumberFormat="1" applyFont="1" applyFill="1" applyBorder="1" applyAlignment="1">
      <alignment horizontal="left" vertical="center" wrapText="1" readingOrder="1"/>
    </xf>
    <xf numFmtId="0" fontId="7" fillId="2" borderId="26" xfId="0" applyNumberFormat="1" applyFont="1" applyFill="1" applyBorder="1" applyAlignment="1">
      <alignment horizontal="left" vertical="center" wrapText="1" readingOrder="1"/>
    </xf>
    <xf numFmtId="0" fontId="7" fillId="2" borderId="27" xfId="0" applyNumberFormat="1" applyFon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4" fillId="0" borderId="5" xfId="103" applyFont="1" applyBorder="1" applyAlignment="1">
      <alignment horizontal="center" vertical="center" wrapText="1"/>
    </xf>
    <xf numFmtId="6" fontId="59" fillId="45" borderId="5" xfId="103" applyNumberFormat="1" applyFont="1" applyFill="1" applyBorder="1" applyAlignment="1">
      <alignment horizontal="center" vertical="center" wrapText="1"/>
    </xf>
    <xf numFmtId="0" fontId="58" fillId="46" borderId="5" xfId="103" applyFont="1" applyFill="1" applyBorder="1" applyAlignment="1">
      <alignment horizontal="center" vertical="center" wrapText="1"/>
    </xf>
    <xf numFmtId="8" fontId="59" fillId="47" borderId="5" xfId="103" applyNumberFormat="1" applyFont="1" applyFill="1" applyBorder="1" applyAlignment="1">
      <alignment horizontal="center" vertical="center"/>
    </xf>
    <xf numFmtId="0" fontId="59" fillId="45" borderId="5" xfId="103" applyFont="1" applyFill="1" applyBorder="1" applyAlignment="1">
      <alignment horizontal="center" vertical="center"/>
    </xf>
    <xf numFmtId="0" fontId="58" fillId="44" borderId="5" xfId="103" applyFont="1" applyFill="1" applyBorder="1" applyAlignment="1">
      <alignment horizontal="center" vertical="center" wrapText="1"/>
    </xf>
    <xf numFmtId="0" fontId="59" fillId="0" borderId="5" xfId="103" applyFont="1" applyBorder="1" applyAlignment="1">
      <alignment horizontal="center" vertical="center" wrapText="1"/>
    </xf>
    <xf numFmtId="3" fontId="59" fillId="0" borderId="5" xfId="103" applyNumberFormat="1" applyFont="1" applyBorder="1" applyAlignment="1">
      <alignment horizontal="center" vertical="center" wrapText="1"/>
    </xf>
    <xf numFmtId="6" fontId="59" fillId="0" borderId="5" xfId="103" applyNumberFormat="1" applyFont="1" applyBorder="1" applyAlignment="1">
      <alignment horizontal="center" vertical="center" wrapText="1"/>
    </xf>
    <xf numFmtId="4" fontId="59" fillId="0" borderId="5" xfId="103" applyNumberFormat="1" applyFont="1" applyBorder="1" applyAlignment="1">
      <alignment horizontal="center" vertical="center" wrapText="1"/>
    </xf>
    <xf numFmtId="0" fontId="58" fillId="38" borderId="5" xfId="103" applyFont="1" applyFill="1" applyBorder="1" applyAlignment="1">
      <alignment horizontal="center" vertical="center" wrapText="1"/>
    </xf>
    <xf numFmtId="0" fontId="59" fillId="38" borderId="5" xfId="103" applyFont="1" applyFill="1" applyBorder="1" applyAlignment="1">
      <alignment horizontal="center" vertical="center" wrapText="1"/>
    </xf>
    <xf numFmtId="6" fontId="59" fillId="38" borderId="5" xfId="103" applyNumberFormat="1" applyFont="1" applyFill="1" applyBorder="1" applyAlignment="1">
      <alignment horizontal="center" vertical="center" wrapText="1"/>
    </xf>
    <xf numFmtId="4" fontId="59" fillId="38" borderId="5" xfId="103" applyNumberFormat="1" applyFont="1" applyFill="1" applyBorder="1" applyAlignment="1">
      <alignment horizontal="center" vertical="center" wrapText="1"/>
    </xf>
    <xf numFmtId="8" fontId="59" fillId="38" borderId="5" xfId="103" applyNumberFormat="1" applyFont="1" applyFill="1" applyBorder="1" applyAlignment="1">
      <alignment horizontal="center" vertical="center"/>
    </xf>
    <xf numFmtId="0" fontId="59" fillId="38" borderId="5" xfId="103" applyFont="1" applyFill="1" applyBorder="1" applyAlignment="1">
      <alignment horizontal="center" vertical="center"/>
    </xf>
    <xf numFmtId="43" fontId="59" fillId="41" borderId="7" xfId="189" applyFont="1" applyFill="1" applyBorder="1" applyAlignment="1">
      <alignment horizontal="center" vertical="center" wrapText="1"/>
    </xf>
    <xf numFmtId="43" fontId="59" fillId="41" borderId="25" xfId="189" applyFont="1" applyFill="1" applyBorder="1" applyAlignment="1">
      <alignment horizontal="center" vertical="center" wrapText="1"/>
    </xf>
    <xf numFmtId="43" fontId="59" fillId="41" borderId="4" xfId="189" applyFont="1" applyFill="1" applyBorder="1" applyAlignment="1">
      <alignment horizontal="center" vertical="center" wrapText="1"/>
    </xf>
    <xf numFmtId="168" fontId="59" fillId="0" borderId="5" xfId="189" applyNumberFormat="1" applyFont="1" applyBorder="1" applyAlignment="1">
      <alignment horizontal="center" vertical="center" wrapText="1"/>
    </xf>
    <xf numFmtId="43" fontId="59" fillId="0" borderId="5" xfId="189" applyFont="1" applyBorder="1" applyAlignment="1">
      <alignment horizontal="center" vertical="center" wrapText="1"/>
    </xf>
    <xf numFmtId="0" fontId="60" fillId="48" borderId="5" xfId="103" applyFont="1" applyFill="1" applyBorder="1" applyAlignment="1">
      <alignment horizontal="center" vertical="center" wrapText="1"/>
    </xf>
    <xf numFmtId="0" fontId="61" fillId="0" borderId="32" xfId="103" applyFont="1" applyBorder="1" applyAlignment="1">
      <alignment horizontal="center" vertical="center" wrapText="1"/>
    </xf>
    <xf numFmtId="0" fontId="62" fillId="49" borderId="33" xfId="103" applyFont="1" applyFill="1" applyBorder="1" applyAlignment="1">
      <alignment horizontal="center" vertical="top" wrapText="1"/>
    </xf>
    <xf numFmtId="0" fontId="62" fillId="49" borderId="38" xfId="103" applyFont="1" applyFill="1" applyBorder="1" applyAlignment="1">
      <alignment horizontal="center" vertical="top" wrapText="1"/>
    </xf>
    <xf numFmtId="0" fontId="62" fillId="49" borderId="34" xfId="103" applyFont="1" applyFill="1" applyBorder="1" applyAlignment="1">
      <alignment horizontal="center" vertical="top" wrapText="1"/>
    </xf>
    <xf numFmtId="0" fontId="62" fillId="49" borderId="39" xfId="103" applyFont="1" applyFill="1" applyBorder="1" applyAlignment="1">
      <alignment horizontal="center" vertical="top" wrapText="1"/>
    </xf>
    <xf numFmtId="0" fontId="62" fillId="49" borderId="35" xfId="103" applyFont="1" applyFill="1" applyBorder="1" applyAlignment="1">
      <alignment horizontal="center" vertical="top" wrapText="1"/>
    </xf>
    <xf numFmtId="0" fontId="62" fillId="49" borderId="36" xfId="103" applyFont="1" applyFill="1" applyBorder="1" applyAlignment="1">
      <alignment horizontal="center" vertical="top" wrapText="1"/>
    </xf>
    <xf numFmtId="0" fontId="62" fillId="49" borderId="37" xfId="103" applyFont="1" applyFill="1" applyBorder="1" applyAlignment="1">
      <alignment horizontal="center" vertical="top" wrapText="1"/>
    </xf>
    <xf numFmtId="0" fontId="6" fillId="41" borderId="7" xfId="103" applyFont="1" applyFill="1" applyBorder="1" applyAlignment="1">
      <alignment horizontal="center" vertical="center" wrapText="1"/>
    </xf>
    <xf numFmtId="0" fontId="6" fillId="41" borderId="25" xfId="103" applyFont="1" applyFill="1" applyBorder="1" applyAlignment="1">
      <alignment horizontal="center" vertical="center" wrapText="1"/>
    </xf>
    <xf numFmtId="0" fontId="6" fillId="41" borderId="4" xfId="103" applyFont="1" applyFill="1" applyBorder="1" applyAlignment="1">
      <alignment horizontal="center" vertical="center" wrapText="1"/>
    </xf>
    <xf numFmtId="0" fontId="5" fillId="41" borderId="5" xfId="103" applyFont="1" applyFill="1" applyBorder="1" applyAlignment="1">
      <alignment horizontal="center" vertical="center" wrapText="1"/>
    </xf>
    <xf numFmtId="0" fontId="44" fillId="0" borderId="0" xfId="103" applyFont="1" applyAlignment="1">
      <alignment horizontal="left" vertical="center" wrapText="1"/>
    </xf>
    <xf numFmtId="0" fontId="44" fillId="0" borderId="5" xfId="103" applyFont="1" applyBorder="1" applyAlignment="1">
      <alignment horizontal="center" vertical="center"/>
    </xf>
    <xf numFmtId="0" fontId="64" fillId="50" borderId="42" xfId="103" applyFont="1" applyFill="1" applyBorder="1" applyAlignment="1">
      <alignment vertical="top" wrapText="1"/>
    </xf>
    <xf numFmtId="0" fontId="64" fillId="50" borderId="45" xfId="103" applyFont="1" applyFill="1" applyBorder="1" applyAlignment="1">
      <alignment vertical="top" wrapText="1"/>
    </xf>
    <xf numFmtId="0" fontId="62" fillId="49" borderId="51" xfId="103" applyFont="1" applyFill="1" applyBorder="1" applyAlignment="1">
      <alignment horizontal="center" vertical="top" wrapText="1"/>
    </xf>
    <xf numFmtId="0" fontId="62" fillId="49" borderId="52" xfId="103" applyFont="1" applyFill="1" applyBorder="1" applyAlignment="1">
      <alignment horizontal="center" vertical="top" wrapText="1"/>
    </xf>
    <xf numFmtId="0" fontId="62" fillId="49" borderId="53" xfId="103" applyFont="1" applyFill="1" applyBorder="1" applyAlignment="1">
      <alignment horizontal="center" vertical="top" wrapText="1"/>
    </xf>
    <xf numFmtId="0" fontId="48" fillId="49" borderId="54" xfId="103" applyFont="1" applyFill="1" applyBorder="1" applyAlignment="1">
      <alignment horizontal="center" vertical="center" wrapText="1"/>
    </xf>
    <xf numFmtId="0" fontId="48" fillId="49" borderId="0" xfId="103" applyFont="1" applyFill="1" applyBorder="1" applyAlignment="1">
      <alignment horizontal="center" vertical="center" wrapText="1"/>
    </xf>
    <xf numFmtId="0" fontId="48" fillId="49" borderId="55" xfId="103" applyFont="1" applyFill="1" applyBorder="1" applyAlignment="1">
      <alignment horizontal="center" vertical="center" wrapText="1"/>
    </xf>
    <xf numFmtId="0" fontId="62" fillId="49" borderId="59" xfId="103" applyFont="1" applyFill="1" applyBorder="1" applyAlignment="1">
      <alignment horizontal="center" vertical="top" wrapText="1"/>
    </xf>
    <xf numFmtId="0" fontId="62" fillId="49" borderId="60" xfId="103" applyFont="1" applyFill="1" applyBorder="1" applyAlignment="1">
      <alignment horizontal="center" vertical="top" wrapText="1"/>
    </xf>
    <xf numFmtId="0" fontId="62" fillId="49" borderId="61" xfId="103" applyFont="1" applyFill="1" applyBorder="1" applyAlignment="1">
      <alignment horizontal="center" vertical="top" wrapText="1"/>
    </xf>
    <xf numFmtId="0" fontId="62" fillId="49" borderId="62" xfId="103" applyFont="1" applyFill="1" applyBorder="1" applyAlignment="1">
      <alignment horizontal="center" vertical="top" wrapText="1"/>
    </xf>
  </cellXfs>
  <cellStyles count="192">
    <cellStyle name="20% - Accent1 2" xfId="8"/>
    <cellStyle name="20% - Accent1 2 2" xfId="9"/>
    <cellStyle name="20% - Accent2 2" xfId="10"/>
    <cellStyle name="20% - Accent3 2" xfId="11"/>
    <cellStyle name="20% - Accent3 2 2" xfId="12"/>
    <cellStyle name="20% - Accent4 2" xfId="13"/>
    <cellStyle name="20% - Accent4 2 2" xfId="14"/>
    <cellStyle name="20% - Accent5 2" xfId="15"/>
    <cellStyle name="20% - Accent6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6 2" xfId="26"/>
    <cellStyle name="40% - Accent6 2 2" xfId="27"/>
    <cellStyle name="60% - Accent1 2" xfId="28"/>
    <cellStyle name="60% - Accent1 2 2" xfId="29"/>
    <cellStyle name="60% - Accent2 2" xfId="30"/>
    <cellStyle name="60% - Accent2 2 2" xfId="31"/>
    <cellStyle name="60% - Accent3 2" xfId="32"/>
    <cellStyle name="60% - Accent3 2 2" xfId="33"/>
    <cellStyle name="60% - Accent4 2" xfId="34"/>
    <cellStyle name="60% - Accent4 2 2" xfId="35"/>
    <cellStyle name="60% - Accent5 2" xfId="36"/>
    <cellStyle name="60% - Accent6 2" xfId="37"/>
    <cellStyle name="60% - Accent6 2 2" xfId="38"/>
    <cellStyle name="Accent1 2" xfId="39"/>
    <cellStyle name="Accent1 2 2" xfId="40"/>
    <cellStyle name="Accent2 2" xfId="41"/>
    <cellStyle name="Accent3 2" xfId="42"/>
    <cellStyle name="Accent3 2 2" xfId="43"/>
    <cellStyle name="Accent4 2" xfId="44"/>
    <cellStyle name="Accent4 2 2" xfId="45"/>
    <cellStyle name="Accent5 2" xfId="46"/>
    <cellStyle name="Accent6 2" xfId="47"/>
    <cellStyle name="Bad 2" xfId="48"/>
    <cellStyle name="Bad 2 2" xfId="49"/>
    <cellStyle name="Calculation 2" xfId="50"/>
    <cellStyle name="Calculation 2 2" xfId="51"/>
    <cellStyle name="Check Cell 2" xfId="52"/>
    <cellStyle name="Comma" xfId="1" builtinId="3"/>
    <cellStyle name="Comma 2" xfId="53"/>
    <cellStyle name="Comma 2 2" xfId="54"/>
    <cellStyle name="Comma 2 2 2" xfId="55"/>
    <cellStyle name="Comma 2 2 3" xfId="56"/>
    <cellStyle name="Comma 2 3" xfId="57"/>
    <cellStyle name="Comma 2 4" xfId="58"/>
    <cellStyle name="Comma 3" xfId="59"/>
    <cellStyle name="Comma 3 2" xfId="60"/>
    <cellStyle name="Comma 3 2 2" xfId="61"/>
    <cellStyle name="Comma 3 2 3" xfId="62"/>
    <cellStyle name="Comma 3 3" xfId="63"/>
    <cellStyle name="Comma 3 4" xfId="64"/>
    <cellStyle name="Comma 4" xfId="189"/>
    <cellStyle name="Currency" xfId="2" builtinId="4"/>
    <cellStyle name="Currency 2" xfId="65"/>
    <cellStyle name="Currency 2 2" xfId="66"/>
    <cellStyle name="Currency 2 2 2" xfId="67"/>
    <cellStyle name="Currency 2 2 3" xfId="68"/>
    <cellStyle name="Currency 2 3" xfId="69"/>
    <cellStyle name="Currency 2 4" xfId="70"/>
    <cellStyle name="Currency 3" xfId="71"/>
    <cellStyle name="Currency 3 2" xfId="72"/>
    <cellStyle name="Currency 3 2 2" xfId="73"/>
    <cellStyle name="Currency 3 2 3" xfId="74"/>
    <cellStyle name="Currency 3 3" xfId="75"/>
    <cellStyle name="Currency 3 4" xfId="76"/>
    <cellStyle name="Currency 4" xfId="188"/>
    <cellStyle name="Data Field" xfId="77"/>
    <cellStyle name="Data Field 2" xfId="78"/>
    <cellStyle name="Data Field 2 2" xfId="79"/>
    <cellStyle name="Data Field 2 3" xfId="80"/>
    <cellStyle name="Data Field 3" xfId="81"/>
    <cellStyle name="Data Field 4" xfId="82"/>
    <cellStyle name="Data Name" xfId="83"/>
    <cellStyle name="Date/Time" xfId="84"/>
    <cellStyle name="Explanatory Text 2" xfId="85"/>
    <cellStyle name="Good 2" xfId="86"/>
    <cellStyle name="Heading" xfId="87"/>
    <cellStyle name="Heading 1 2" xfId="88"/>
    <cellStyle name="Heading 1 2 2" xfId="89"/>
    <cellStyle name="Heading 3 2" xfId="90"/>
    <cellStyle name="Heading 3 2 2" xfId="91"/>
    <cellStyle name="Heading 4 2" xfId="92"/>
    <cellStyle name="Heading 4 2 2" xfId="93"/>
    <cellStyle name="Hyperlink" xfId="191" builtinId="8"/>
    <cellStyle name="Hyperlink 2" xfId="94"/>
    <cellStyle name="Hyperlink 3" xfId="95"/>
    <cellStyle name="Input 2" xfId="96"/>
    <cellStyle name="Linked Cell 2" xfId="97"/>
    <cellStyle name="Neutral 2" xfId="98"/>
    <cellStyle name="Normal" xfId="0" builtinId="0"/>
    <cellStyle name="Normal 10" xfId="99"/>
    <cellStyle name="Normal 11" xfId="100"/>
    <cellStyle name="Normal 12" xfId="101"/>
    <cellStyle name="Normal 13" xfId="4"/>
    <cellStyle name="Normal 13 2" xfId="102"/>
    <cellStyle name="Normal 14" xfId="103"/>
    <cellStyle name="Normal 14 2" xfId="104"/>
    <cellStyle name="Normal 14 3" xfId="105"/>
    <cellStyle name="Normal 14 4" xfId="106"/>
    <cellStyle name="Normal 15" xfId="107"/>
    <cellStyle name="Normal 15 2" xfId="108"/>
    <cellStyle name="Normal 15 3" xfId="109"/>
    <cellStyle name="Normal 16" xfId="110"/>
    <cellStyle name="Normal 17" xfId="111"/>
    <cellStyle name="Normal 2" xfId="112"/>
    <cellStyle name="Normal 2 2" xfId="113"/>
    <cellStyle name="Normal 2 2 2" xfId="114"/>
    <cellStyle name="Normal 2 2 2 2" xfId="115"/>
    <cellStyle name="Normal 2 2 2 3" xfId="116"/>
    <cellStyle name="Normal 2 2 3" xfId="117"/>
    <cellStyle name="Normal 2 2 4" xfId="118"/>
    <cellStyle name="Normal 2 3" xfId="119"/>
    <cellStyle name="Normal 2 3 2" xfId="120"/>
    <cellStyle name="Normal 2 3 3" xfId="121"/>
    <cellStyle name="Normal 2 4" xfId="122"/>
    <cellStyle name="Normal 2 4 2" xfId="123"/>
    <cellStyle name="Normal 2 4 3" xfId="124"/>
    <cellStyle name="Normal 2 5" xfId="125"/>
    <cellStyle name="Normal 2 6" xfId="126"/>
    <cellStyle name="Normal 2 6 2" xfId="127"/>
    <cellStyle name="Normal 2 7" xfId="128"/>
    <cellStyle name="Normal 3" xfId="5"/>
    <cellStyle name="Normal 3 2" xfId="129"/>
    <cellStyle name="Normal 3 2 2" xfId="130"/>
    <cellStyle name="Normal 3 2 3" xfId="131"/>
    <cellStyle name="Normal 3 3" xfId="132"/>
    <cellStyle name="Normal 3 4" xfId="133"/>
    <cellStyle name="Normal 4" xfId="134"/>
    <cellStyle name="Normal 4 2" xfId="135"/>
    <cellStyle name="Normal 4 3" xfId="136"/>
    <cellStyle name="Normal 4 3 2" xfId="137"/>
    <cellStyle name="Normal 4 3 3" xfId="138"/>
    <cellStyle name="Normal 4 4" xfId="139"/>
    <cellStyle name="Normal 4 4 2" xfId="140"/>
    <cellStyle name="Normal 4 4 3" xfId="141"/>
    <cellStyle name="Normal 4 5" xfId="142"/>
    <cellStyle name="Normal 4 5 2" xfId="143"/>
    <cellStyle name="Normal 4 5 3" xfId="144"/>
    <cellStyle name="Normal 4 6" xfId="145"/>
    <cellStyle name="Normal 4 7" xfId="146"/>
    <cellStyle name="Normal 5" xfId="147"/>
    <cellStyle name="Normal 5 2" xfId="148"/>
    <cellStyle name="Normal 6" xfId="149"/>
    <cellStyle name="Normal 7" xfId="150"/>
    <cellStyle name="Normal 7 2" xfId="151"/>
    <cellStyle name="Normal 8" xfId="152"/>
    <cellStyle name="Normal 8 2" xfId="153"/>
    <cellStyle name="Normal 9" xfId="154"/>
    <cellStyle name="Normal 9 2" xfId="155"/>
    <cellStyle name="Normal 9 3" xfId="156"/>
    <cellStyle name="Normal_MTDUCT" xfId="6"/>
    <cellStyle name="Normal_PC-LPDPackage-6P-D14" xfId="3"/>
    <cellStyle name="Normal_ProCostFinAssumptions_Sector" xfId="7"/>
    <cellStyle name="Note 2" xfId="157"/>
    <cellStyle name="Note 2 2" xfId="158"/>
    <cellStyle name="Output 2" xfId="159"/>
    <cellStyle name="Output 2 2" xfId="160"/>
    <cellStyle name="Percent" xfId="187" builtinId="5"/>
    <cellStyle name="Percent 2" xfId="161"/>
    <cellStyle name="Percent 2 2" xfId="162"/>
    <cellStyle name="Percent 2 2 2" xfId="163"/>
    <cellStyle name="Percent 2 2 2 2" xfId="164"/>
    <cellStyle name="Percent 2 2 2 3" xfId="165"/>
    <cellStyle name="Percent 2 2 3" xfId="166"/>
    <cellStyle name="Percent 2 2 4" xfId="167"/>
    <cellStyle name="Percent 2 3" xfId="168"/>
    <cellStyle name="Percent 2 3 2" xfId="169"/>
    <cellStyle name="Percent 2 3 3" xfId="170"/>
    <cellStyle name="Percent 3" xfId="171"/>
    <cellStyle name="Percent 3 2" xfId="172"/>
    <cellStyle name="Percent 3 2 2" xfId="173"/>
    <cellStyle name="Percent 3 2 3" xfId="174"/>
    <cellStyle name="Percent 3 3" xfId="175"/>
    <cellStyle name="Percent 3 4" xfId="176"/>
    <cellStyle name="Percent 3 5" xfId="190"/>
    <cellStyle name="Percent 4" xfId="177"/>
    <cellStyle name="Percent 4 2" xfId="178"/>
    <cellStyle name="Percent 5" xfId="179"/>
    <cellStyle name="Title 2" xfId="180"/>
    <cellStyle name="Title 2 2" xfId="181"/>
    <cellStyle name="Total 2" xfId="182"/>
    <cellStyle name="Total 2 2" xfId="183"/>
    <cellStyle name="Warning Text 2" xfId="184"/>
    <cellStyle name="표준_ENERGY CONSUMP" xfId="185"/>
    <cellStyle name="常规_海外市场服务网站资料操作BOM" xfId="18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'ETO Data Centers'!$G$273</c:f>
              <c:strCache>
                <c:ptCount val="1"/>
                <c:pt idx="0">
                  <c:v>Base Annual Consumption (MWh)</c:v>
                </c:pt>
              </c:strCache>
            </c:strRef>
          </c:tx>
          <c:marker>
            <c:symbol val="none"/>
          </c:marker>
          <c:cat>
            <c:numRef>
              <c:f>'ETO Data Centers'!$F$274:$F$294</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'ETO Data Centers'!$G$274:$G$294</c:f>
              <c:numCache>
                <c:formatCode>_(* #,##0_);_(* \(#,##0\);_(* "-"??_);_(@_)</c:formatCode>
                <c:ptCount val="21"/>
                <c:pt idx="0">
                  <c:v>246729</c:v>
                </c:pt>
                <c:pt idx="1">
                  <c:v>362033</c:v>
                </c:pt>
                <c:pt idx="2">
                  <c:v>436106</c:v>
                </c:pt>
                <c:pt idx="3">
                  <c:v>466855</c:v>
                </c:pt>
                <c:pt idx="4">
                  <c:v>544720</c:v>
                </c:pt>
                <c:pt idx="5">
                  <c:v>544720</c:v>
                </c:pt>
                <c:pt idx="6">
                  <c:v>544720</c:v>
                </c:pt>
                <c:pt idx="7">
                  <c:v>544720</c:v>
                </c:pt>
                <c:pt idx="8">
                  <c:v>544720</c:v>
                </c:pt>
                <c:pt idx="9">
                  <c:v>544720</c:v>
                </c:pt>
                <c:pt idx="10">
                  <c:v>544720</c:v>
                </c:pt>
                <c:pt idx="11">
                  <c:v>544720</c:v>
                </c:pt>
                <c:pt idx="12">
                  <c:v>544720</c:v>
                </c:pt>
                <c:pt idx="13">
                  <c:v>544720</c:v>
                </c:pt>
                <c:pt idx="14">
                  <c:v>544720</c:v>
                </c:pt>
                <c:pt idx="15">
                  <c:v>544720</c:v>
                </c:pt>
                <c:pt idx="16">
                  <c:v>544720</c:v>
                </c:pt>
                <c:pt idx="17">
                  <c:v>544720</c:v>
                </c:pt>
                <c:pt idx="18">
                  <c:v>544720</c:v>
                </c:pt>
                <c:pt idx="19">
                  <c:v>544720</c:v>
                </c:pt>
                <c:pt idx="20">
                  <c:v>544720</c:v>
                </c:pt>
              </c:numCache>
            </c:numRef>
          </c:val>
        </c:ser>
        <c:marker val="1"/>
        <c:axId val="168049664"/>
        <c:axId val="175289088"/>
      </c:lineChart>
      <c:catAx>
        <c:axId val="168049664"/>
        <c:scaling>
          <c:orientation val="minMax"/>
        </c:scaling>
        <c:axPos val="b"/>
        <c:numFmt formatCode="General" sourceLinked="1"/>
        <c:tickLblPos val="nextTo"/>
        <c:crossAx val="175289088"/>
        <c:crosses val="autoZero"/>
        <c:auto val="1"/>
        <c:lblAlgn val="ctr"/>
        <c:lblOffset val="100"/>
      </c:catAx>
      <c:valAx>
        <c:axId val="175289088"/>
        <c:scaling>
          <c:orientation val="minMax"/>
        </c:scaling>
        <c:axPos val="l"/>
        <c:majorGridlines/>
        <c:numFmt formatCode="_(* #,##0_);_(* \(#,##0\);_(* &quot;-&quot;??_);_(@_)" sourceLinked="1"/>
        <c:tickLblPos val="nextTo"/>
        <c:crossAx val="168049664"/>
        <c:crosses val="autoZero"/>
        <c:crossBetween val="between"/>
      </c:valAx>
    </c:plotArea>
    <c:legend>
      <c:legendPos val="b"/>
    </c:legend>
    <c:plotVisOnly val="1"/>
  </c:chart>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19049</xdr:colOff>
      <xdr:row>213</xdr:row>
      <xdr:rowOff>56028</xdr:rowOff>
    </xdr:from>
    <xdr:to>
      <xdr:col>2</xdr:col>
      <xdr:colOff>1632857</xdr:colOff>
      <xdr:row>228</xdr:row>
      <xdr:rowOff>117021</xdr:rowOff>
    </xdr:to>
    <xdr:pic>
      <xdr:nvPicPr>
        <xdr:cNvPr id="2" name="Picture 1" descr="image003"/>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4" y="46795203"/>
          <a:ext cx="5633358" cy="29184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24493</xdr:colOff>
      <xdr:row>239</xdr:row>
      <xdr:rowOff>96210</xdr:rowOff>
    </xdr:from>
    <xdr:to>
      <xdr:col>2</xdr:col>
      <xdr:colOff>2639786</xdr:colOff>
      <xdr:row>264</xdr:row>
      <xdr:rowOff>157443</xdr:rowOff>
    </xdr:to>
    <xdr:pic>
      <xdr:nvPicPr>
        <xdr:cNvPr id="3" name="Picture 2" descr="image00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491218" y="51788385"/>
          <a:ext cx="6634843" cy="48237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133</xdr:row>
      <xdr:rowOff>0</xdr:rowOff>
    </xdr:from>
    <xdr:to>
      <xdr:col>5</xdr:col>
      <xdr:colOff>317048</xdr:colOff>
      <xdr:row>169</xdr:row>
      <xdr:rowOff>72118</xdr:rowOff>
    </xdr:to>
    <xdr:pic>
      <xdr:nvPicPr>
        <xdr:cNvPr id="4" name="Picture 3"/>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66725" y="30213300"/>
          <a:ext cx="12175673" cy="727301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0</xdr:colOff>
      <xdr:row>172</xdr:row>
      <xdr:rowOff>0</xdr:rowOff>
    </xdr:from>
    <xdr:to>
      <xdr:col>4</xdr:col>
      <xdr:colOff>104776</xdr:colOff>
      <xdr:row>210</xdr:row>
      <xdr:rowOff>148319</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466725" y="38014275"/>
          <a:ext cx="10201276" cy="773021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26894</xdr:colOff>
      <xdr:row>100</xdr:row>
      <xdr:rowOff>6444</xdr:rowOff>
    </xdr:from>
    <xdr:to>
      <xdr:col>2</xdr:col>
      <xdr:colOff>2456491</xdr:colOff>
      <xdr:row>125</xdr:row>
      <xdr:rowOff>5578</xdr:rowOff>
    </xdr:to>
    <xdr:pic>
      <xdr:nvPicPr>
        <xdr:cNvPr id="6" name="Picture 5"/>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493619" y="23923719"/>
          <a:ext cx="6449147" cy="476163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29069</xdr:colOff>
      <xdr:row>21</xdr:row>
      <xdr:rowOff>14845</xdr:rowOff>
    </xdr:from>
    <xdr:to>
      <xdr:col>2</xdr:col>
      <xdr:colOff>1058448</xdr:colOff>
      <xdr:row>24</xdr:row>
      <xdr:rowOff>148195</xdr:rowOff>
    </xdr:to>
    <xdr:pic>
      <xdr:nvPicPr>
        <xdr:cNvPr id="7" name="Picture 6"/>
        <xdr:cNvPicPr>
          <a:picLocks noChangeAspect="1" noChangeArrowheads="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495794" y="6682345"/>
          <a:ext cx="5048929" cy="7048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6</xdr:col>
      <xdr:colOff>61632</xdr:colOff>
      <xdr:row>173</xdr:row>
      <xdr:rowOff>33618</xdr:rowOff>
    </xdr:from>
    <xdr:to>
      <xdr:col>8</xdr:col>
      <xdr:colOff>918882</xdr:colOff>
      <xdr:row>186</xdr:row>
      <xdr:rowOff>166968</xdr:rowOff>
    </xdr:to>
    <xdr:pic>
      <xdr:nvPicPr>
        <xdr:cNvPr id="8" name="Picture 7"/>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15558807" y="38247918"/>
          <a:ext cx="6115050" cy="27336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6</xdr:col>
      <xdr:colOff>46264</xdr:colOff>
      <xdr:row>100</xdr:row>
      <xdr:rowOff>176892</xdr:rowOff>
    </xdr:from>
    <xdr:to>
      <xdr:col>8</xdr:col>
      <xdr:colOff>352425</xdr:colOff>
      <xdr:row>129</xdr:row>
      <xdr:rowOff>108856</xdr:rowOff>
    </xdr:to>
    <xdr:pic>
      <xdr:nvPicPr>
        <xdr:cNvPr id="9" name="Picture 8"/>
        <xdr:cNvPicPr>
          <a:picLocks noChangeAspect="1" noChangeArrowheads="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15543439" y="24094167"/>
          <a:ext cx="5563961" cy="545646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8</xdr:col>
      <xdr:colOff>533400</xdr:colOff>
      <xdr:row>279</xdr:row>
      <xdr:rowOff>19050</xdr:rowOff>
    </xdr:from>
    <xdr:to>
      <xdr:col>10</xdr:col>
      <xdr:colOff>723900</xdr:colOff>
      <xdr:row>293</xdr:row>
      <xdr:rowOff>95250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2</xdr:row>
      <xdr:rowOff>133350</xdr:rowOff>
    </xdr:from>
    <xdr:to>
      <xdr:col>7</xdr:col>
      <xdr:colOff>276225</xdr:colOff>
      <xdr:row>34</xdr:row>
      <xdr:rowOff>19050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6750" y="514350"/>
          <a:ext cx="5638800" cy="5981700"/>
        </a:xfrm>
        <a:prstGeom prst="rect">
          <a:avLst/>
        </a:prstGeom>
        <a:noFill/>
        <a:ln w="1">
          <a:solidFill>
            <a:schemeClr val="accent1"/>
          </a:solidFill>
          <a:miter lim="800000"/>
          <a:headEnd/>
          <a:tailEnd type="none" w="med" len="med"/>
        </a:ln>
        <a:effectLst/>
      </xdr:spPr>
    </xdr:pic>
    <xdr:clientData/>
  </xdr:twoCellAnchor>
  <xdr:twoCellAnchor editAs="oneCell">
    <xdr:from>
      <xdr:col>7</xdr:col>
      <xdr:colOff>571500</xdr:colOff>
      <xdr:row>2</xdr:row>
      <xdr:rowOff>123825</xdr:rowOff>
    </xdr:from>
    <xdr:to>
      <xdr:col>13</xdr:col>
      <xdr:colOff>571500</xdr:colOff>
      <xdr:row>19</xdr:row>
      <xdr:rowOff>133350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600825" y="504825"/>
          <a:ext cx="5772150" cy="3248025"/>
        </a:xfrm>
        <a:prstGeom prst="rect">
          <a:avLst/>
        </a:prstGeom>
        <a:noFill/>
        <a:ln w="1">
          <a:solidFill>
            <a:schemeClr val="accent1"/>
          </a:solid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mbedded%20Data%20Centers/DataCenters_Model_Final_17Nov2014%20(Final%20with%207P%20adjust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G/Main/Plan%206/Commercial/Coml%20Assess%206P/Final%20Plan%20Files/PC-ServerRooms%20and%20IT-6P-D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 val="Com_Master_7P"/>
    </sheetNames>
    <definedNames>
      <definedName name="ACHIEV" refersTo="='ACHIEV'!$B$19:$Y$119"/>
      <definedName name="APPLIC" refersTo="='APPLIC'!$B$12:$X$112"/>
      <definedName name="BLDGTYPE" refersTo="='APPLIC'!$B$11:$U$11"/>
      <definedName name="POST2013" refersTo="='CHAR'!$B$17:$U$55"/>
      <definedName name="TURN" refersTo="='TURN'!$B$12:$U$95"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row r="118">
          <cell r="B118" t="str">
            <v>Pool System Improvements</v>
          </cell>
          <cell r="C118" t="str">
            <v>Electric Combination Ovens</v>
          </cell>
        </row>
        <row r="119">
          <cell r="B119" t="str">
            <v>Process Loads System Controls</v>
          </cell>
          <cell r="C119" t="str">
            <v>Electric Commercial Steam Cookers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42057</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Com-RooftopController-7P_V4.xlsm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76.986931526097095</v>
          </cell>
          <cell r="I34">
            <v>11.548039728914564</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Low Pressure Distribution Complex HVAC-New</v>
          </cell>
          <cell r="F37" t="str">
            <v>Low Pressure Distribution Complex HVAC</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Com-WindowSGS-7P_V3.xlsx</v>
          </cell>
          <cell r="F57" t="str">
            <v>Secondary Glazing Systems</v>
          </cell>
          <cell r="G57">
            <v>42063</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77.032036868890003</v>
          </cell>
          <cell r="I58">
            <v>77.032036868890003</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256.22418009705746</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124.10713009112848</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Com-Streetlight-7P_V8.xlsx</v>
          </cell>
          <cell r="F68" t="str">
            <v>Street and Roadway Lighting</v>
          </cell>
          <cell r="G68">
            <v>42070</v>
          </cell>
          <cell r="H68">
            <v>6.6186035002887751</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Com-Streetlight-7P_V8.xlsx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8.5168591321761209</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Com-Grocery-7P_V5p.xlsx</v>
          </cell>
          <cell r="F81" t="str">
            <v>Grocery Refrigeration Bundle</v>
          </cell>
          <cell r="G81">
            <v>42064</v>
          </cell>
          <cell r="H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Com-WaterCooler-7P_V3.xlsx</v>
          </cell>
          <cell r="F85" t="str">
            <v>Water Cooler Controls</v>
          </cell>
          <cell r="G85">
            <v>42063</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V12">
            <v>0</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V13">
            <v>0</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V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V16">
            <v>0</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V17">
            <v>0</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V18">
            <v>0</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V19">
            <v>0</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V20">
            <v>0</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V21">
            <v>0</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V22">
            <v>0</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V23">
            <v>0</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V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V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V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V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V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V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V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V32">
            <v>0</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V33">
            <v>0</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V34">
            <v>0</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V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V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V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V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V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V40">
            <v>0</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V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V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V44">
            <v>0</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V45">
            <v>0</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V46">
            <v>0</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V47">
            <v>0</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V48">
            <v>0</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V49">
            <v>0</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V50">
            <v>0</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V51">
            <v>0</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V52">
            <v>0</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V53">
            <v>0</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V54">
            <v>0</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V55">
            <v>0</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V56">
            <v>0</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V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V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V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V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V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V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V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V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V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V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V68">
            <v>0</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V69">
            <v>0</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V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V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V72">
            <v>0</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V75">
            <v>0</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U76">
            <v>0</v>
          </cell>
          <cell r="V76">
            <v>0</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U77">
            <v>0</v>
          </cell>
          <cell r="V77">
            <v>0</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V78">
            <v>0</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V79">
            <v>0</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U80">
            <v>0</v>
          </cell>
          <cell r="V80">
            <v>0</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V83">
            <v>0</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V84">
            <v>0</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V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V88">
            <v>0</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V89">
            <v>0</v>
          </cell>
          <cell r="W89">
            <v>0</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V90">
            <v>0</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V91">
            <v>0</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V92">
            <v>0</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U94">
            <v>0</v>
          </cell>
          <cell r="V94">
            <v>0</v>
          </cell>
          <cell r="X94">
            <v>1</v>
          </cell>
          <cell r="Y94">
            <v>1</v>
          </cell>
        </row>
        <row r="95">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X95">
            <v>0</v>
          </cell>
        </row>
        <row r="96">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X96">
            <v>0</v>
          </cell>
        </row>
        <row r="97">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X97">
            <v>0</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X98">
            <v>0</v>
          </cell>
        </row>
        <row r="99">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X99">
            <v>0</v>
          </cell>
        </row>
        <row r="100">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X100">
            <v>0</v>
          </cell>
        </row>
        <row r="101">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X101">
            <v>0</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X102">
            <v>0</v>
          </cell>
        </row>
        <row r="103">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cell r="V15" t="str">
            <v>NEEA Sales data</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From modified DOE:  See IntLightComp</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NR</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0.25</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0.2</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0.2</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0.25</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cell r="U27">
            <v>0</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cell r="U28">
            <v>0</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cell r="U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cell r="U32">
            <v>0</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cell r="U33">
            <v>0</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cell r="U34">
            <v>0</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0.25</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B54" t="str">
            <v>VRF-New</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U65">
            <v>0</v>
          </cell>
          <cell r="V65" t="str">
            <v>Fixture or Ballast Replacement Cycle</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0.2</v>
          </cell>
          <cell r="V66" t="str">
            <v xml:space="preserve">5-year cycle (lamp cycle) for luminiares requiring bucket truck.  </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0.2</v>
          </cell>
          <cell r="V67" t="str">
            <v>20-Year Fixture Life from CBSA REN RATE</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0.2</v>
          </cell>
          <cell r="V68" t="str">
            <v>Five year cycle for streetlight relamp (DOE &amp; Tarioffs)</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0.2</v>
          </cell>
          <cell r="V69" t="str">
            <v>Five year cycle for streetlight relamp (DOE &amp; Tarioffs)</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row>
        <row r="73">
          <cell r="B73" t="str">
            <v>ECM-VAV-New</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4">
          <cell r="B74" t="str">
            <v>ECM-VAV-NR</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t="str">
            <v>Showerheads-Retro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7">
          <cell r="B17">
            <v>0</v>
          </cell>
          <cell r="C17">
            <v>0</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v>0</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v>0</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cell r="X21">
            <v>0</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v>0</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cell r="X23">
            <v>0</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v>0</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v>0</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v>0</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cell r="X27">
            <v>0</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v>0</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cell r="X29">
            <v>0</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cell r="X30">
            <v>0</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v>0</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v>0</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v>0</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v>0</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v>0</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v>0</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v>0</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v>0</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v>0</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cell r="X40">
            <v>0</v>
          </cell>
        </row>
        <row r="41">
          <cell r="A41" t="str">
            <v>HVAC</v>
          </cell>
          <cell r="B41" t="str">
            <v>Commercial EM-Retro</v>
          </cell>
          <cell r="C41" t="str">
            <v>RetroEven20</v>
          </cell>
          <cell r="D41">
            <v>0.05</v>
          </cell>
          <cell r="E41">
            <v>0.05</v>
          </cell>
          <cell r="F41">
            <v>0.05</v>
          </cell>
          <cell r="G41">
            <v>0.05</v>
          </cell>
          <cell r="H41">
            <v>0.05</v>
          </cell>
          <cell r="I41">
            <v>0.05</v>
          </cell>
          <cell r="J41">
            <v>0.05</v>
          </cell>
          <cell r="K41">
            <v>0.05</v>
          </cell>
          <cell r="L41">
            <v>0.05</v>
          </cell>
          <cell r="M41">
            <v>0.05</v>
          </cell>
          <cell r="N41">
            <v>0.05</v>
          </cell>
          <cell r="O41">
            <v>0.05</v>
          </cell>
          <cell r="P41">
            <v>0.05</v>
          </cell>
          <cell r="Q41">
            <v>0.05</v>
          </cell>
          <cell r="R41">
            <v>0.05</v>
          </cell>
          <cell r="S41">
            <v>0.05</v>
          </cell>
          <cell r="T41">
            <v>0.05</v>
          </cell>
          <cell r="U41">
            <v>0.05</v>
          </cell>
          <cell r="V41">
            <v>0.05</v>
          </cell>
          <cell r="W41">
            <v>0.05</v>
          </cell>
          <cell r="X41">
            <v>0</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v>0</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v>0</v>
          </cell>
        </row>
        <row r="44">
          <cell r="A44" t="str">
            <v>HVAC</v>
          </cell>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v>0</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v>0</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v>0</v>
          </cell>
        </row>
        <row r="47">
          <cell r="A47" t="str">
            <v>HVAC</v>
          </cell>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v>0</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v>0</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cell r="X49">
            <v>0</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cell r="X50">
            <v>0</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v>0</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v>0</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v>0</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v>0</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cell r="X55">
            <v>0</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cell r="X56">
            <v>0</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cell r="X57">
            <v>0</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cell r="X58">
            <v>0</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cell r="X59">
            <v>0</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cell r="X60">
            <v>0</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v>0</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cell r="X62">
            <v>0</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v>0</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v>0</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cell r="X65">
            <v>0</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cell r="X66">
            <v>0</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cell r="X67">
            <v>0</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cell r="X68">
            <v>0</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v>0</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v>0</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cell r="X71">
            <v>0</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cell r="X72">
            <v>0</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cell r="X73">
            <v>0</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cell r="X74">
            <v>0</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v>0</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v>0</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v>0</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cell r="X78">
            <v>0</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v>0</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v>0</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v>0</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cell r="X82">
            <v>0</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cell r="X83">
            <v>0</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v>0</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cell r="X85">
            <v>0</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v>0</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cell r="X87">
            <v>0</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cell r="X88">
            <v>0</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v>0</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v>0</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v>0</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cell r="X92">
            <v>0</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cell r="X93">
            <v>0</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cell r="X94">
            <v>0</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cell r="X95">
            <v>0</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cell r="X96">
            <v>0</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cell r="X97">
            <v>0</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v>0</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cell r="X99">
            <v>0</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v>0</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cell r="X101">
            <v>0</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v>0</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v>0</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v>0</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v>0</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v>0</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v>0</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v>0</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v>0</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v>0</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v>0</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v>0</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v>0</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v>0</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v>0</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v>0</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B14" t="str">
            <v>POST2013</v>
          </cell>
          <cell r="C14" t="str">
            <v>Office</v>
          </cell>
          <cell r="D14">
            <v>0</v>
          </cell>
          <cell r="E14">
            <v>0</v>
          </cell>
          <cell r="F14" t="str">
            <v>Retail</v>
          </cell>
          <cell r="G14">
            <v>0</v>
          </cell>
          <cell r="H14">
            <v>0</v>
          </cell>
          <cell r="I14">
            <v>0</v>
          </cell>
          <cell r="J14" t="str">
            <v>School</v>
          </cell>
          <cell r="K14">
            <v>0</v>
          </cell>
          <cell r="L14" t="str">
            <v>Warehouse</v>
          </cell>
          <cell r="M14" t="str">
            <v>Grocery</v>
          </cell>
          <cell r="N14">
            <v>0</v>
          </cell>
          <cell r="O14" t="str">
            <v>Restaurant</v>
          </cell>
          <cell r="P14" t="str">
            <v>Lodging</v>
          </cell>
          <cell r="Q14" t="str">
            <v>Health</v>
          </cell>
          <cell r="R14">
            <v>0</v>
          </cell>
          <cell r="S14" t="str">
            <v>Assembly</v>
          </cell>
          <cell r="T14" t="str">
            <v>Other</v>
          </cell>
        </row>
        <row r="15">
          <cell r="B15" t="str">
            <v>FloorA%ACT</v>
          </cell>
          <cell r="C15">
            <v>0.23374291413554329</v>
          </cell>
          <cell r="D15">
            <v>0</v>
          </cell>
          <cell r="E15">
            <v>0</v>
          </cell>
          <cell r="F15">
            <v>0.16379453573805774</v>
          </cell>
          <cell r="G15">
            <v>0</v>
          </cell>
          <cell r="H15">
            <v>0</v>
          </cell>
          <cell r="I15">
            <v>0</v>
          </cell>
          <cell r="J15">
            <v>8.8639553331737689E-2</v>
          </cell>
          <cell r="K15">
            <v>0</v>
          </cell>
          <cell r="L15">
            <v>9.6266945662747766E-2</v>
          </cell>
          <cell r="M15">
            <v>2.0434554153352484E-2</v>
          </cell>
          <cell r="N15">
            <v>0</v>
          </cell>
          <cell r="O15">
            <v>1.255060122823257E-2</v>
          </cell>
          <cell r="P15">
            <v>5.5794347273117245E-2</v>
          </cell>
          <cell r="Q15">
            <v>7.398534349162611E-2</v>
          </cell>
          <cell r="R15">
            <v>0</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D23">
            <v>0</v>
          </cell>
          <cell r="E23">
            <v>0</v>
          </cell>
          <cell r="F23">
            <v>0.86075287434919978</v>
          </cell>
          <cell r="G23">
            <v>0</v>
          </cell>
          <cell r="H23">
            <v>0</v>
          </cell>
          <cell r="I23">
            <v>0</v>
          </cell>
          <cell r="J23">
            <v>0.87263881668019661</v>
          </cell>
          <cell r="K23">
            <v>0</v>
          </cell>
          <cell r="L23">
            <v>0.18162271351024481</v>
          </cell>
          <cell r="M23">
            <v>0.897277257424139</v>
          </cell>
          <cell r="N23">
            <v>0</v>
          </cell>
          <cell r="O23">
            <v>0.99999997512427186</v>
          </cell>
          <cell r="P23">
            <v>0.94438859080377269</v>
          </cell>
          <cell r="Q23">
            <v>0.89616933002437993</v>
          </cell>
          <cell r="R23">
            <v>0</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D25">
            <v>0</v>
          </cell>
          <cell r="E25">
            <v>0</v>
          </cell>
          <cell r="F25">
            <v>0.78455381811533043</v>
          </cell>
          <cell r="G25">
            <v>0</v>
          </cell>
          <cell r="H25">
            <v>0</v>
          </cell>
          <cell r="I25">
            <v>0</v>
          </cell>
          <cell r="J25">
            <v>0.36953195539995587</v>
          </cell>
          <cell r="K25">
            <v>0</v>
          </cell>
          <cell r="L25">
            <v>0.35</v>
          </cell>
          <cell r="M25">
            <v>0.90000000000000013</v>
          </cell>
          <cell r="N25">
            <v>0</v>
          </cell>
          <cell r="O25">
            <v>0.95</v>
          </cell>
          <cell r="P25">
            <v>0.5</v>
          </cell>
          <cell r="Q25">
            <v>0.45832204515370584</v>
          </cell>
          <cell r="R25">
            <v>0</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D27">
            <v>0</v>
          </cell>
          <cell r="E27">
            <v>0</v>
          </cell>
          <cell r="F27">
            <v>6.2181060258327321E-2</v>
          </cell>
          <cell r="G27">
            <v>0</v>
          </cell>
          <cell r="H27">
            <v>0</v>
          </cell>
          <cell r="I27">
            <v>0</v>
          </cell>
          <cell r="J27">
            <v>0.75664862673331257</v>
          </cell>
          <cell r="K27">
            <v>0</v>
          </cell>
          <cell r="L27">
            <v>0.10310000000000001</v>
          </cell>
          <cell r="M27">
            <v>0.11560000000000001</v>
          </cell>
          <cell r="N27">
            <v>0</v>
          </cell>
          <cell r="O27">
            <v>0.11560000000000001</v>
          </cell>
          <cell r="P27">
            <v>0.32380000000000003</v>
          </cell>
          <cell r="Q27">
            <v>0.83345440239005475</v>
          </cell>
          <cell r="R27">
            <v>0</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D29">
            <v>0</v>
          </cell>
          <cell r="E29">
            <v>0</v>
          </cell>
          <cell r="F29">
            <v>2.3808219851502894E-3</v>
          </cell>
          <cell r="G29">
            <v>0</v>
          </cell>
          <cell r="H29">
            <v>0</v>
          </cell>
          <cell r="I29">
            <v>0</v>
          </cell>
          <cell r="J29">
            <v>0.30214896654996692</v>
          </cell>
          <cell r="K29">
            <v>0</v>
          </cell>
          <cell r="L29">
            <v>0</v>
          </cell>
          <cell r="M29">
            <v>0</v>
          </cell>
          <cell r="N29">
            <v>0</v>
          </cell>
          <cell r="O29">
            <v>0</v>
          </cell>
          <cell r="P29">
            <v>0</v>
          </cell>
          <cell r="Q29">
            <v>0.42833559096925883</v>
          </cell>
          <cell r="R29">
            <v>0</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B61">
            <v>0</v>
          </cell>
          <cell r="C61" t="str">
            <v>Office</v>
          </cell>
          <cell r="D61" t="str">
            <v>Office</v>
          </cell>
          <cell r="E61" t="str">
            <v>Office</v>
          </cell>
          <cell r="F61" t="str">
            <v>Retail/Service</v>
          </cell>
          <cell r="G61" t="str">
            <v>Retail/Service</v>
          </cell>
          <cell r="H61" t="str">
            <v>Retail/Service</v>
          </cell>
          <cell r="I61" t="str">
            <v>Retail/Service</v>
          </cell>
          <cell r="J61">
            <v>0</v>
          </cell>
          <cell r="K61">
            <v>0</v>
          </cell>
          <cell r="L61">
            <v>0</v>
          </cell>
          <cell r="M61" t="str">
            <v>Grocery</v>
          </cell>
          <cell r="N61" t="str">
            <v>Grocery</v>
          </cell>
          <cell r="O61">
            <v>0</v>
          </cell>
          <cell r="P61">
            <v>0</v>
          </cell>
          <cell r="Q61">
            <v>0</v>
          </cell>
          <cell r="R61">
            <v>0</v>
          </cell>
          <cell r="S61">
            <v>0</v>
          </cell>
          <cell r="T61">
            <v>0</v>
          </cell>
          <cell r="Y61" t="str">
            <v>Average of msf.pnw.frac</v>
          </cell>
        </row>
        <row r="62">
          <cell r="B62" t="str">
            <v>_PRE2013</v>
          </cell>
          <cell r="C62" t="str">
            <v>Office</v>
          </cell>
          <cell r="D62">
            <v>0</v>
          </cell>
          <cell r="E62">
            <v>0</v>
          </cell>
          <cell r="F62" t="str">
            <v>Retail/Service</v>
          </cell>
          <cell r="G62">
            <v>0</v>
          </cell>
          <cell r="H62">
            <v>0</v>
          </cell>
          <cell r="I62">
            <v>0</v>
          </cell>
          <cell r="J62" t="str">
            <v>School</v>
          </cell>
          <cell r="K62">
            <v>0</v>
          </cell>
          <cell r="L62" t="str">
            <v>Warehouse</v>
          </cell>
          <cell r="M62" t="str">
            <v>Grocery</v>
          </cell>
          <cell r="N62">
            <v>0</v>
          </cell>
          <cell r="O62" t="str">
            <v>Restaurant</v>
          </cell>
          <cell r="P62" t="str">
            <v>Lodging</v>
          </cell>
          <cell r="Q62" t="str">
            <v>Health</v>
          </cell>
          <cell r="R62">
            <v>0</v>
          </cell>
          <cell r="S62" t="str">
            <v>Assembly</v>
          </cell>
          <cell r="T62" t="str">
            <v>Other</v>
          </cell>
          <cell r="Y62" t="str">
            <v>Row Labels</v>
          </cell>
        </row>
        <row r="63">
          <cell r="B63" t="str">
            <v>FloorA%ACT</v>
          </cell>
          <cell r="C63">
            <v>0.21925891959556321</v>
          </cell>
          <cell r="D63">
            <v>0</v>
          </cell>
          <cell r="E63">
            <v>0</v>
          </cell>
          <cell r="F63">
            <v>0.170463671983236</v>
          </cell>
          <cell r="G63">
            <v>0</v>
          </cell>
          <cell r="H63">
            <v>0</v>
          </cell>
          <cell r="I63">
            <v>0</v>
          </cell>
          <cell r="J63">
            <v>0.11027533939050128</v>
          </cell>
          <cell r="K63">
            <v>0</v>
          </cell>
          <cell r="L63">
            <v>0.13203580856943528</v>
          </cell>
          <cell r="M63">
            <v>2.3026138677721724E-2</v>
          </cell>
          <cell r="N63">
            <v>0</v>
          </cell>
          <cell r="O63">
            <v>1.5835296654172451E-2</v>
          </cell>
          <cell r="P63">
            <v>5.1068065124091046E-2</v>
          </cell>
          <cell r="Q63">
            <v>6.8347557000163706E-2</v>
          </cell>
          <cell r="R63">
            <v>0</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D71">
            <v>0</v>
          </cell>
          <cell r="E71">
            <v>0</v>
          </cell>
          <cell r="F71">
            <v>0.74176230846303148</v>
          </cell>
          <cell r="G71">
            <v>0</v>
          </cell>
          <cell r="H71">
            <v>0</v>
          </cell>
          <cell r="I71">
            <v>0</v>
          </cell>
          <cell r="J71">
            <v>0.7142495586900468</v>
          </cell>
          <cell r="K71">
            <v>0</v>
          </cell>
          <cell r="L71">
            <v>0.23</v>
          </cell>
          <cell r="M71">
            <v>0.8973671844904727</v>
          </cell>
          <cell r="N71">
            <v>0</v>
          </cell>
          <cell r="O71">
            <v>0.96</v>
          </cell>
          <cell r="P71">
            <v>0.88</v>
          </cell>
          <cell r="Q71">
            <v>0.88824220129049314</v>
          </cell>
          <cell r="R71">
            <v>0</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D73">
            <v>0</v>
          </cell>
          <cell r="E73">
            <v>0</v>
          </cell>
          <cell r="F73">
            <v>0.63256057960735712</v>
          </cell>
          <cell r="G73">
            <v>0</v>
          </cell>
          <cell r="H73">
            <v>0</v>
          </cell>
          <cell r="I73">
            <v>0</v>
          </cell>
          <cell r="J73">
            <v>0.33750430289294164</v>
          </cell>
          <cell r="K73">
            <v>0</v>
          </cell>
          <cell r="L73">
            <v>0.31046750131883327</v>
          </cell>
          <cell r="M73">
            <v>0.90000000000000013</v>
          </cell>
          <cell r="N73">
            <v>0</v>
          </cell>
          <cell r="O73">
            <v>0.76718515286285394</v>
          </cell>
          <cell r="P73">
            <v>0.41303161997673743</v>
          </cell>
          <cell r="Q73">
            <v>0.49902981576861571</v>
          </cell>
          <cell r="R73">
            <v>0</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D75">
            <v>0</v>
          </cell>
          <cell r="E75">
            <v>0</v>
          </cell>
          <cell r="F75">
            <v>5.0679867043271966E-2</v>
          </cell>
          <cell r="G75">
            <v>0</v>
          </cell>
          <cell r="H75">
            <v>0</v>
          </cell>
          <cell r="I75">
            <v>0</v>
          </cell>
          <cell r="J75">
            <v>0.45710103517657202</v>
          </cell>
          <cell r="K75">
            <v>0</v>
          </cell>
          <cell r="L75">
            <v>5.6541361272701172E-2</v>
          </cell>
          <cell r="M75">
            <v>8.7372210868686184E-2</v>
          </cell>
          <cell r="N75">
            <v>0</v>
          </cell>
          <cell r="O75">
            <v>5.746308592387158E-2</v>
          </cell>
          <cell r="P75">
            <v>0.3949582335084047</v>
          </cell>
          <cell r="Q75">
            <v>0.5613264299674231</v>
          </cell>
          <cell r="R75">
            <v>0</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D77">
            <v>0</v>
          </cell>
          <cell r="E77">
            <v>0</v>
          </cell>
          <cell r="F77">
            <v>0.01</v>
          </cell>
          <cell r="G77">
            <v>0</v>
          </cell>
          <cell r="H77">
            <v>0</v>
          </cell>
          <cell r="I77">
            <v>0</v>
          </cell>
          <cell r="J77">
            <v>0.11</v>
          </cell>
          <cell r="K77">
            <v>0</v>
          </cell>
          <cell r="L77">
            <v>0</v>
          </cell>
          <cell r="M77">
            <v>0</v>
          </cell>
          <cell r="N77">
            <v>0</v>
          </cell>
          <cell r="O77">
            <v>0</v>
          </cell>
          <cell r="P77">
            <v>0.04</v>
          </cell>
          <cell r="Q77">
            <v>0.21527670664708273</v>
          </cell>
          <cell r="R77">
            <v>0</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cell r="V12" t="str">
            <v>Medium Ret</v>
          </cell>
          <cell r="W12">
            <v>346199530</v>
          </cell>
          <cell r="X12">
            <v>0.10336555514209725</v>
          </cell>
        </row>
        <row r="13">
          <cell r="B13" t="str">
            <v>Small Ret</v>
          </cell>
          <cell r="M13">
            <v>59.225870599999993</v>
          </cell>
          <cell r="N13">
            <v>1.7683198453051097E-2</v>
          </cell>
          <cell r="V13" t="str">
            <v>Small Ret</v>
          </cell>
          <cell r="W13">
            <v>59225870.599999994</v>
          </cell>
          <cell r="X13">
            <v>1.768319845305109E-2</v>
          </cell>
        </row>
        <row r="14">
          <cell r="B14" t="str">
            <v>School K-12</v>
          </cell>
          <cell r="M14">
            <v>245.35316429999997</v>
          </cell>
          <cell r="N14">
            <v>7.3255633922263544E-2</v>
          </cell>
          <cell r="V14" t="str">
            <v>School K-12</v>
          </cell>
          <cell r="W14">
            <v>245353164.29999998</v>
          </cell>
          <cell r="X14">
            <v>7.325563392226353E-2</v>
          </cell>
        </row>
        <row r="15">
          <cell r="B15" t="str">
            <v>University</v>
          </cell>
          <cell r="M15">
            <v>123.989124</v>
          </cell>
          <cell r="N15">
            <v>3.701970546823774E-2</v>
          </cell>
          <cell r="V15" t="str">
            <v>University</v>
          </cell>
          <cell r="W15">
            <v>123989124</v>
          </cell>
          <cell r="X15">
            <v>3.7019705468237733E-2</v>
          </cell>
        </row>
        <row r="16">
          <cell r="B16" t="str">
            <v>Warehouse</v>
          </cell>
          <cell r="M16">
            <v>442.22405430000003</v>
          </cell>
          <cell r="N16">
            <v>0.13203580856943528</v>
          </cell>
          <cell r="V16" t="str">
            <v>Warehouse</v>
          </cell>
          <cell r="W16">
            <v>442224054.30000001</v>
          </cell>
          <cell r="X16">
            <v>0.13203580856943525</v>
          </cell>
        </row>
        <row r="17">
          <cell r="B17" t="str">
            <v>Supermarket</v>
          </cell>
          <cell r="M17">
            <v>65.429751400000001</v>
          </cell>
          <cell r="N17">
            <v>1.9535504789016944E-2</v>
          </cell>
          <cell r="V17" t="str">
            <v>Supermarket</v>
          </cell>
          <cell r="W17">
            <v>65429751.399999999</v>
          </cell>
          <cell r="X17">
            <v>1.9535504789016941E-2</v>
          </cell>
        </row>
        <row r="18">
          <cell r="B18" t="str">
            <v>MiniMart</v>
          </cell>
          <cell r="M18">
            <v>11.691088099999998</v>
          </cell>
          <cell r="N18">
            <v>3.4906338887047794E-3</v>
          </cell>
          <cell r="V18" t="str">
            <v>MiniMart</v>
          </cell>
          <cell r="W18">
            <v>11691088.099999998</v>
          </cell>
          <cell r="X18">
            <v>3.4906338887047785E-3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str">
            <v>HVAC System Improvements</v>
          </cell>
          <cell r="C28" t="str">
            <v>Low Pressure Distribution Complex HVAC</v>
          </cell>
          <cell r="D28" t="str">
            <v>Low Pressure Distribution Complex HVAC</v>
          </cell>
          <cell r="E28" t="str">
            <v>CBSA 2014</v>
          </cell>
          <cell r="F28" t="str">
            <v>Some</v>
          </cell>
          <cell r="H28" t="str">
            <v>New</v>
          </cell>
          <cell r="I28">
            <v>0</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t="str">
            <v>RegionDataCenterStock</v>
          </cell>
          <cell r="H94" t="str">
            <v>DataCenter</v>
          </cell>
          <cell r="I94" t="str">
            <v>DataCenter</v>
          </cell>
          <cell r="J94" t="str">
            <v>Stock</v>
          </cell>
          <cell r="K94" t="str">
            <v>Consumption (aMW)</v>
          </cell>
          <cell r="L94">
            <v>381.60143269415096</v>
          </cell>
          <cell r="M94">
            <v>404.69885906229592</v>
          </cell>
          <cell r="N94">
            <v>421.46039895133885</v>
          </cell>
          <cell r="O94">
            <v>419.64642143844253</v>
          </cell>
          <cell r="P94">
            <v>423.66562864853898</v>
          </cell>
          <cell r="Q94">
            <v>432.76092390952061</v>
          </cell>
          <cell r="R94">
            <v>446.31531189522576</v>
          </cell>
          <cell r="S94">
            <v>450.98222620533323</v>
          </cell>
          <cell r="T94">
            <v>459.05126073815245</v>
          </cell>
          <cell r="U94">
            <v>470.19601765719887</v>
          </cell>
          <cell r="V94">
            <v>484.16208251533135</v>
          </cell>
          <cell r="W94">
            <v>494.21069266812788</v>
          </cell>
          <cell r="X94">
            <v>506.64189476780371</v>
          </cell>
          <cell r="Y94">
            <v>521.35392484293436</v>
          </cell>
          <cell r="Z94">
            <v>538.28523642117</v>
          </cell>
          <cell r="AA94">
            <v>554.01935267425768</v>
          </cell>
          <cell r="AB94">
            <v>571.88182312772415</v>
          </cell>
          <cell r="AC94">
            <v>591.90212163156946</v>
          </cell>
          <cell r="AD94">
            <v>614.13634434495953</v>
          </cell>
          <cell r="AE94">
            <v>636.87438282107769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row>
        <row r="6">
          <cell r="B6" t="str">
            <v>OrPopStock</v>
          </cell>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row>
        <row r="7">
          <cell r="B7" t="str">
            <v>WAPopStock</v>
          </cell>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row>
        <row r="8">
          <cell r="B8" t="str">
            <v>IDPopStock</v>
          </cell>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row>
        <row r="9">
          <cell r="B9" t="str">
            <v>MTPopStock</v>
          </cell>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row>
        <row r="10">
          <cell r="B10" t="str">
            <v>RegionPopStock</v>
          </cell>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row>
      </sheetData>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G158">
            <v>90.898327903457215</v>
          </cell>
          <cell r="H158">
            <v>90.899562515809663</v>
          </cell>
          <cell r="I158">
            <v>91.013237267303055</v>
          </cell>
          <cell r="J158">
            <v>90.967755259326395</v>
          </cell>
          <cell r="K158">
            <v>90.924506050749457</v>
          </cell>
          <cell r="L158">
            <v>91.025748037140048</v>
          </cell>
          <cell r="M158">
            <v>91.099301040678228</v>
          </cell>
          <cell r="N158">
            <v>90.915023147811965</v>
          </cell>
          <cell r="O158">
            <v>90.903023153329187</v>
          </cell>
          <cell r="P158">
            <v>90.903850245090197</v>
          </cell>
          <cell r="Q158">
            <v>90.425722269176404</v>
          </cell>
          <cell r="R158">
            <v>90.371471553755299</v>
          </cell>
          <cell r="S158">
            <v>90.264014484201496</v>
          </cell>
          <cell r="T158">
            <v>90.097051493259059</v>
          </cell>
          <cell r="U158">
            <v>89.896800203896433</v>
          </cell>
          <cell r="V158">
            <v>89.896456479218287</v>
          </cell>
          <cell r="W158">
            <v>89.606519803497406</v>
          </cell>
          <cell r="X158">
            <v>89.325294250105614</v>
          </cell>
          <cell r="Y158">
            <v>89.328380794090677</v>
          </cell>
        </row>
        <row r="159">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23242.815357375977</v>
          </cell>
          <cell r="H161">
            <v>23579.993698275401</v>
          </cell>
          <cell r="I161">
            <v>23960.356110560846</v>
          </cell>
          <cell r="J161">
            <v>24350.91633771755</v>
          </cell>
          <cell r="K161">
            <v>24749.813648809384</v>
          </cell>
          <cell r="L161">
            <v>25170.224480563706</v>
          </cell>
          <cell r="M161">
            <v>25604.3059525182</v>
          </cell>
          <cell r="N161">
            <v>26082.63481722974</v>
          </cell>
          <cell r="O161">
            <v>26599.268651932405</v>
          </cell>
          <cell r="P161">
            <v>27197.142952674163</v>
          </cell>
          <cell r="Q161">
            <v>27750.952358655191</v>
          </cell>
          <cell r="R161">
            <v>28322.063062347566</v>
          </cell>
          <cell r="S161">
            <v>28830.089914000651</v>
          </cell>
          <cell r="T161">
            <v>29355.014883506359</v>
          </cell>
          <cell r="U161">
            <v>29912.41487159708</v>
          </cell>
          <cell r="V161">
            <v>30437.54131359321</v>
          </cell>
          <cell r="W161">
            <v>30925.62510896051</v>
          </cell>
          <cell r="X161">
            <v>31480.198347778929</v>
          </cell>
          <cell r="Y161">
            <v>31888.942165022021</v>
          </cell>
          <cell r="AB161">
            <v>0</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 sheetId="25">
        <row r="20">
          <cell r="H20">
            <v>22309.51</v>
          </cell>
          <cell r="J20">
            <v>2020</v>
          </cell>
          <cell r="K20">
            <v>30517.62</v>
          </cell>
          <cell r="L20">
            <v>30224.53</v>
          </cell>
          <cell r="M20">
            <v>31240.25</v>
          </cell>
          <cell r="N20">
            <v>30940.36</v>
          </cell>
          <cell r="O20">
            <v>32058.65</v>
          </cell>
          <cell r="P20">
            <v>31753.85</v>
          </cell>
        </row>
        <row r="21">
          <cell r="G21">
            <v>22567.200000000001</v>
          </cell>
          <cell r="H21">
            <v>22551.94</v>
          </cell>
          <cell r="J21">
            <v>2021</v>
          </cell>
          <cell r="K21">
            <v>30579.58</v>
          </cell>
          <cell r="L21">
            <v>30284.62</v>
          </cell>
          <cell r="M21">
            <v>31379.48</v>
          </cell>
          <cell r="N21">
            <v>31076.62</v>
          </cell>
          <cell r="O21">
            <v>32325.31</v>
          </cell>
          <cell r="P21">
            <v>32016.73</v>
          </cell>
        </row>
        <row r="22">
          <cell r="G22">
            <v>22814.09</v>
          </cell>
          <cell r="H22">
            <v>22811.360000000001</v>
          </cell>
          <cell r="J22">
            <v>2022</v>
          </cell>
          <cell r="K22">
            <v>30652.03</v>
          </cell>
          <cell r="L22">
            <v>30355.66</v>
          </cell>
          <cell r="M22">
            <v>31536.59</v>
          </cell>
          <cell r="N22">
            <v>31231.13</v>
          </cell>
          <cell r="O22">
            <v>32611.46</v>
          </cell>
          <cell r="P22">
            <v>32299.52</v>
          </cell>
        </row>
        <row r="23">
          <cell r="G23">
            <v>23071.37</v>
          </cell>
          <cell r="H23">
            <v>23082.07</v>
          </cell>
          <cell r="J23">
            <v>2023</v>
          </cell>
          <cell r="K23">
            <v>30752.01</v>
          </cell>
          <cell r="L23">
            <v>30454.71</v>
          </cell>
          <cell r="M23">
            <v>31707.63</v>
          </cell>
          <cell r="N23">
            <v>31399.98</v>
          </cell>
          <cell r="O23">
            <v>32907.730000000003</v>
          </cell>
          <cell r="P23">
            <v>32592.82</v>
          </cell>
        </row>
        <row r="24">
          <cell r="G24">
            <v>23333.49</v>
          </cell>
          <cell r="H24">
            <v>23358.51</v>
          </cell>
          <cell r="J24">
            <v>2024</v>
          </cell>
          <cell r="K24">
            <v>30868.21</v>
          </cell>
          <cell r="L24">
            <v>30570.46</v>
          </cell>
          <cell r="M24">
            <v>31899.38</v>
          </cell>
          <cell r="N24">
            <v>31589.91</v>
          </cell>
          <cell r="O24">
            <v>33211.82</v>
          </cell>
          <cell r="P24">
            <v>32894.300000000003</v>
          </cell>
        </row>
        <row r="25">
          <cell r="G25">
            <v>23616.99</v>
          </cell>
          <cell r="H25">
            <v>23657.24</v>
          </cell>
          <cell r="J25">
            <v>2025</v>
          </cell>
          <cell r="K25">
            <v>30992.73</v>
          </cell>
          <cell r="L25">
            <v>30694.959999999999</v>
          </cell>
          <cell r="M25">
            <v>32111.85</v>
          </cell>
          <cell r="N25">
            <v>31800.86</v>
          </cell>
          <cell r="O25">
            <v>33537.67</v>
          </cell>
          <cell r="P25">
            <v>33217.839999999997</v>
          </cell>
        </row>
        <row r="26">
          <cell r="G26">
            <v>23909.86</v>
          </cell>
          <cell r="H26">
            <v>23966.37</v>
          </cell>
          <cell r="J26">
            <v>2026</v>
          </cell>
          <cell r="K26">
            <v>31142.31</v>
          </cell>
          <cell r="L26">
            <v>30845</v>
          </cell>
          <cell r="M26">
            <v>32344.22</v>
          </cell>
          <cell r="N26">
            <v>32032.07</v>
          </cell>
          <cell r="O26">
            <v>33886.93</v>
          </cell>
          <cell r="P26">
            <v>33565.1</v>
          </cell>
        </row>
        <row r="27">
          <cell r="G27">
            <v>24213.35</v>
          </cell>
          <cell r="H27">
            <v>24287.21</v>
          </cell>
          <cell r="J27">
            <v>2027</v>
          </cell>
          <cell r="K27">
            <v>31311.07</v>
          </cell>
          <cell r="L27">
            <v>31014.63</v>
          </cell>
          <cell r="M27">
            <v>32602.89</v>
          </cell>
          <cell r="N27">
            <v>32289.9</v>
          </cell>
          <cell r="O27">
            <v>34250.71</v>
          </cell>
          <cell r="P27">
            <v>33927.120000000003</v>
          </cell>
        </row>
        <row r="28">
          <cell r="G28">
            <v>24518.14</v>
          </cell>
          <cell r="H28">
            <v>24610.720000000001</v>
          </cell>
          <cell r="J28">
            <v>2028</v>
          </cell>
          <cell r="K28">
            <v>31474.38</v>
          </cell>
          <cell r="L28">
            <v>31220.240000000002</v>
          </cell>
          <cell r="M28">
            <v>32880.89</v>
          </cell>
          <cell r="N28">
            <v>32638.75</v>
          </cell>
          <cell r="O28">
            <v>34613.980000000003</v>
          </cell>
          <cell r="P28">
            <v>34347.769999999997</v>
          </cell>
        </row>
        <row r="29">
          <cell r="G29">
            <v>24827.279999999999</v>
          </cell>
          <cell r="H29">
            <v>24940.15</v>
          </cell>
          <cell r="J29">
            <v>2029</v>
          </cell>
          <cell r="K29">
            <v>31615.08</v>
          </cell>
          <cell r="L29">
            <v>31630.39</v>
          </cell>
          <cell r="M29">
            <v>33158.54</v>
          </cell>
          <cell r="N29">
            <v>33197.279999999999</v>
          </cell>
          <cell r="O29">
            <v>34983.39</v>
          </cell>
          <cell r="P29">
            <v>35004.050000000003</v>
          </cell>
        </row>
        <row r="30">
          <cell r="G30">
            <v>25156.76</v>
          </cell>
          <cell r="H30">
            <v>25291.09</v>
          </cell>
          <cell r="J30">
            <v>2030</v>
          </cell>
          <cell r="K30">
            <v>31763.1</v>
          </cell>
          <cell r="L30">
            <v>32066.36</v>
          </cell>
          <cell r="M30">
            <v>33454.04</v>
          </cell>
          <cell r="N30">
            <v>33796.879999999997</v>
          </cell>
          <cell r="O30">
            <v>35377.85</v>
          </cell>
          <cell r="P30">
            <v>35713.08</v>
          </cell>
        </row>
        <row r="31">
          <cell r="G31">
            <v>25446.54</v>
          </cell>
          <cell r="H31">
            <v>25603.18</v>
          </cell>
          <cell r="J31">
            <v>2031</v>
          </cell>
          <cell r="K31">
            <v>31871.77</v>
          </cell>
          <cell r="L31">
            <v>32466.51</v>
          </cell>
          <cell r="M31">
            <v>33712.21</v>
          </cell>
          <cell r="N31">
            <v>34363.79</v>
          </cell>
          <cell r="O31">
            <v>35731.08</v>
          </cell>
          <cell r="P31">
            <v>36389.129999999997</v>
          </cell>
        </row>
        <row r="32">
          <cell r="G32">
            <v>25765.17</v>
          </cell>
          <cell r="H32">
            <v>25945.39</v>
          </cell>
          <cell r="J32">
            <v>2032</v>
          </cell>
          <cell r="K32">
            <v>32050.880000000001</v>
          </cell>
          <cell r="L32">
            <v>32948.230000000003</v>
          </cell>
          <cell r="M32">
            <v>34014.519999999997</v>
          </cell>
          <cell r="N32">
            <v>34979.269999999997</v>
          </cell>
          <cell r="O32">
            <v>36125.57</v>
          </cell>
          <cell r="P32">
            <v>37113.089999999997</v>
          </cell>
        </row>
        <row r="33">
          <cell r="G33">
            <v>26094.06</v>
          </cell>
          <cell r="H33">
            <v>26299.41</v>
          </cell>
          <cell r="J33">
            <v>2033</v>
          </cell>
          <cell r="K33">
            <v>32239.52</v>
          </cell>
          <cell r="L33">
            <v>33458.04</v>
          </cell>
          <cell r="M33">
            <v>34316.910000000003</v>
          </cell>
          <cell r="N33">
            <v>35618.07</v>
          </cell>
          <cell r="O33">
            <v>36532.980000000003</v>
          </cell>
          <cell r="P33">
            <v>37875.54</v>
          </cell>
        </row>
        <row r="34">
          <cell r="G34">
            <v>26434.54</v>
          </cell>
          <cell r="H34">
            <v>26666.26</v>
          </cell>
          <cell r="J34">
            <v>2034</v>
          </cell>
          <cell r="K34">
            <v>32439.73</v>
          </cell>
          <cell r="L34">
            <v>33984.230000000003</v>
          </cell>
          <cell r="M34">
            <v>34625.449999999997</v>
          </cell>
          <cell r="N34">
            <v>36272.54</v>
          </cell>
          <cell r="O34">
            <v>36961.5</v>
          </cell>
          <cell r="P34">
            <v>38668.550000000003</v>
          </cell>
        </row>
        <row r="35">
          <cell r="G35">
            <v>26786.02</v>
          </cell>
          <cell r="H35">
            <v>27045.69</v>
          </cell>
          <cell r="J35">
            <v>2035</v>
          </cell>
          <cell r="K35">
            <v>32648.63</v>
          </cell>
          <cell r="L35">
            <v>34541.82</v>
          </cell>
          <cell r="M35">
            <v>34939.879999999997</v>
          </cell>
          <cell r="N35">
            <v>36961.300000000003</v>
          </cell>
          <cell r="O35">
            <v>37400.99</v>
          </cell>
          <cell r="P35">
            <v>39507.519999999997</v>
          </cell>
        </row>
      </sheetData>
      <sheetData sheetId="26"/>
      <sheetData sheetId="27"/>
      <sheetData sheetId="28">
        <row r="25">
          <cell r="G25">
            <v>2017</v>
          </cell>
          <cell r="H25">
            <v>2018</v>
          </cell>
          <cell r="I25">
            <v>2019</v>
          </cell>
          <cell r="J25">
            <v>2020</v>
          </cell>
          <cell r="K25">
            <v>2021</v>
          </cell>
          <cell r="L25">
            <v>2022</v>
          </cell>
          <cell r="M25">
            <v>2023</v>
          </cell>
          <cell r="N25">
            <v>2024</v>
          </cell>
          <cell r="O25">
            <v>2025</v>
          </cell>
          <cell r="P25">
            <v>2026</v>
          </cell>
          <cell r="Q25">
            <v>2027</v>
          </cell>
          <cell r="R25">
            <v>2028</v>
          </cell>
          <cell r="S25">
            <v>2029</v>
          </cell>
          <cell r="T25">
            <v>2030</v>
          </cell>
          <cell r="U25">
            <v>2031</v>
          </cell>
          <cell r="V25">
            <v>2032</v>
          </cell>
          <cell r="W25">
            <v>2033</v>
          </cell>
          <cell r="X25">
            <v>2034</v>
          </cell>
          <cell r="Y25">
            <v>2035</v>
          </cell>
        </row>
        <row r="26">
          <cell r="G26">
            <v>1812.1175799086759</v>
          </cell>
          <cell r="H26">
            <v>1848.224885844749</v>
          </cell>
          <cell r="I26">
            <v>1882.8139269406395</v>
          </cell>
          <cell r="J26">
            <v>1912.091324200913</v>
          </cell>
          <cell r="K26">
            <v>1938.2899543378994</v>
          </cell>
          <cell r="L26">
            <v>1965.4657534246576</v>
          </cell>
          <cell r="M26">
            <v>1991.3242009132421</v>
          </cell>
          <cell r="N26">
            <v>2018.0901826484021</v>
          </cell>
          <cell r="O26">
            <v>2046.033105022831</v>
          </cell>
          <cell r="P26">
            <v>2075.6232876712329</v>
          </cell>
          <cell r="Q26">
            <v>2108.1952054794524</v>
          </cell>
          <cell r="R26">
            <v>2143.4212328767121</v>
          </cell>
          <cell r="S26">
            <v>2176.6529680365297</v>
          </cell>
          <cell r="T26">
            <v>2211.5605022831051</v>
          </cell>
          <cell r="U26">
            <v>2244.461187214612</v>
          </cell>
          <cell r="V26">
            <v>2276.7397260273974</v>
          </cell>
          <cell r="W26">
            <v>2307.0559360730595</v>
          </cell>
          <cell r="X26">
            <v>2336.4189497716893</v>
          </cell>
          <cell r="Y26">
            <v>2365.7865296803657</v>
          </cell>
        </row>
        <row r="27">
          <cell r="G27">
            <v>1773.5022831050228</v>
          </cell>
          <cell r="H27">
            <v>1805.9029680365297</v>
          </cell>
          <cell r="I27">
            <v>1838.228310502283</v>
          </cell>
          <cell r="J27">
            <v>1866.4269406392693</v>
          </cell>
          <cell r="K27">
            <v>1889.961187214612</v>
          </cell>
          <cell r="L27">
            <v>1913.5993150684933</v>
          </cell>
          <cell r="M27">
            <v>1938.0319634703196</v>
          </cell>
          <cell r="N27">
            <v>1964.1392694063927</v>
          </cell>
          <cell r="O27">
            <v>1989.708904109589</v>
          </cell>
          <cell r="P27">
            <v>2015.8835616438355</v>
          </cell>
          <cell r="Q27">
            <v>2043.0970319634703</v>
          </cell>
          <cell r="R27">
            <v>2068.2260273972602</v>
          </cell>
          <cell r="S27">
            <v>2091.9132420091323</v>
          </cell>
          <cell r="T27">
            <v>2115.6894977168949</v>
          </cell>
          <cell r="U27">
            <v>2136.6301369863017</v>
          </cell>
          <cell r="V27">
            <v>2164.0182648401828</v>
          </cell>
          <cell r="W27">
            <v>2190.1484018264841</v>
          </cell>
          <cell r="X27">
            <v>2214.1107305936075</v>
          </cell>
          <cell r="Y27">
            <v>2238.9691780821918</v>
          </cell>
        </row>
        <row r="28">
          <cell r="G28">
            <v>1855.7283105022832</v>
          </cell>
          <cell r="H28">
            <v>1895.9817351598174</v>
          </cell>
          <cell r="I28">
            <v>1937.0627853881276</v>
          </cell>
          <cell r="J28">
            <v>1974.1712328767126</v>
          </cell>
          <cell r="K28">
            <v>2009.4657534246574</v>
          </cell>
          <cell r="L28">
            <v>2046.0616438356165</v>
          </cell>
          <cell r="M28">
            <v>2080.9794520547948</v>
          </cell>
          <cell r="N28">
            <v>2114.1872146118722</v>
          </cell>
          <cell r="O28">
            <v>2146.6244292237443</v>
          </cell>
          <cell r="P28">
            <v>2179.1723744292235</v>
          </cell>
          <cell r="Q28">
            <v>2213.3972602739727</v>
          </cell>
          <cell r="R28">
            <v>2250.9634703196348</v>
          </cell>
          <cell r="S28">
            <v>2286.4589041095892</v>
          </cell>
          <cell r="T28">
            <v>2323.2762557077626</v>
          </cell>
          <cell r="U28">
            <v>2358.0947488584475</v>
          </cell>
          <cell r="V28">
            <v>2393.0821917808221</v>
          </cell>
          <cell r="W28">
            <v>2426.994292237443</v>
          </cell>
          <cell r="X28">
            <v>2458.2031963470322</v>
          </cell>
          <cell r="Y28">
            <v>2489.7511415525114</v>
          </cell>
        </row>
        <row r="31">
          <cell r="G31">
            <v>1.0229263769326289</v>
          </cell>
          <cell r="H31">
            <v>1.0199254763247165</v>
          </cell>
          <cell r="I31">
            <v>1.0187147361561908</v>
          </cell>
          <cell r="J31">
            <v>1.015549809166669</v>
          </cell>
          <cell r="K31">
            <v>1.0137015579775903</v>
          </cell>
          <cell r="L31">
            <v>1.0140205024671043</v>
          </cell>
          <cell r="M31">
            <v>1.0131563968710868</v>
          </cell>
          <cell r="N31">
            <v>1.0134412978674616</v>
          </cell>
          <cell r="O31">
            <v>1.0138462208550851</v>
          </cell>
          <cell r="P31">
            <v>1.0144622208583822</v>
          </cell>
          <cell r="Q31">
            <v>1.0156925960513596</v>
          </cell>
          <cell r="R31">
            <v>1.0167090918837607</v>
          </cell>
          <cell r="S31">
            <v>1.0155040617542157</v>
          </cell>
          <cell r="T31">
            <v>1.0160372529563424</v>
          </cell>
          <cell r="U31">
            <v>1.01487668318255</v>
          </cell>
          <cell r="V31">
            <v>1.0143814199134551</v>
          </cell>
          <cell r="W31">
            <v>1.0133156239595993</v>
          </cell>
          <cell r="X31">
            <v>1.0127274823464445</v>
          </cell>
          <cell r="Y31">
            <v>1.0125694837013481</v>
          </cell>
        </row>
        <row r="32">
          <cell r="G32">
            <v>1.0216470371612512</v>
          </cell>
          <cell r="H32">
            <v>1.0182693223686075</v>
          </cell>
          <cell r="I32">
            <v>1.0178998224366944</v>
          </cell>
          <cell r="J32">
            <v>1.0153401130729409</v>
          </cell>
          <cell r="K32">
            <v>1.0126092514327305</v>
          </cell>
          <cell r="L32">
            <v>1.0125072028006663</v>
          </cell>
          <cell r="M32">
            <v>1.012767901937168</v>
          </cell>
          <cell r="N32">
            <v>1.0134710399148033</v>
          </cell>
          <cell r="O32">
            <v>1.0130182391348064</v>
          </cell>
          <cell r="P32">
            <v>1.0131550185457705</v>
          </cell>
          <cell r="Q32">
            <v>1.0134995248919256</v>
          </cell>
          <cell r="R32">
            <v>1.0122994625515365</v>
          </cell>
          <cell r="S32">
            <v>1.0114529138972692</v>
          </cell>
          <cell r="T32">
            <v>1.0113657943504997</v>
          </cell>
          <cell r="U32">
            <v>1.0098977847609512</v>
          </cell>
          <cell r="V32">
            <v>1.0128183757121914</v>
          </cell>
          <cell r="W32">
            <v>1.0120748227548952</v>
          </cell>
          <cell r="X32">
            <v>1.0109409612367546</v>
          </cell>
          <cell r="Y32">
            <v>1.0112272828748361</v>
          </cell>
        </row>
        <row r="33">
          <cell r="G33">
            <v>1.0255514422919205</v>
          </cell>
          <cell r="H33">
            <v>1.0216914428851058</v>
          </cell>
          <cell r="I33">
            <v>1.02166742931458</v>
          </cell>
          <cell r="J33">
            <v>1.019157070059115</v>
          </cell>
          <cell r="K33">
            <v>1.0178781455023607</v>
          </cell>
          <cell r="L33">
            <v>1.018211751232182</v>
          </cell>
          <cell r="M33">
            <v>1.0170658632521552</v>
          </cell>
          <cell r="N33">
            <v>1.0159577561058026</v>
          </cell>
          <cell r="O33">
            <v>1.0153426406080253</v>
          </cell>
          <cell r="P33">
            <v>1.0151623846083075</v>
          </cell>
          <cell r="Q33">
            <v>1.0157054514118984</v>
          </cell>
          <cell r="R33">
            <v>1.0169721950595585</v>
          </cell>
          <cell r="S33">
            <v>1.015768995924627</v>
          </cell>
          <cell r="T33">
            <v>1.016102345654234</v>
          </cell>
          <cell r="U33">
            <v>1.0149868071285728</v>
          </cell>
          <cell r="V33">
            <v>1.0148371658684674</v>
          </cell>
          <cell r="W33">
            <v>1.0141708883101024</v>
          </cell>
          <cell r="X33">
            <v>1.0128590760223082</v>
          </cell>
          <cell r="Y33">
            <v>1.0128337418372739</v>
          </cell>
        </row>
        <row r="35">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row>
        <row r="36">
          <cell r="G36">
            <v>0.97869051256287731</v>
          </cell>
          <cell r="H36">
            <v>0.97710131589918747</v>
          </cell>
          <cell r="I36">
            <v>0.97631969054382173</v>
          </cell>
          <cell r="J36">
            <v>0.97611809489239354</v>
          </cell>
          <cell r="K36">
            <v>0.9750662861275593</v>
          </cell>
          <cell r="L36">
            <v>0.97361112079119594</v>
          </cell>
          <cell r="M36">
            <v>0.97323778949782158</v>
          </cell>
          <cell r="N36">
            <v>0.97326635166957309</v>
          </cell>
          <cell r="O36">
            <v>0.97247151046824654</v>
          </cell>
          <cell r="P36">
            <v>0.97121841598991543</v>
          </cell>
          <cell r="Q36">
            <v>0.96912137294175404</v>
          </cell>
          <cell r="R36">
            <v>0.96491813912912883</v>
          </cell>
          <cell r="S36">
            <v>0.96106879356894559</v>
          </cell>
          <cell r="T36">
            <v>0.95665006475416903</v>
          </cell>
          <cell r="U36">
            <v>0.95195682115486746</v>
          </cell>
          <cell r="V36">
            <v>0.95048996602527847</v>
          </cell>
          <cell r="W36">
            <v>0.94932609460455097</v>
          </cell>
          <cell r="X36">
            <v>0.94765141791456808</v>
          </cell>
          <cell r="Y36">
            <v>0.94639526854719735</v>
          </cell>
        </row>
        <row r="37">
          <cell r="G37">
            <v>1.0240661704721197</v>
          </cell>
          <cell r="H37">
            <v>1.0258393065047604</v>
          </cell>
          <cell r="I37">
            <v>1.0288126498700998</v>
          </cell>
          <cell r="J37">
            <v>1.0324670207380098</v>
          </cell>
          <cell r="K37">
            <v>1.0367209245074331</v>
          </cell>
          <cell r="L37">
            <v>1.0410060008781772</v>
          </cell>
          <cell r="M37">
            <v>1.045022930520523</v>
          </cell>
          <cell r="N37">
            <v>1.0476178085546994</v>
          </cell>
          <cell r="O37">
            <v>1.0491640745958462</v>
          </cell>
          <cell r="P37">
            <v>1.04988818894693</v>
          </cell>
          <cell r="Q37">
            <v>1.0499014771123127</v>
          </cell>
          <cell r="R37">
            <v>1.0501731697873447</v>
          </cell>
          <cell r="S37">
            <v>1.0504471487579901</v>
          </cell>
          <cell r="T37">
            <v>1.0505144459350435</v>
          </cell>
          <cell r="U37">
            <v>1.0506284369233647</v>
          </cell>
          <cell r="V37">
            <v>1.0511004681050771</v>
          </cell>
          <cell r="W37">
            <v>1.0519876238321884</v>
          </cell>
          <cell r="X37">
            <v>1.0521243189656733</v>
          </cell>
          <cell r="Y37">
            <v>1.0523989000346934</v>
          </cell>
        </row>
        <row r="40">
          <cell r="G40">
            <v>404.69885906229592</v>
          </cell>
          <cell r="H40">
            <v>421.46039895133885</v>
          </cell>
          <cell r="I40">
            <v>419.64642143844253</v>
          </cell>
          <cell r="J40">
            <v>423.66562864853898</v>
          </cell>
          <cell r="K40">
            <v>432.76092390952061</v>
          </cell>
          <cell r="L40">
            <v>446.31531189522576</v>
          </cell>
          <cell r="M40">
            <v>450.98222620533323</v>
          </cell>
          <cell r="N40">
            <v>459.05126073815245</v>
          </cell>
          <cell r="O40">
            <v>470.19601765719887</v>
          </cell>
          <cell r="P40">
            <v>484.16208251533135</v>
          </cell>
          <cell r="Q40">
            <v>494.21069266812788</v>
          </cell>
          <cell r="R40">
            <v>506.64189476780371</v>
          </cell>
          <cell r="S40">
            <v>521.35392484293436</v>
          </cell>
          <cell r="T40">
            <v>538.28523642117</v>
          </cell>
          <cell r="U40">
            <v>554.01935267425768</v>
          </cell>
          <cell r="V40">
            <v>571.88182312772415</v>
          </cell>
          <cell r="W40">
            <v>591.90212163156946</v>
          </cell>
          <cell r="X40">
            <v>614.13634434495953</v>
          </cell>
          <cell r="Y40">
            <v>636.87438282107769</v>
          </cell>
        </row>
        <row r="41">
          <cell r="G41">
            <v>396.07493380929003</v>
          </cell>
          <cell r="H41">
            <v>411.8095104147497</v>
          </cell>
          <cell r="I41">
            <v>409.70906431660239</v>
          </cell>
          <cell r="J41">
            <v>413.54768630780012</v>
          </cell>
          <cell r="K41">
            <v>421.97058685758753</v>
          </cell>
          <cell r="L41">
            <v>434.53755104058291</v>
          </cell>
          <cell r="M41">
            <v>438.91294493488505</v>
          </cell>
          <cell r="N41">
            <v>446.77914576793955</v>
          </cell>
          <cell r="O41">
            <v>457.25223150725049</v>
          </cell>
          <cell r="P41">
            <v>470.22713086291884</v>
          </cell>
          <cell r="Q41">
            <v>478.95014500103133</v>
          </cell>
          <cell r="R41">
            <v>488.86795430420506</v>
          </cell>
          <cell r="S41">
            <v>501.05698757123366</v>
          </cell>
          <cell r="T41">
            <v>514.95060627852547</v>
          </cell>
          <cell r="U41">
            <v>527.40250183006378</v>
          </cell>
          <cell r="V41">
            <v>543.56793463514487</v>
          </cell>
          <cell r="W41">
            <v>561.90812951664577</v>
          </cell>
          <cell r="X41">
            <v>581.98717751137031</v>
          </cell>
          <cell r="Y41">
            <v>602.73490256078435</v>
          </cell>
        </row>
        <row r="42">
          <cell r="G42">
            <v>414.43841079436146</v>
          </cell>
          <cell r="H42">
            <v>432.35064337946108</v>
          </cell>
          <cell r="I42">
            <v>431.73754684858869</v>
          </cell>
          <cell r="J42">
            <v>437.42078939985305</v>
          </cell>
          <cell r="K42">
            <v>448.65230512616915</v>
          </cell>
          <cell r="L42">
            <v>464.61691796674529</v>
          </cell>
          <cell r="M42">
            <v>471.28676764176674</v>
          </cell>
          <cell r="N42">
            <v>480.91027578877521</v>
          </cell>
          <cell r="O42">
            <v>493.31276974396718</v>
          </cell>
          <cell r="P42">
            <v>508.31605196879531</v>
          </cell>
          <cell r="Q42">
            <v>518.87253623696665</v>
          </cell>
          <cell r="R42">
            <v>532.0617245753707</v>
          </cell>
          <cell r="S42">
            <v>547.65474384504785</v>
          </cell>
          <cell r="T42">
            <v>565.47641689399927</v>
          </cell>
          <cell r="U42">
            <v>582.06848652544966</v>
          </cell>
          <cell r="V42">
            <v>601.10525199033577</v>
          </cell>
          <cell r="W42">
            <v>622.67370647642565</v>
          </cell>
          <cell r="X42">
            <v>646.14778304600873</v>
          </cell>
          <cell r="Y42">
            <v>670.24589994117639</v>
          </cell>
        </row>
        <row r="44">
          <cell r="G44">
            <v>404.69885906229592</v>
          </cell>
          <cell r="H44">
            <v>421.46039895133885</v>
          </cell>
          <cell r="I44">
            <v>419.64642143844253</v>
          </cell>
          <cell r="J44">
            <v>423.66562864853898</v>
          </cell>
          <cell r="K44">
            <v>432.76092390952061</v>
          </cell>
          <cell r="L44">
            <v>446.31531189522576</v>
          </cell>
          <cell r="M44">
            <v>450.98222620533323</v>
          </cell>
          <cell r="N44">
            <v>459.05126073815245</v>
          </cell>
          <cell r="O44">
            <v>470.19601765719887</v>
          </cell>
          <cell r="P44">
            <v>484.16208251533135</v>
          </cell>
          <cell r="Q44">
            <v>494.21069266812788</v>
          </cell>
          <cell r="R44">
            <v>506.64189476780371</v>
          </cell>
          <cell r="S44">
            <v>521.35392484293436</v>
          </cell>
          <cell r="T44">
            <v>538.28523642117</v>
          </cell>
          <cell r="U44">
            <v>554.01935267425768</v>
          </cell>
          <cell r="V44">
            <v>571.88182312772415</v>
          </cell>
          <cell r="W44">
            <v>591.90212163156946</v>
          </cell>
          <cell r="X44">
            <v>614.13634434495953</v>
          </cell>
          <cell r="Y44">
            <v>636.87438282107769</v>
          </cell>
        </row>
      </sheetData>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Baseline Graph"/>
      <sheetName val="BAU Graphs"/>
      <sheetName val="Scenarios Graphs"/>
      <sheetName val="Scenario Summary"/>
      <sheetName val="BAU --&gt;"/>
      <sheetName val="Stock"/>
      <sheetName val="Baseline Analysis"/>
      <sheetName val="Scenarios--&gt;"/>
      <sheetName val="BAU Calibration"/>
      <sheetName val="Best Practices"/>
      <sheetName val="Commercial Tech"/>
      <sheetName val="Cutting Edge"/>
      <sheetName val="Cloud"/>
      <sheetName val="References"/>
      <sheetName val="Phase in"/>
    </sheetNames>
    <sheetDataSet>
      <sheetData sheetId="0"/>
      <sheetData sheetId="1"/>
      <sheetData sheetId="2"/>
      <sheetData sheetId="3">
        <row r="6">
          <cell r="D6">
            <v>350.74310823720202</v>
          </cell>
        </row>
        <row r="83">
          <cell r="Z83">
            <v>0.44738358510379928</v>
          </cell>
        </row>
        <row r="84">
          <cell r="Z84">
            <v>0.21093853281205022</v>
          </cell>
        </row>
        <row r="85">
          <cell r="Z85">
            <v>5.0280593036561974E-2</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C-Retro"/>
      <sheetName val="ProData"/>
      <sheetName val="MMap"/>
      <sheetName val="MDataMeasEquip"/>
      <sheetName val="Cost &amp; Savings"/>
      <sheetName val="Notes Sources"/>
      <sheetName val="Case Studies"/>
      <sheetName val="BC Hydro Data"/>
      <sheetName val="ETO"/>
      <sheetName val="VMWare"/>
      <sheetName val="Market Analysis"/>
      <sheetName val="Screening Estimate"/>
      <sheetName val="To Do"/>
      <sheetName val="PIVOTMMap"/>
      <sheetName val="6PSourceSummary"/>
    </sheetNames>
    <sheetDataSet>
      <sheetData sheetId="0"/>
      <sheetData sheetId="1"/>
      <sheetData sheetId="2"/>
      <sheetData sheetId="3"/>
      <sheetData sheetId="4">
        <row r="15">
          <cell r="A15">
            <v>9</v>
          </cell>
        </row>
      </sheetData>
      <sheetData sheetId="5">
        <row r="190">
          <cell r="AF190">
            <v>13140</v>
          </cell>
        </row>
      </sheetData>
      <sheetData sheetId="6"/>
      <sheetData sheetId="7"/>
      <sheetData sheetId="8">
        <row r="18">
          <cell r="M18">
            <v>19000</v>
          </cell>
        </row>
        <row r="46">
          <cell r="M46">
            <v>-840</v>
          </cell>
        </row>
        <row r="82">
          <cell r="M82">
            <v>-2047</v>
          </cell>
        </row>
      </sheetData>
      <sheetData sheetId="9">
        <row r="9">
          <cell r="V9">
            <v>2857.0468350383635</v>
          </cell>
          <cell r="W9">
            <v>32856.038602941182</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D5"/>
  <sheetViews>
    <sheetView workbookViewId="0">
      <selection activeCell="C16" sqref="C16"/>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s>
  <sheetData>
    <row r="1" spans="1:56" ht="15.75" thickBot="1">
      <c r="A1" s="51" t="s">
        <v>49</v>
      </c>
      <c r="B1" s="51" t="s">
        <v>50</v>
      </c>
      <c r="C1" s="51" t="s">
        <v>51</v>
      </c>
      <c r="D1" s="51" t="s">
        <v>52</v>
      </c>
      <c r="E1" s="51" t="s">
        <v>53</v>
      </c>
      <c r="F1" s="51" t="s">
        <v>54</v>
      </c>
      <c r="G1" s="51" t="s">
        <v>55</v>
      </c>
      <c r="H1" s="51" t="s">
        <v>56</v>
      </c>
      <c r="I1" s="51" t="s">
        <v>47</v>
      </c>
      <c r="J1" s="51" t="s">
        <v>48</v>
      </c>
      <c r="K1" s="52">
        <v>2016</v>
      </c>
      <c r="L1" s="55">
        <v>2017</v>
      </c>
      <c r="M1" s="55">
        <v>2018</v>
      </c>
      <c r="N1" s="55">
        <v>2019</v>
      </c>
      <c r="O1" s="55">
        <v>2020</v>
      </c>
      <c r="P1" s="55">
        <v>2021</v>
      </c>
      <c r="Q1" s="55">
        <v>2022</v>
      </c>
      <c r="R1" s="55">
        <v>2023</v>
      </c>
      <c r="S1" s="55">
        <v>2024</v>
      </c>
      <c r="T1" s="55">
        <v>2025</v>
      </c>
      <c r="U1" s="55">
        <v>2026</v>
      </c>
      <c r="V1" s="55">
        <v>2027</v>
      </c>
      <c r="W1" s="55">
        <v>2028</v>
      </c>
      <c r="X1" s="55">
        <v>2029</v>
      </c>
      <c r="Y1" s="55">
        <v>2030</v>
      </c>
      <c r="Z1" s="55">
        <v>2031</v>
      </c>
      <c r="AA1" s="55">
        <v>2032</v>
      </c>
      <c r="AB1" s="55">
        <v>2033</v>
      </c>
      <c r="AC1" s="55">
        <v>2034</v>
      </c>
      <c r="AD1" s="55">
        <v>2035</v>
      </c>
      <c r="AE1" s="57" t="s">
        <v>57</v>
      </c>
      <c r="AF1" s="58" t="s">
        <v>58</v>
      </c>
      <c r="AG1" s="59"/>
      <c r="AH1" s="59"/>
      <c r="AI1" s="59"/>
      <c r="AJ1" s="59"/>
      <c r="AK1" s="59"/>
      <c r="AL1" s="59"/>
      <c r="AM1" s="59"/>
      <c r="AN1" s="59"/>
      <c r="AO1" s="59"/>
      <c r="AP1" s="59"/>
      <c r="AQ1" s="60"/>
      <c r="AR1" s="61"/>
      <c r="AS1" s="58" t="s">
        <v>59</v>
      </c>
      <c r="AT1" s="59"/>
      <c r="AU1" s="59"/>
      <c r="AV1" s="59"/>
      <c r="AW1" s="59"/>
      <c r="AX1" s="59"/>
      <c r="AY1" s="59"/>
      <c r="AZ1" s="59"/>
      <c r="BA1" s="59"/>
      <c r="BB1" s="59"/>
      <c r="BC1" s="59"/>
      <c r="BD1" s="60"/>
    </row>
    <row r="2" spans="1:56" ht="15">
      <c r="A2" s="51"/>
      <c r="B2" s="51"/>
      <c r="C2" s="51"/>
      <c r="D2" s="51"/>
      <c r="E2" s="51"/>
      <c r="F2" s="51" t="s">
        <v>60</v>
      </c>
      <c r="G2" s="51" t="s">
        <v>45</v>
      </c>
      <c r="H2" s="51" t="s">
        <v>46</v>
      </c>
      <c r="I2" s="51"/>
      <c r="J2" s="51"/>
      <c r="K2" s="53" t="str">
        <f t="shared" ref="K2:AD2" si="0">CONCATENATE("aMW_",K$1)</f>
        <v>aMW_2016</v>
      </c>
      <c r="L2" s="56" t="str">
        <f t="shared" si="0"/>
        <v>aMW_2017</v>
      </c>
      <c r="M2" s="56" t="str">
        <f t="shared" si="0"/>
        <v>aMW_2018</v>
      </c>
      <c r="N2" s="56" t="str">
        <f t="shared" si="0"/>
        <v>aMW_2019</v>
      </c>
      <c r="O2" s="56" t="str">
        <f t="shared" si="0"/>
        <v>aMW_2020</v>
      </c>
      <c r="P2" s="56" t="str">
        <f t="shared" si="0"/>
        <v>aMW_2021</v>
      </c>
      <c r="Q2" s="56" t="str">
        <f t="shared" si="0"/>
        <v>aMW_2022</v>
      </c>
      <c r="R2" s="56" t="str">
        <f t="shared" si="0"/>
        <v>aMW_2023</v>
      </c>
      <c r="S2" s="56" t="str">
        <f t="shared" si="0"/>
        <v>aMW_2024</v>
      </c>
      <c r="T2" s="56" t="str">
        <f t="shared" si="0"/>
        <v>aMW_2025</v>
      </c>
      <c r="U2" s="56" t="str">
        <f t="shared" si="0"/>
        <v>aMW_2026</v>
      </c>
      <c r="V2" s="56" t="str">
        <f t="shared" si="0"/>
        <v>aMW_2027</v>
      </c>
      <c r="W2" s="56" t="str">
        <f t="shared" si="0"/>
        <v>aMW_2028</v>
      </c>
      <c r="X2" s="56" t="str">
        <f t="shared" si="0"/>
        <v>aMW_2029</v>
      </c>
      <c r="Y2" s="56" t="str">
        <f t="shared" si="0"/>
        <v>aMW_2030</v>
      </c>
      <c r="Z2" s="56" t="str">
        <f t="shared" si="0"/>
        <v>aMW_2031</v>
      </c>
      <c r="AA2" s="56" t="str">
        <f t="shared" si="0"/>
        <v>aMW_2032</v>
      </c>
      <c r="AB2" s="56" t="str">
        <f t="shared" si="0"/>
        <v>aMW_2033</v>
      </c>
      <c r="AC2" s="56" t="str">
        <f t="shared" si="0"/>
        <v>aMW_2034</v>
      </c>
      <c r="AD2" s="56" t="str">
        <f t="shared" si="0"/>
        <v>aMW_2035</v>
      </c>
      <c r="AE2" s="62" t="s">
        <v>57</v>
      </c>
      <c r="AF2" s="63" t="s">
        <v>61</v>
      </c>
      <c r="AG2" s="63" t="s">
        <v>62</v>
      </c>
      <c r="AH2" s="63" t="s">
        <v>63</v>
      </c>
      <c r="AI2" s="63" t="s">
        <v>64</v>
      </c>
      <c r="AJ2" s="63" t="s">
        <v>65</v>
      </c>
      <c r="AK2" s="63" t="s">
        <v>66</v>
      </c>
      <c r="AL2" s="63" t="s">
        <v>67</v>
      </c>
      <c r="AM2" s="63" t="s">
        <v>68</v>
      </c>
      <c r="AN2" s="63" t="s">
        <v>69</v>
      </c>
      <c r="AO2" s="63" t="s">
        <v>70</v>
      </c>
      <c r="AP2" s="63" t="s">
        <v>71</v>
      </c>
      <c r="AQ2" s="63" t="s">
        <v>72</v>
      </c>
      <c r="AR2" s="63"/>
      <c r="AS2" s="63" t="s">
        <v>61</v>
      </c>
      <c r="AT2" s="63" t="s">
        <v>62</v>
      </c>
      <c r="AU2" s="63" t="s">
        <v>63</v>
      </c>
      <c r="AV2" s="63" t="s">
        <v>64</v>
      </c>
      <c r="AW2" s="63" t="s">
        <v>65</v>
      </c>
      <c r="AX2" s="63" t="s">
        <v>66</v>
      </c>
      <c r="AY2" s="63" t="s">
        <v>67</v>
      </c>
      <c r="AZ2" s="63" t="s">
        <v>68</v>
      </c>
      <c r="BA2" s="63" t="s">
        <v>69</v>
      </c>
      <c r="BB2" s="63" t="s">
        <v>70</v>
      </c>
      <c r="BC2" s="63" t="s">
        <v>71</v>
      </c>
      <c r="BD2" s="63" t="s">
        <v>72</v>
      </c>
    </row>
    <row r="3" spans="1:56" ht="15">
      <c r="A3" s="54" t="str">
        <f>VLOOKUP(CONCATENATE(C3,"-",B3),[1]!ACHIEV,2,FALSE)</f>
        <v>LO5Med</v>
      </c>
      <c r="B3" s="54" t="s">
        <v>802</v>
      </c>
      <c r="C3" s="54" t="str">
        <f>[1]MLIST!$B$17</f>
        <v>Data Centers</v>
      </c>
      <c r="D3" s="54" t="s">
        <v>73</v>
      </c>
      <c r="E3" s="54" t="s">
        <v>785</v>
      </c>
      <c r="F3" s="64">
        <f>VLOOKUP(J3,MeasOut,14,FALSE)</f>
        <v>6.0301720851307701E-2</v>
      </c>
      <c r="G3" s="65">
        <f t="shared" ref="G3" si="1">VLOOKUP(J3,MeasOut,3,FALSE)</f>
        <v>480.12368554724708</v>
      </c>
      <c r="H3" s="65">
        <f t="shared" ref="H3" si="2">VLOOKUP(J3,MeasOut,11,FALSE)</f>
        <v>10.280201045728052</v>
      </c>
      <c r="I3" s="23"/>
      <c r="J3" s="23" t="str">
        <f>'SC-NR'!D44</f>
        <v>Best Practice</v>
      </c>
      <c r="K3" s="413">
        <f ca="1">VLOOKUP($J3,'SC-NR'!$D$44:$Y$46,COLUMN()-9,FALSE)</f>
        <v>1.0714465029375186</v>
      </c>
      <c r="L3" s="413">
        <f ca="1">VLOOKUP($J3,'SC-NR'!$D$44:$Y$46,COLUMN()-9,FALSE)</f>
        <v>2.5314920825573255</v>
      </c>
      <c r="M3" s="413">
        <f ca="1">VLOOKUP($J3,'SC-NR'!$D$44:$Y$46,COLUMN()-9,FALSE)</f>
        <v>4.4143603382350047</v>
      </c>
      <c r="N3" s="413">
        <f ca="1">VLOOKUP($J3,'SC-NR'!$D$44:$Y$46,COLUMN()-9,FALSE)</f>
        <v>6.4504791082894695</v>
      </c>
      <c r="O3" s="413">
        <f ca="1">VLOOKUP($J3,'SC-NR'!$D$44:$Y$46,COLUMN()-9,FALSE)</f>
        <v>8.8788329900293625</v>
      </c>
      <c r="P3" s="413">
        <f ca="1">VLOOKUP($J3,'SC-NR'!$D$44:$Y$46,COLUMN()-9,FALSE)</f>
        <v>11.895651958232813</v>
      </c>
      <c r="Q3" s="413">
        <f ca="1">VLOOKUP($J3,'SC-NR'!$D$44:$Y$46,COLUMN()-9,FALSE)</f>
        <v>15.465732350499543</v>
      </c>
      <c r="R3" s="413">
        <f ca="1">VLOOKUP($J3,'SC-NR'!$D$44:$Y$46,COLUMN()-9,FALSE)</f>
        <v>18.928078411542096</v>
      </c>
      <c r="S3" s="413">
        <f ca="1">VLOOKUP($J3,'SC-NR'!$D$44:$Y$46,COLUMN()-9,FALSE)</f>
        <v>22.432840421892269</v>
      </c>
      <c r="T3" s="413">
        <f ca="1">VLOOKUP($J3,'SC-NR'!$D$44:$Y$46,COLUMN()-9,FALSE)</f>
        <v>25.765062967987291</v>
      </c>
      <c r="U3" s="413">
        <f ca="1">VLOOKUP($J3,'SC-NR'!$D$44:$Y$46,COLUMN()-9,FALSE)</f>
        <v>28.751591394090703</v>
      </c>
      <c r="V3" s="413">
        <f ca="1">VLOOKUP($J3,'SC-NR'!$D$44:$Y$46,COLUMN()-9,FALSE)</f>
        <v>30.904345511240646</v>
      </c>
      <c r="W3" s="413">
        <f ca="1">VLOOKUP($J3,'SC-NR'!$D$44:$Y$46,COLUMN()-9,FALSE)</f>
        <v>32.636261384490098</v>
      </c>
      <c r="X3" s="413">
        <f ca="1">VLOOKUP($J3,'SC-NR'!$D$44:$Y$46,COLUMN()-9,FALSE)</f>
        <v>34.086910079423824</v>
      </c>
      <c r="Y3" s="413">
        <f ca="1">VLOOKUP($J3,'SC-NR'!$D$44:$Y$46,COLUMN()-9,FALSE)</f>
        <v>35.416693703240121</v>
      </c>
      <c r="Z3" s="413">
        <f ca="1">VLOOKUP($J3,'SC-NR'!$D$44:$Y$46,COLUMN()-9,FALSE)</f>
        <v>36.532484355222856</v>
      </c>
      <c r="AA3" s="413">
        <f ca="1">VLOOKUP($J3,'SC-NR'!$D$44:$Y$46,COLUMN()-9,FALSE)</f>
        <v>37.733678071162423</v>
      </c>
      <c r="AB3" s="413">
        <f ca="1">VLOOKUP($J3,'SC-NR'!$D$44:$Y$46,COLUMN()-9,FALSE)</f>
        <v>39.059911843145414</v>
      </c>
      <c r="AC3" s="413">
        <f ca="1">VLOOKUP($J3,'SC-NR'!$D$44:$Y$46,COLUMN()-9,FALSE)</f>
        <v>40.528056614287308</v>
      </c>
      <c r="AD3" s="413">
        <f ca="1">VLOOKUP($J3,'SC-NR'!$D$44:$Y$46,COLUMN()-9,FALSE)</f>
        <v>42.028695892775275</v>
      </c>
      <c r="AE3" s="415">
        <f ca="1">VLOOKUP($J3,'SC-NR'!$D$44:$Y$46,COLUMN()-9,FALSE)</f>
        <v>166.34349089541217</v>
      </c>
      <c r="AF3" s="414">
        <f t="shared" ref="AF3:AO5" si="3">VLOOKUP($J3,MeasOut,COLUMN()-17,FALSE)</f>
        <v>23.18777878353416</v>
      </c>
      <c r="AG3" s="414">
        <f t="shared" si="3"/>
        <v>21.787338263540963</v>
      </c>
      <c r="AH3" s="414">
        <f t="shared" si="3"/>
        <v>24.711881303785237</v>
      </c>
      <c r="AI3" s="414">
        <f t="shared" si="3"/>
        <v>22.516200591859871</v>
      </c>
      <c r="AJ3" s="414">
        <f t="shared" si="3"/>
        <v>23.094089227391606</v>
      </c>
      <c r="AK3" s="414">
        <f t="shared" si="3"/>
        <v>23.020487421620441</v>
      </c>
      <c r="AL3" s="414">
        <f t="shared" si="3"/>
        <v>22.042053048682074</v>
      </c>
      <c r="AM3" s="414">
        <f t="shared" si="3"/>
        <v>25.144410875221443</v>
      </c>
      <c r="AN3" s="414">
        <f t="shared" si="3"/>
        <v>21.657202026036494</v>
      </c>
      <c r="AO3" s="414">
        <f t="shared" si="3"/>
        <v>24.604778562596838</v>
      </c>
      <c r="AP3" s="414">
        <f t="shared" ref="AP3:BD5" si="4">VLOOKUP($J3,MeasOut,COLUMN()-17,FALSE)</f>
        <v>21.263385367509667</v>
      </c>
      <c r="AQ3" s="414">
        <f t="shared" si="4"/>
        <v>21.649837301680186</v>
      </c>
      <c r="AR3" s="414">
        <f t="shared" si="4"/>
        <v>0</v>
      </c>
      <c r="AS3" s="414">
        <f t="shared" si="4"/>
        <v>18.667876436645539</v>
      </c>
      <c r="AT3" s="414">
        <f t="shared" si="4"/>
        <v>16.791839683540591</v>
      </c>
      <c r="AU3" s="414">
        <f t="shared" si="4"/>
        <v>16.701348352437719</v>
      </c>
      <c r="AV3" s="414">
        <f t="shared" si="4"/>
        <v>16.782391422992305</v>
      </c>
      <c r="AW3" s="414">
        <f t="shared" si="4"/>
        <v>16.999189637069172</v>
      </c>
      <c r="AX3" s="414">
        <f t="shared" si="4"/>
        <v>15.758792827661212</v>
      </c>
      <c r="AY3" s="414">
        <f t="shared" si="4"/>
        <v>17.717879101971459</v>
      </c>
      <c r="AZ3" s="414">
        <f t="shared" si="4"/>
        <v>16.8850967445313</v>
      </c>
      <c r="BA3" s="414">
        <f t="shared" si="4"/>
        <v>17.659203695336348</v>
      </c>
      <c r="BB3" s="414">
        <f t="shared" si="4"/>
        <v>16.56611635869692</v>
      </c>
      <c r="BC3" s="414">
        <f t="shared" si="4"/>
        <v>17.423041895507691</v>
      </c>
      <c r="BD3" s="414">
        <f t="shared" si="4"/>
        <v>17.491466617397801</v>
      </c>
    </row>
    <row r="4" spans="1:56" ht="15">
      <c r="A4" s="54" t="str">
        <f>VLOOKUP(CONCATENATE(C4,"-",B4),[1]!ACHIEV,2,FALSE)</f>
        <v>LO5Med</v>
      </c>
      <c r="B4" s="54" t="s">
        <v>802</v>
      </c>
      <c r="C4" s="54" t="str">
        <f>[1]MLIST!$B$17</f>
        <v>Data Centers</v>
      </c>
      <c r="D4" s="54" t="s">
        <v>73</v>
      </c>
      <c r="E4" s="54" t="s">
        <v>785</v>
      </c>
      <c r="F4" s="64">
        <f>VLOOKUP(J4,MeasOut,14,FALSE)</f>
        <v>2.7847683662794227E-2</v>
      </c>
      <c r="G4" s="65">
        <f t="shared" ref="G4:G5" si="5">VLOOKUP(J4,MeasOut,3,FALSE)</f>
        <v>221.72389652201252</v>
      </c>
      <c r="H4" s="65">
        <f t="shared" ref="H4:H5" si="6">VLOOKUP(J4,MeasOut,11,FALSE)</f>
        <v>27.157230174928788</v>
      </c>
      <c r="I4" s="23"/>
      <c r="J4" s="23" t="str">
        <f>'SC-NR'!D45</f>
        <v>Commercial Technology</v>
      </c>
      <c r="K4" s="413">
        <f ca="1">VLOOKUP($J4,'SC-NR'!$D$44:$Y$46,COLUMN()-9,FALSE)</f>
        <v>0.49480019565252781</v>
      </c>
      <c r="L4" s="413">
        <f ca="1">VLOOKUP($J4,'SC-NR'!$D$44:$Y$46,COLUMN()-9,FALSE)</f>
        <v>1.1690576937887807</v>
      </c>
      <c r="M4" s="413">
        <f ca="1">VLOOKUP($J4,'SC-NR'!$D$44:$Y$46,COLUMN()-9,FALSE)</f>
        <v>2.0385771506566872</v>
      </c>
      <c r="N4" s="413">
        <f ca="1">VLOOKUP($J4,'SC-NR'!$D$44:$Y$46,COLUMN()-9,FALSE)</f>
        <v>2.9788685819438401</v>
      </c>
      <c r="O4" s="413">
        <f ca="1">VLOOKUP($J4,'SC-NR'!$D$44:$Y$46,COLUMN()-9,FALSE)</f>
        <v>4.1002964577213596</v>
      </c>
      <c r="P4" s="413">
        <f ca="1">VLOOKUP($J4,'SC-NR'!$D$44:$Y$46,COLUMN()-9,FALSE)</f>
        <v>5.4934809159493909</v>
      </c>
      <c r="Q4" s="413">
        <f ca="1">VLOOKUP($J4,'SC-NR'!$D$44:$Y$46,COLUMN()-9,FALSE)</f>
        <v>7.1421647016034493</v>
      </c>
      <c r="R4" s="413">
        <f ca="1">VLOOKUP($J4,'SC-NR'!$D$44:$Y$46,COLUMN()-9,FALSE)</f>
        <v>8.7410961496260278</v>
      </c>
      <c r="S4" s="413">
        <f ca="1">VLOOKUP($J4,'SC-NR'!$D$44:$Y$46,COLUMN()-9,FALSE)</f>
        <v>10.35961552850531</v>
      </c>
      <c r="T4" s="413">
        <f ca="1">VLOOKUP($J4,'SC-NR'!$D$44:$Y$46,COLUMN()-9,FALSE)</f>
        <v>11.898455184283934</v>
      </c>
      <c r="U4" s="413">
        <f ca="1">VLOOKUP($J4,'SC-NR'!$D$44:$Y$46,COLUMN()-9,FALSE)</f>
        <v>13.277651294874978</v>
      </c>
      <c r="V4" s="413">
        <f ca="1">VLOOKUP($J4,'SC-NR'!$D$44:$Y$46,COLUMN()-9,FALSE)</f>
        <v>14.271805604434281</v>
      </c>
      <c r="W4" s="413">
        <f ca="1">VLOOKUP($J4,'SC-NR'!$D$44:$Y$46,COLUMN()-9,FALSE)</f>
        <v>15.071614377516365</v>
      </c>
      <c r="X4" s="413">
        <f ca="1">VLOOKUP($J4,'SC-NR'!$D$44:$Y$46,COLUMN()-9,FALSE)</f>
        <v>15.741532339923632</v>
      </c>
      <c r="Y4" s="413">
        <f ca="1">VLOOKUP($J4,'SC-NR'!$D$44:$Y$46,COLUMN()-9,FALSE)</f>
        <v>16.35563411302746</v>
      </c>
      <c r="Z4" s="413">
        <f ca="1">VLOOKUP($J4,'SC-NR'!$D$44:$Y$46,COLUMN()-9,FALSE)</f>
        <v>16.870912693334251</v>
      </c>
      <c r="AA4" s="413">
        <f ca="1">VLOOKUP($J4,'SC-NR'!$D$44:$Y$46,COLUMN()-9,FALSE)</f>
        <v>17.425630902814603</v>
      </c>
      <c r="AB4" s="413">
        <f ca="1">VLOOKUP($J4,'SC-NR'!$D$44:$Y$46,COLUMN()-9,FALSE)</f>
        <v>18.038093333798372</v>
      </c>
      <c r="AC4" s="413">
        <f ca="1">VLOOKUP($J4,'SC-NR'!$D$44:$Y$46,COLUMN()-9,FALSE)</f>
        <v>18.716091085450568</v>
      </c>
      <c r="AD4" s="413">
        <f ca="1">VLOOKUP($J4,'SC-NR'!$D$44:$Y$46,COLUMN()-9,FALSE)</f>
        <v>19.409094988644991</v>
      </c>
      <c r="AE4" s="415">
        <f ca="1">VLOOKUP($J4,'SC-NR'!$D$44:$Y$46,COLUMN()-9,FALSE)</f>
        <v>76.818386746252813</v>
      </c>
      <c r="AF4" s="414">
        <f t="shared" si="3"/>
        <v>10.708250432835005</v>
      </c>
      <c r="AG4" s="414">
        <f t="shared" si="3"/>
        <v>10.061518896176306</v>
      </c>
      <c r="AH4" s="414">
        <f t="shared" si="3"/>
        <v>11.412089796860361</v>
      </c>
      <c r="AI4" s="414">
        <f t="shared" si="3"/>
        <v>10.398111737412158</v>
      </c>
      <c r="AJ4" s="414">
        <f t="shared" si="3"/>
        <v>10.664984053615099</v>
      </c>
      <c r="AK4" s="414">
        <f t="shared" si="3"/>
        <v>10.630994313767046</v>
      </c>
      <c r="AL4" s="414">
        <f t="shared" si="3"/>
        <v>10.179147658021048</v>
      </c>
      <c r="AM4" s="414">
        <f t="shared" si="3"/>
        <v>11.611834456052758</v>
      </c>
      <c r="AN4" s="414">
        <f t="shared" si="3"/>
        <v>10.00142122858194</v>
      </c>
      <c r="AO4" s="414">
        <f t="shared" si="3"/>
        <v>11.362629131162496</v>
      </c>
      <c r="AP4" s="414">
        <f t="shared" si="4"/>
        <v>9.8195544166075983</v>
      </c>
      <c r="AQ4" s="414">
        <f t="shared" si="4"/>
        <v>9.9980201562536006</v>
      </c>
      <c r="AR4" s="414">
        <f t="shared" si="4"/>
        <v>0</v>
      </c>
      <c r="AS4" s="414">
        <f t="shared" si="4"/>
        <v>8.620933371797161</v>
      </c>
      <c r="AT4" s="414">
        <f t="shared" si="4"/>
        <v>7.7545687423521104</v>
      </c>
      <c r="AU4" s="414">
        <f t="shared" si="4"/>
        <v>7.7127793219640655</v>
      </c>
      <c r="AV4" s="414">
        <f t="shared" si="4"/>
        <v>7.7502054809526397</v>
      </c>
      <c r="AW4" s="414">
        <f t="shared" si="4"/>
        <v>7.8503241508519306</v>
      </c>
      <c r="AX4" s="414">
        <f t="shared" si="4"/>
        <v>7.2775017259346315</v>
      </c>
      <c r="AY4" s="414">
        <f t="shared" si="4"/>
        <v>8.1822191048903417</v>
      </c>
      <c r="AZ4" s="414">
        <f t="shared" si="4"/>
        <v>7.7976353928079893</v>
      </c>
      <c r="BA4" s="414">
        <f t="shared" si="4"/>
        <v>8.1551224625442718</v>
      </c>
      <c r="BB4" s="414">
        <f t="shared" si="4"/>
        <v>7.6503284046499678</v>
      </c>
      <c r="BC4" s="414">
        <f t="shared" si="4"/>
        <v>8.0460615766852897</v>
      </c>
      <c r="BD4" s="414">
        <f t="shared" si="4"/>
        <v>8.0776605092366349</v>
      </c>
    </row>
    <row r="5" spans="1:56" ht="15">
      <c r="A5" s="54" t="str">
        <f>VLOOKUP(CONCATENATE(C5,"-",B5),[1]!ACHIEV,2,FALSE)</f>
        <v>LO5Med</v>
      </c>
      <c r="B5" s="54" t="s">
        <v>802</v>
      </c>
      <c r="C5" s="54" t="str">
        <f>[1]MLIST!$B$17</f>
        <v>Data Centers</v>
      </c>
      <c r="D5" s="54" t="s">
        <v>73</v>
      </c>
      <c r="E5" s="54" t="s">
        <v>785</v>
      </c>
      <c r="F5" s="64">
        <f>VLOOKUP(J5,MeasOut,14,FALSE)</f>
        <v>6.5819692556699921E-3</v>
      </c>
      <c r="G5" s="65">
        <f t="shared" si="5"/>
        <v>52.405790292175645</v>
      </c>
      <c r="H5" s="65">
        <f t="shared" si="6"/>
        <v>20.980098599086904</v>
      </c>
      <c r="I5" s="23"/>
      <c r="J5" s="23" t="str">
        <f>'SC-NR'!D46</f>
        <v>Cutting Edge</v>
      </c>
      <c r="K5" s="413">
        <f ca="1">VLOOKUP($J5,'SC-NR'!$D$44:$Y$46,COLUMN()-9,FALSE)</f>
        <v>0.11694903299392227</v>
      </c>
      <c r="L5" s="413">
        <f ca="1">VLOOKUP($J5,'SC-NR'!$D$44:$Y$46,COLUMN()-9,FALSE)</f>
        <v>0.27631388993773603</v>
      </c>
      <c r="M5" s="413">
        <f ca="1">VLOOKUP($J5,'SC-NR'!$D$44:$Y$46,COLUMN()-9,FALSE)</f>
        <v>0.48183009737576499</v>
      </c>
      <c r="N5" s="413">
        <f ca="1">VLOOKUP($J5,'SC-NR'!$D$44:$Y$46,COLUMN()-9,FALSE)</f>
        <v>0.70407369102771067</v>
      </c>
      <c r="O5" s="413">
        <f ca="1">VLOOKUP($J5,'SC-NR'!$D$44:$Y$46,COLUMN()-9,FALSE)</f>
        <v>0.96912998404645689</v>
      </c>
      <c r="P5" s="413">
        <f ca="1">VLOOKUP($J5,'SC-NR'!$D$44:$Y$46,COLUMN()-9,FALSE)</f>
        <v>1.2984175967101106</v>
      </c>
      <c r="Q5" s="413">
        <f ca="1">VLOOKUP($J5,'SC-NR'!$D$44:$Y$46,COLUMN()-9,FALSE)</f>
        <v>1.6880940280032037</v>
      </c>
      <c r="R5" s="413">
        <f ca="1">VLOOKUP($J5,'SC-NR'!$D$44:$Y$46,COLUMN()-9,FALSE)</f>
        <v>2.0660111919671569</v>
      </c>
      <c r="S5" s="413">
        <f ca="1">VLOOKUP($J5,'SC-NR'!$D$44:$Y$46,COLUMN()-9,FALSE)</f>
        <v>2.4485580824190354</v>
      </c>
      <c r="T5" s="413">
        <f ca="1">VLOOKUP($J5,'SC-NR'!$D$44:$Y$46,COLUMN()-9,FALSE)</f>
        <v>2.8122721861264455</v>
      </c>
      <c r="U5" s="413">
        <f ca="1">VLOOKUP($J5,'SC-NR'!$D$44:$Y$46,COLUMN()-9,FALSE)</f>
        <v>3.1382535678231309</v>
      </c>
      <c r="V5" s="413">
        <f ca="1">VLOOKUP($J5,'SC-NR'!$D$44:$Y$46,COLUMN()-9,FALSE)</f>
        <v>3.3732279800631537</v>
      </c>
      <c r="W5" s="413">
        <f ca="1">VLOOKUP($J5,'SC-NR'!$D$44:$Y$46,COLUMN()-9,FALSE)</f>
        <v>3.5622676437776182</v>
      </c>
      <c r="X5" s="413">
        <f ca="1">VLOOKUP($J5,'SC-NR'!$D$44:$Y$46,COLUMN()-9,FALSE)</f>
        <v>3.7206068250818376</v>
      </c>
      <c r="Y5" s="413">
        <f ca="1">VLOOKUP($J5,'SC-NR'!$D$44:$Y$46,COLUMN()-9,FALSE)</f>
        <v>3.8657535108660532</v>
      </c>
      <c r="Z5" s="413">
        <f ca="1">VLOOKUP($J5,'SC-NR'!$D$44:$Y$46,COLUMN()-9,FALSE)</f>
        <v>3.9875427345139727</v>
      </c>
      <c r="AA5" s="413">
        <f ca="1">VLOOKUP($J5,'SC-NR'!$D$44:$Y$46,COLUMN()-9,FALSE)</f>
        <v>4.1186537541797872</v>
      </c>
      <c r="AB5" s="413">
        <f ca="1">VLOOKUP($J5,'SC-NR'!$D$44:$Y$46,COLUMN()-9,FALSE)</f>
        <v>4.2634129714921398</v>
      </c>
      <c r="AC5" s="413">
        <f ca="1">VLOOKUP($J5,'SC-NR'!$D$44:$Y$46,COLUMN()-9,FALSE)</f>
        <v>4.4236618600828379</v>
      </c>
      <c r="AD5" s="413">
        <f ca="1">VLOOKUP($J5,'SC-NR'!$D$44:$Y$46,COLUMN()-9,FALSE)</f>
        <v>4.5874575437783971</v>
      </c>
      <c r="AE5" s="415">
        <f ca="1">VLOOKUP($J5,'SC-NR'!$D$44:$Y$46,COLUMN()-9,FALSE)</f>
        <v>18.156492509627618</v>
      </c>
      <c r="AF5" s="414">
        <f t="shared" si="3"/>
        <v>2.5309600606064464</v>
      </c>
      <c r="AG5" s="414">
        <f t="shared" si="3"/>
        <v>2.3781011319248142</v>
      </c>
      <c r="AH5" s="414">
        <f t="shared" si="3"/>
        <v>2.697316771313222</v>
      </c>
      <c r="AI5" s="414">
        <f t="shared" si="3"/>
        <v>2.4576568953240119</v>
      </c>
      <c r="AJ5" s="414">
        <f t="shared" si="3"/>
        <v>2.5207337889610941</v>
      </c>
      <c r="AK5" s="414">
        <f t="shared" si="3"/>
        <v>2.5127001074026167</v>
      </c>
      <c r="AL5" s="414">
        <f t="shared" si="3"/>
        <v>2.4059034045813008</v>
      </c>
      <c r="AM5" s="414">
        <f t="shared" si="3"/>
        <v>2.7445276353013512</v>
      </c>
      <c r="AN5" s="414">
        <f t="shared" si="3"/>
        <v>2.3638966829934969</v>
      </c>
      <c r="AO5" s="414">
        <f t="shared" si="3"/>
        <v>2.6856264424179943</v>
      </c>
      <c r="AP5" s="414">
        <f t="shared" si="4"/>
        <v>2.320911356833637</v>
      </c>
      <c r="AQ5" s="414">
        <f t="shared" si="4"/>
        <v>2.3630928188814058</v>
      </c>
      <c r="AR5" s="414">
        <f t="shared" si="4"/>
        <v>0</v>
      </c>
      <c r="AS5" s="414">
        <f t="shared" si="4"/>
        <v>2.037609989234372</v>
      </c>
      <c r="AT5" s="414">
        <f t="shared" si="4"/>
        <v>1.8328394444286691</v>
      </c>
      <c r="AU5" s="414">
        <f t="shared" si="4"/>
        <v>1.8229622609782592</v>
      </c>
      <c r="AV5" s="414">
        <f t="shared" si="4"/>
        <v>1.8318081610826806</v>
      </c>
      <c r="AW5" s="414">
        <f t="shared" si="4"/>
        <v>1.8554718171043172</v>
      </c>
      <c r="AX5" s="414">
        <f t="shared" si="4"/>
        <v>1.7200817561061279</v>
      </c>
      <c r="AY5" s="414">
        <f t="shared" si="4"/>
        <v>1.9339172063167578</v>
      </c>
      <c r="AZ5" s="414">
        <f t="shared" si="4"/>
        <v>1.8430185089669517</v>
      </c>
      <c r="BA5" s="414">
        <f t="shared" si="4"/>
        <v>1.9275127502401472</v>
      </c>
      <c r="BB5" s="414">
        <f t="shared" si="4"/>
        <v>1.8082016071756972</v>
      </c>
      <c r="BC5" s="414">
        <f t="shared" si="4"/>
        <v>1.9017355471372905</v>
      </c>
      <c r="BD5" s="414">
        <f t="shared" si="4"/>
        <v>1.9092041468629766</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2:Q52"/>
  <sheetViews>
    <sheetView topLeftCell="A43" workbookViewId="0">
      <selection activeCell="F46" sqref="F46"/>
    </sheetView>
  </sheetViews>
  <sheetFormatPr defaultRowHeight="15"/>
  <cols>
    <col min="1" max="2" width="9.140625" style="71"/>
    <col min="3" max="15" width="14.42578125" style="71" customWidth="1"/>
    <col min="16" max="16384" width="9.140625" style="71"/>
  </cols>
  <sheetData>
    <row r="2" spans="2:2">
      <c r="B2" s="71" t="s">
        <v>433</v>
      </c>
    </row>
    <row r="37" spans="2:17">
      <c r="B37" s="182"/>
      <c r="C37" s="182"/>
      <c r="D37" s="182"/>
      <c r="E37" s="182"/>
      <c r="F37" s="182"/>
      <c r="G37" s="182"/>
      <c r="H37" s="182"/>
      <c r="I37" s="182"/>
      <c r="J37" s="182"/>
      <c r="K37" s="182"/>
      <c r="L37" s="182"/>
      <c r="M37" s="182"/>
      <c r="N37" s="182"/>
      <c r="O37" s="182"/>
    </row>
    <row r="38" spans="2:17" ht="100.5">
      <c r="B38" s="182"/>
      <c r="C38" s="295" t="s">
        <v>291</v>
      </c>
      <c r="D38" s="295" t="s">
        <v>292</v>
      </c>
      <c r="E38" s="295" t="s">
        <v>293</v>
      </c>
      <c r="F38" s="295" t="s">
        <v>294</v>
      </c>
      <c r="G38" s="295" t="s">
        <v>295</v>
      </c>
      <c r="H38" s="295" t="s">
        <v>296</v>
      </c>
      <c r="I38" s="295" t="s">
        <v>297</v>
      </c>
      <c r="J38" s="295" t="s">
        <v>298</v>
      </c>
      <c r="K38" s="295" t="s">
        <v>299</v>
      </c>
      <c r="L38" s="295" t="s">
        <v>300</v>
      </c>
      <c r="M38" s="295" t="s">
        <v>301</v>
      </c>
      <c r="N38" s="295" t="s">
        <v>302</v>
      </c>
      <c r="O38" s="295" t="s">
        <v>261</v>
      </c>
    </row>
    <row r="39" spans="2:17" ht="57">
      <c r="C39" s="446">
        <v>1</v>
      </c>
      <c r="D39" s="194" t="s">
        <v>313</v>
      </c>
      <c r="E39" s="447" t="s">
        <v>314</v>
      </c>
      <c r="F39" s="447">
        <v>3</v>
      </c>
      <c r="G39" s="447">
        <v>78</v>
      </c>
      <c r="H39" s="449">
        <v>13</v>
      </c>
      <c r="I39" s="450">
        <v>1.2999999999999999E-3</v>
      </c>
      <c r="J39" s="442">
        <v>4</v>
      </c>
      <c r="K39" s="443">
        <v>3.6</v>
      </c>
      <c r="L39" s="443">
        <v>1.3</v>
      </c>
      <c r="M39" s="444">
        <v>0.02</v>
      </c>
      <c r="N39" s="445">
        <v>1.4</v>
      </c>
      <c r="O39" s="445" t="s">
        <v>315</v>
      </c>
      <c r="Q39" s="71" t="s">
        <v>434</v>
      </c>
    </row>
    <row r="40" spans="2:17" ht="42.75">
      <c r="C40" s="446"/>
      <c r="D40" s="181" t="s">
        <v>306</v>
      </c>
      <c r="E40" s="447"/>
      <c r="F40" s="447"/>
      <c r="G40" s="447"/>
      <c r="H40" s="449"/>
      <c r="I40" s="450"/>
      <c r="J40" s="442"/>
      <c r="K40" s="443"/>
      <c r="L40" s="443"/>
      <c r="M40" s="444"/>
      <c r="N40" s="445"/>
      <c r="O40" s="445"/>
      <c r="Q40" s="296">
        <f>-PMT(4%,F39,(H39/G39))</f>
        <v>6.0058089868443493E-2</v>
      </c>
    </row>
    <row r="41" spans="2:17" ht="28.5">
      <c r="C41" s="451">
        <v>2</v>
      </c>
      <c r="D41" s="195" t="s">
        <v>316</v>
      </c>
      <c r="E41" s="452" t="s">
        <v>314</v>
      </c>
      <c r="F41" s="452">
        <v>3</v>
      </c>
      <c r="G41" s="452">
        <v>565</v>
      </c>
      <c r="H41" s="453">
        <v>45</v>
      </c>
      <c r="I41" s="454">
        <v>4.4999999999999997E-3</v>
      </c>
      <c r="J41" s="453">
        <v>98</v>
      </c>
      <c r="K41" s="451">
        <v>1.2</v>
      </c>
      <c r="L41" s="451">
        <v>2.5</v>
      </c>
      <c r="M41" s="455">
        <v>0.06</v>
      </c>
      <c r="N41" s="456">
        <v>-1.3</v>
      </c>
      <c r="O41" s="456" t="s">
        <v>315</v>
      </c>
      <c r="Q41" s="71" t="s">
        <v>435</v>
      </c>
    </row>
    <row r="42" spans="2:17" ht="28.5">
      <c r="C42" s="451"/>
      <c r="D42" s="195" t="s">
        <v>317</v>
      </c>
      <c r="E42" s="452"/>
      <c r="F42" s="452"/>
      <c r="G42" s="452"/>
      <c r="H42" s="453"/>
      <c r="I42" s="454"/>
      <c r="J42" s="453"/>
      <c r="K42" s="451"/>
      <c r="L42" s="451"/>
      <c r="M42" s="455"/>
      <c r="N42" s="456"/>
      <c r="O42" s="456"/>
      <c r="Q42" s="296">
        <f>-PMT(4%,F41,(H41/G41),FALSE)</f>
        <v>2.8700326131822558E-2</v>
      </c>
    </row>
    <row r="43" spans="2:17">
      <c r="B43" s="196"/>
      <c r="C43" s="183" t="s">
        <v>318</v>
      </c>
      <c r="D43" s="197"/>
      <c r="E43" s="197"/>
      <c r="F43" s="184" t="s">
        <v>248</v>
      </c>
      <c r="G43" s="184">
        <v>0.56499999999999995</v>
      </c>
      <c r="H43" s="184">
        <v>4.4999999999999998E-2</v>
      </c>
      <c r="I43" s="297"/>
      <c r="J43" s="199"/>
      <c r="K43" s="200"/>
      <c r="L43" s="199"/>
      <c r="M43" s="200"/>
      <c r="N43" s="201"/>
      <c r="O43" s="201"/>
    </row>
    <row r="44" spans="2:17">
      <c r="B44" s="196"/>
      <c r="C44" s="183"/>
      <c r="D44" s="197"/>
      <c r="E44" s="197"/>
      <c r="F44" s="197"/>
      <c r="G44" s="197"/>
      <c r="H44" s="197"/>
      <c r="I44" s="297"/>
      <c r="J44" s="199"/>
      <c r="K44" s="200"/>
      <c r="L44" s="199"/>
      <c r="M44" s="200"/>
      <c r="N44" s="201"/>
      <c r="O44" s="201"/>
    </row>
    <row r="45" spans="2:17">
      <c r="B45" s="196"/>
      <c r="C45" s="188" t="s">
        <v>308</v>
      </c>
      <c r="D45" s="188" t="s">
        <v>309</v>
      </c>
      <c r="E45" s="188" t="s">
        <v>261</v>
      </c>
      <c r="F45" s="197"/>
      <c r="G45" s="197"/>
      <c r="H45" s="197"/>
      <c r="I45" s="297"/>
      <c r="J45" s="199"/>
      <c r="K45" s="200"/>
      <c r="L45" s="199"/>
      <c r="N45" s="201"/>
      <c r="O45" s="201"/>
    </row>
    <row r="46" spans="2:17" ht="60">
      <c r="B46" s="196"/>
      <c r="C46" s="189" t="s">
        <v>319</v>
      </c>
      <c r="D46" s="204">
        <v>506.18389389445406</v>
      </c>
      <c r="E46" s="191" t="s">
        <v>320</v>
      </c>
      <c r="F46" s="197"/>
      <c r="G46" s="197"/>
      <c r="H46" s="197"/>
      <c r="I46" s="297"/>
      <c r="J46" s="199"/>
      <c r="K46" s="200"/>
      <c r="L46" s="199"/>
      <c r="M46" s="200"/>
      <c r="N46" s="201"/>
      <c r="O46" s="201"/>
    </row>
    <row r="47" spans="2:17">
      <c r="B47" s="196"/>
      <c r="C47" s="167" t="s">
        <v>230</v>
      </c>
      <c r="D47" s="192">
        <v>0.05</v>
      </c>
      <c r="E47" s="193" t="s">
        <v>321</v>
      </c>
      <c r="F47" s="197"/>
      <c r="G47" s="197"/>
      <c r="H47" s="197"/>
      <c r="I47" s="297"/>
      <c r="J47" s="199"/>
      <c r="K47" s="200"/>
      <c r="L47" s="199"/>
      <c r="M47" s="200"/>
      <c r="N47" s="201"/>
      <c r="O47" s="201"/>
    </row>
    <row r="48" spans="2:17">
      <c r="B48" s="196"/>
      <c r="C48" s="183"/>
      <c r="D48" s="197"/>
      <c r="E48" s="197"/>
      <c r="F48" s="197"/>
      <c r="G48" s="197"/>
      <c r="H48" s="197"/>
      <c r="I48" s="297"/>
      <c r="J48" s="199"/>
      <c r="K48" s="200"/>
      <c r="L48" s="199"/>
      <c r="M48" s="200"/>
      <c r="N48" s="201"/>
      <c r="O48" s="201"/>
    </row>
    <row r="49" spans="2:15">
      <c r="B49" s="196"/>
      <c r="C49" s="201"/>
      <c r="D49" s="197"/>
      <c r="E49" s="197"/>
      <c r="F49" s="197"/>
      <c r="G49" s="197"/>
      <c r="H49" s="205"/>
      <c r="I49" s="197"/>
      <c r="J49" s="197"/>
      <c r="K49" s="199"/>
      <c r="L49" s="200"/>
      <c r="M49" s="199"/>
      <c r="N49" s="200"/>
      <c r="O49" s="201"/>
    </row>
    <row r="50" spans="2:15">
      <c r="B50" s="196"/>
      <c r="C50" s="201"/>
      <c r="D50" s="197"/>
      <c r="E50" s="197"/>
      <c r="F50" s="197"/>
      <c r="G50" s="197"/>
      <c r="H50" s="205"/>
      <c r="I50" s="197"/>
      <c r="J50" s="197"/>
      <c r="K50" s="199"/>
      <c r="L50" s="200"/>
      <c r="M50" s="199"/>
      <c r="N50" s="200"/>
      <c r="O50" s="201"/>
    </row>
    <row r="51" spans="2:15">
      <c r="B51" s="196"/>
      <c r="C51" s="201"/>
      <c r="D51" s="197"/>
      <c r="E51" s="197"/>
      <c r="F51" s="197"/>
      <c r="G51" s="197"/>
      <c r="H51" s="205"/>
      <c r="I51" s="197"/>
      <c r="J51" s="197"/>
      <c r="K51" s="199"/>
      <c r="L51" s="200"/>
      <c r="M51" s="199"/>
      <c r="N51" s="200"/>
      <c r="O51" s="201"/>
    </row>
    <row r="52" spans="2:15">
      <c r="B52" s="196"/>
      <c r="C52" s="298" t="s">
        <v>322</v>
      </c>
      <c r="D52" s="197"/>
      <c r="E52" s="197"/>
      <c r="F52" s="197"/>
      <c r="G52" s="197"/>
      <c r="H52" s="205"/>
      <c r="I52" s="197"/>
      <c r="J52" s="197"/>
      <c r="K52" s="199"/>
      <c r="L52" s="200"/>
      <c r="M52" s="199"/>
      <c r="N52" s="200"/>
      <c r="O52" s="201"/>
    </row>
  </sheetData>
  <mergeCells count="24">
    <mergeCell ref="O41:O42"/>
    <mergeCell ref="C41:C42"/>
    <mergeCell ref="E41:E42"/>
    <mergeCell ref="F41:F42"/>
    <mergeCell ref="G41:G42"/>
    <mergeCell ref="H41:H42"/>
    <mergeCell ref="I41:I42"/>
    <mergeCell ref="J41:J42"/>
    <mergeCell ref="K41:K42"/>
    <mergeCell ref="L41:L42"/>
    <mergeCell ref="M41:M42"/>
    <mergeCell ref="N41:N42"/>
    <mergeCell ref="O39:O40"/>
    <mergeCell ref="C39:C40"/>
    <mergeCell ref="E39:E40"/>
    <mergeCell ref="F39:F40"/>
    <mergeCell ref="G39:G40"/>
    <mergeCell ref="H39:H40"/>
    <mergeCell ref="I39:I40"/>
    <mergeCell ref="J39:J40"/>
    <mergeCell ref="K39:K40"/>
    <mergeCell ref="L39:L40"/>
    <mergeCell ref="M39:M40"/>
    <mergeCell ref="N39:N4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dimension ref="B2:F15"/>
  <sheetViews>
    <sheetView workbookViewId="0">
      <selection activeCell="C34" sqref="C34"/>
    </sheetView>
  </sheetViews>
  <sheetFormatPr defaultRowHeight="12.75"/>
  <cols>
    <col min="1" max="1" width="4.140625" customWidth="1"/>
    <col min="3" max="3" width="85.28515625" customWidth="1"/>
    <col min="5" max="5" width="10.7109375" customWidth="1"/>
    <col min="6" max="6" width="100.85546875" customWidth="1"/>
  </cols>
  <sheetData>
    <row r="2" spans="2:6" ht="13.5" thickBot="1"/>
    <row r="3" spans="2:6" ht="15.75" thickBot="1">
      <c r="B3" s="416" t="s">
        <v>1</v>
      </c>
      <c r="C3" s="417" t="s">
        <v>795</v>
      </c>
      <c r="D3" s="417" t="s">
        <v>44</v>
      </c>
      <c r="E3" s="417" t="s">
        <v>796</v>
      </c>
      <c r="F3" s="417" t="s">
        <v>3</v>
      </c>
    </row>
    <row r="4" spans="2:6">
      <c r="B4">
        <f>ROW()-3</f>
        <v>1</v>
      </c>
      <c r="C4" t="s">
        <v>798</v>
      </c>
      <c r="D4" t="s">
        <v>797</v>
      </c>
      <c r="E4" s="418">
        <v>42057</v>
      </c>
      <c r="F4" t="s">
        <v>799</v>
      </c>
    </row>
    <row r="5" spans="2:6" ht="12.75" customHeight="1">
      <c r="B5">
        <f t="shared" ref="B5:B15" si="0">ROW()-3</f>
        <v>2</v>
      </c>
      <c r="C5" t="s">
        <v>807</v>
      </c>
      <c r="D5" t="s">
        <v>797</v>
      </c>
      <c r="E5" s="418">
        <v>42080</v>
      </c>
      <c r="F5" t="s">
        <v>808</v>
      </c>
    </row>
    <row r="6" spans="2:6">
      <c r="B6">
        <f t="shared" si="0"/>
        <v>3</v>
      </c>
      <c r="C6" s="68" t="s">
        <v>804</v>
      </c>
      <c r="D6" t="s">
        <v>797</v>
      </c>
      <c r="E6" s="418">
        <v>42080</v>
      </c>
    </row>
    <row r="7" spans="2:6">
      <c r="B7">
        <f t="shared" si="0"/>
        <v>4</v>
      </c>
    </row>
    <row r="8" spans="2:6">
      <c r="B8">
        <f t="shared" si="0"/>
        <v>5</v>
      </c>
      <c r="E8" s="418"/>
    </row>
    <row r="9" spans="2:6">
      <c r="B9">
        <f t="shared" si="0"/>
        <v>6</v>
      </c>
      <c r="E9" s="418"/>
    </row>
    <row r="10" spans="2:6">
      <c r="B10">
        <f t="shared" si="0"/>
        <v>7</v>
      </c>
      <c r="E10" s="418"/>
    </row>
    <row r="11" spans="2:6">
      <c r="B11">
        <f t="shared" si="0"/>
        <v>8</v>
      </c>
      <c r="E11" s="418"/>
    </row>
    <row r="12" spans="2:6">
      <c r="B12">
        <f t="shared" si="0"/>
        <v>9</v>
      </c>
      <c r="E12" s="418"/>
    </row>
    <row r="13" spans="2:6">
      <c r="B13">
        <f t="shared" si="0"/>
        <v>10</v>
      </c>
      <c r="E13" s="418"/>
    </row>
    <row r="14" spans="2:6">
      <c r="B14">
        <f t="shared" si="0"/>
        <v>11</v>
      </c>
      <c r="E14" s="418"/>
    </row>
    <row r="15" spans="2:6">
      <c r="B15">
        <f t="shared" si="0"/>
        <v>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5"/>
  <dimension ref="C1:F48"/>
  <sheetViews>
    <sheetView topLeftCell="C1" zoomScaleNormal="100" zoomScaleSheetLayoutView="90" workbookViewId="0">
      <selection activeCell="E9" sqref="E9"/>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0" t="str">
        <f>[1]MLIST!$B$17</f>
        <v>Data Centers</v>
      </c>
      <c r="E2" s="3"/>
      <c r="F2" s="4"/>
    </row>
    <row r="3" spans="3:6">
      <c r="C3" s="5" t="s">
        <v>1</v>
      </c>
      <c r="D3" s="5" t="s">
        <v>2</v>
      </c>
      <c r="E3" s="5" t="s">
        <v>3</v>
      </c>
      <c r="F3" s="5" t="s">
        <v>4</v>
      </c>
    </row>
    <row r="4" spans="3:6" ht="49.5" customHeight="1">
      <c r="C4" s="6" t="s">
        <v>5</v>
      </c>
      <c r="D4" s="7" t="s">
        <v>98</v>
      </c>
      <c r="E4" s="8"/>
      <c r="F4" s="9" t="s">
        <v>101</v>
      </c>
    </row>
    <row r="5" spans="3:6" ht="63" customHeight="1">
      <c r="C5" s="6" t="s">
        <v>6</v>
      </c>
      <c r="D5" s="10" t="s">
        <v>790</v>
      </c>
      <c r="E5" s="68" t="s">
        <v>99</v>
      </c>
      <c r="F5" s="9" t="s">
        <v>100</v>
      </c>
    </row>
    <row r="6" spans="3:6" ht="49.5" customHeight="1">
      <c r="C6" s="6" t="s">
        <v>42</v>
      </c>
      <c r="D6" s="10" t="s">
        <v>791</v>
      </c>
      <c r="E6" s="11"/>
      <c r="F6" s="9" t="s">
        <v>112</v>
      </c>
    </row>
    <row r="7" spans="3:6" ht="49.5" customHeight="1">
      <c r="C7" s="6" t="s">
        <v>7</v>
      </c>
      <c r="D7" s="10" t="s">
        <v>102</v>
      </c>
      <c r="E7" s="10"/>
      <c r="F7" s="9" t="s">
        <v>788</v>
      </c>
    </row>
    <row r="8" spans="3:6" ht="49.5" customHeight="1">
      <c r="C8" s="6" t="s">
        <v>8</v>
      </c>
      <c r="D8" s="10" t="s">
        <v>103</v>
      </c>
      <c r="E8" s="10"/>
      <c r="F8" s="9"/>
    </row>
    <row r="9" spans="3:6" ht="24" customHeight="1">
      <c r="C9" s="6" t="s">
        <v>43</v>
      </c>
      <c r="D9" s="10" t="s">
        <v>794</v>
      </c>
      <c r="E9" s="12"/>
      <c r="F9" s="9"/>
    </row>
    <row r="10" spans="3:6" ht="24" customHeight="1">
      <c r="C10" s="6" t="s">
        <v>9</v>
      </c>
      <c r="D10" s="10" t="s">
        <v>111</v>
      </c>
      <c r="E10" s="12"/>
      <c r="F10" s="9"/>
    </row>
    <row r="11" spans="3:6" ht="24" customHeight="1">
      <c r="C11" s="6" t="s">
        <v>10</v>
      </c>
      <c r="D11" s="10" t="s">
        <v>792</v>
      </c>
      <c r="E11" s="10"/>
      <c r="F11" s="9"/>
    </row>
    <row r="12" spans="3:6" ht="24" customHeight="1">
      <c r="C12" s="6" t="s">
        <v>11</v>
      </c>
      <c r="D12" s="12" t="s">
        <v>809</v>
      </c>
      <c r="E12" s="12"/>
      <c r="F12" s="9"/>
    </row>
    <row r="13" spans="3:6" ht="24" customHeight="1">
      <c r="C13" s="6" t="s">
        <v>12</v>
      </c>
      <c r="D13" s="12" t="s">
        <v>789</v>
      </c>
      <c r="E13" s="13" t="s">
        <v>810</v>
      </c>
      <c r="F13" s="9"/>
    </row>
    <row r="14" spans="3:6" ht="24" customHeight="1">
      <c r="C14" s="6" t="s">
        <v>13</v>
      </c>
      <c r="D14" s="12" t="s">
        <v>787</v>
      </c>
      <c r="E14" s="12" t="s">
        <v>786</v>
      </c>
      <c r="F14" s="9"/>
    </row>
    <row r="20" spans="4:6">
      <c r="D20" s="6" t="s">
        <v>78</v>
      </c>
      <c r="F20" s="51" t="s">
        <v>114</v>
      </c>
    </row>
    <row r="21" spans="4:6">
      <c r="D21" s="66" t="s">
        <v>74</v>
      </c>
      <c r="F21" s="69" t="s">
        <v>104</v>
      </c>
    </row>
    <row r="22" spans="4:6">
      <c r="D22" s="66" t="s">
        <v>75</v>
      </c>
      <c r="F22" s="69" t="s">
        <v>105</v>
      </c>
    </row>
    <row r="23" spans="4:6">
      <c r="D23" s="66" t="s">
        <v>76</v>
      </c>
      <c r="F23" s="69" t="s">
        <v>106</v>
      </c>
    </row>
    <row r="24" spans="4:6" ht="14.25" customHeight="1">
      <c r="D24" s="66" t="s">
        <v>77</v>
      </c>
      <c r="F24" s="69" t="s">
        <v>107</v>
      </c>
    </row>
    <row r="25" spans="4:6">
      <c r="F25" s="69" t="s">
        <v>108</v>
      </c>
    </row>
    <row r="26" spans="4:6">
      <c r="F26" s="69" t="s">
        <v>109</v>
      </c>
    </row>
    <row r="27" spans="4:6">
      <c r="D27" s="6" t="s">
        <v>93</v>
      </c>
      <c r="F27" s="69" t="s">
        <v>110</v>
      </c>
    </row>
    <row r="28" spans="4:6">
      <c r="D28" s="66" t="s">
        <v>79</v>
      </c>
    </row>
    <row r="29" spans="4:6">
      <c r="D29" s="66" t="s">
        <v>80</v>
      </c>
    </row>
    <row r="30" spans="4:6">
      <c r="D30" s="66" t="s">
        <v>81</v>
      </c>
    </row>
    <row r="31" spans="4:6">
      <c r="D31" s="66" t="s">
        <v>82</v>
      </c>
    </row>
    <row r="32" spans="4:6">
      <c r="D32" s="67" t="s">
        <v>83</v>
      </c>
    </row>
    <row r="33" spans="4:4">
      <c r="D33" s="67" t="s">
        <v>84</v>
      </c>
    </row>
    <row r="34" spans="4:4">
      <c r="D34" s="67" t="s">
        <v>85</v>
      </c>
    </row>
    <row r="35" spans="4:4">
      <c r="D35" s="67" t="s">
        <v>86</v>
      </c>
    </row>
    <row r="36" spans="4:4">
      <c r="D36" s="67" t="s">
        <v>87</v>
      </c>
    </row>
    <row r="37" spans="4:4">
      <c r="D37" s="67" t="s">
        <v>88</v>
      </c>
    </row>
    <row r="38" spans="4:4">
      <c r="D38" s="67" t="s">
        <v>89</v>
      </c>
    </row>
    <row r="39" spans="4:4">
      <c r="D39" s="67" t="s">
        <v>90</v>
      </c>
    </row>
    <row r="40" spans="4:4">
      <c r="D40" s="67" t="s">
        <v>91</v>
      </c>
    </row>
    <row r="41" spans="4:4">
      <c r="D41" s="67" t="s">
        <v>92</v>
      </c>
    </row>
    <row r="44" spans="4:4">
      <c r="D44" s="6" t="s">
        <v>94</v>
      </c>
    </row>
    <row r="45" spans="4:4">
      <c r="D45" s="66" t="s">
        <v>95</v>
      </c>
    </row>
    <row r="46" spans="4:4">
      <c r="D46" s="67" t="s">
        <v>81</v>
      </c>
    </row>
    <row r="47" spans="4:4">
      <c r="D47" s="67" t="s">
        <v>96</v>
      </c>
    </row>
    <row r="48" spans="4:4">
      <c r="D48" s="67" t="s">
        <v>97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3"/>
  <dimension ref="A1:Z139"/>
  <sheetViews>
    <sheetView tabSelected="1" workbookViewId="0">
      <selection activeCell="C10" sqref="C10"/>
    </sheetView>
  </sheetViews>
  <sheetFormatPr defaultRowHeight="12.75"/>
  <cols>
    <col min="1" max="1" width="22" customWidth="1"/>
    <col min="2" max="2" width="20.28515625" customWidth="1"/>
    <col min="3" max="3" width="20.5703125" customWidth="1"/>
    <col min="4" max="4" width="56.85546875" customWidth="1"/>
    <col min="5" max="5" width="11" customWidth="1"/>
    <col min="6" max="24" width="10.42578125" bestFit="1" customWidth="1"/>
    <col min="25" max="25" width="16" customWidth="1"/>
    <col min="26" max="26" width="11.28515625" bestFit="1" customWidth="1"/>
  </cols>
  <sheetData>
    <row r="1" spans="1:26">
      <c r="A1" s="359" t="s">
        <v>662</v>
      </c>
      <c r="B1" s="427" t="s">
        <v>793</v>
      </c>
      <c r="C1" s="428"/>
      <c r="D1" s="428"/>
      <c r="E1" s="428"/>
      <c r="F1" s="428"/>
      <c r="G1" s="428"/>
      <c r="H1" s="428"/>
      <c r="I1" s="428"/>
      <c r="J1" s="428"/>
      <c r="K1" s="428"/>
      <c r="L1" s="428"/>
      <c r="M1" s="428"/>
      <c r="N1" s="428"/>
      <c r="O1" s="428"/>
      <c r="P1" s="428"/>
      <c r="Q1" s="428"/>
      <c r="R1" s="428"/>
      <c r="S1" s="429"/>
      <c r="T1" s="360"/>
      <c r="U1" s="360"/>
      <c r="V1" s="360"/>
      <c r="W1" s="360"/>
      <c r="X1" s="23"/>
    </row>
    <row r="2" spans="1:26">
      <c r="A2" s="361"/>
      <c r="B2" s="430"/>
      <c r="C2" s="431"/>
      <c r="D2" s="431"/>
      <c r="E2" s="431"/>
      <c r="F2" s="431"/>
      <c r="G2" s="431"/>
      <c r="H2" s="431"/>
      <c r="I2" s="431"/>
      <c r="J2" s="431"/>
      <c r="K2" s="431"/>
      <c r="L2" s="431"/>
      <c r="M2" s="431"/>
      <c r="N2" s="431"/>
      <c r="O2" s="431"/>
      <c r="P2" s="431"/>
      <c r="Q2" s="431"/>
      <c r="R2" s="431"/>
      <c r="S2" s="432"/>
      <c r="T2" s="362"/>
      <c r="U2" s="362"/>
      <c r="V2" s="362"/>
      <c r="W2" s="362"/>
      <c r="X2" s="23"/>
    </row>
    <row r="3" spans="1:26">
      <c r="A3" s="361"/>
      <c r="B3" s="430"/>
      <c r="C3" s="431"/>
      <c r="D3" s="431"/>
      <c r="E3" s="431"/>
      <c r="F3" s="431"/>
      <c r="G3" s="431"/>
      <c r="H3" s="431"/>
      <c r="I3" s="431"/>
      <c r="J3" s="431"/>
      <c r="K3" s="431"/>
      <c r="L3" s="431"/>
      <c r="M3" s="431"/>
      <c r="N3" s="431"/>
      <c r="O3" s="431"/>
      <c r="P3" s="431"/>
      <c r="Q3" s="431"/>
      <c r="R3" s="431"/>
      <c r="S3" s="432"/>
      <c r="T3" s="362"/>
      <c r="U3" s="362"/>
      <c r="V3" s="362"/>
      <c r="W3" s="362"/>
      <c r="X3" s="23"/>
    </row>
    <row r="4" spans="1:26" ht="30" customHeight="1">
      <c r="A4" s="361"/>
      <c r="B4" s="430"/>
      <c r="C4" s="431"/>
      <c r="D4" s="431"/>
      <c r="E4" s="431"/>
      <c r="F4" s="431"/>
      <c r="G4" s="431"/>
      <c r="H4" s="431"/>
      <c r="I4" s="431"/>
      <c r="J4" s="431"/>
      <c r="K4" s="431"/>
      <c r="L4" s="431"/>
      <c r="M4" s="431"/>
      <c r="N4" s="431"/>
      <c r="O4" s="431"/>
      <c r="P4" s="431"/>
      <c r="Q4" s="431"/>
      <c r="R4" s="431"/>
      <c r="S4" s="432"/>
      <c r="T4" s="362"/>
      <c r="U4" s="362"/>
      <c r="V4" s="362"/>
      <c r="W4" s="362"/>
      <c r="X4" s="23"/>
    </row>
    <row r="5" spans="1:26">
      <c r="A5" s="363"/>
      <c r="B5" s="430"/>
      <c r="C5" s="431"/>
      <c r="D5" s="433"/>
      <c r="E5" s="433"/>
      <c r="F5" s="433"/>
      <c r="G5" s="433"/>
      <c r="H5" s="433"/>
      <c r="I5" s="433"/>
      <c r="J5" s="433"/>
      <c r="K5" s="433"/>
      <c r="L5" s="433"/>
      <c r="M5" s="433"/>
      <c r="N5" s="433"/>
      <c r="O5" s="433"/>
      <c r="P5" s="433"/>
      <c r="Q5" s="433"/>
      <c r="R5" s="433"/>
      <c r="S5" s="434"/>
      <c r="T5" s="362"/>
      <c r="U5" s="362"/>
      <c r="V5" s="362"/>
      <c r="W5" s="362"/>
      <c r="X5" s="23"/>
    </row>
    <row r="6" spans="1:26">
      <c r="A6" s="364"/>
      <c r="B6" s="365"/>
      <c r="C6" s="365"/>
      <c r="D6" s="366"/>
      <c r="E6" s="367"/>
      <c r="F6" s="367"/>
      <c r="G6" s="367"/>
      <c r="H6" s="367"/>
      <c r="I6" s="367"/>
      <c r="J6" s="367"/>
      <c r="K6" s="367"/>
      <c r="L6" s="367"/>
      <c r="M6" s="367"/>
      <c r="N6" s="367"/>
      <c r="O6" s="367"/>
      <c r="P6" s="367"/>
      <c r="Q6" s="367"/>
      <c r="R6" s="367"/>
      <c r="S6" s="368"/>
      <c r="T6" s="362"/>
      <c r="U6" s="362"/>
      <c r="V6" s="362"/>
      <c r="W6" s="362"/>
      <c r="X6" s="23"/>
    </row>
    <row r="7" spans="1:26">
      <c r="A7" s="369"/>
      <c r="B7" s="370" t="s">
        <v>663</v>
      </c>
      <c r="C7" s="371" t="s">
        <v>802</v>
      </c>
      <c r="D7" s="424" t="s">
        <v>805</v>
      </c>
      <c r="E7" s="23"/>
      <c r="F7" s="23"/>
      <c r="G7" s="23"/>
      <c r="H7" s="23"/>
      <c r="I7" s="23"/>
      <c r="J7" s="23"/>
      <c r="K7" s="23"/>
      <c r="L7" s="23"/>
      <c r="M7" s="23"/>
      <c r="N7" s="23"/>
      <c r="O7" s="23"/>
      <c r="P7" s="23"/>
      <c r="Q7" s="23"/>
      <c r="R7" s="23"/>
      <c r="S7" s="23"/>
      <c r="T7" s="23"/>
      <c r="U7" s="23"/>
      <c r="V7" s="23"/>
      <c r="W7" s="23"/>
      <c r="X7" s="23"/>
    </row>
    <row r="8" spans="1:26">
      <c r="A8" s="372" t="s">
        <v>664</v>
      </c>
      <c r="B8" s="370" t="s">
        <v>665</v>
      </c>
      <c r="C8" s="371" t="str">
        <f>CONCATENATE([1]MLIST!$B$17,"-",C7)</f>
        <v>Data Centers-NR</v>
      </c>
      <c r="D8" s="425" t="str">
        <f>[2]!switch_ForecastState</f>
        <v>Region</v>
      </c>
      <c r="E8" s="373"/>
      <c r="F8" s="374"/>
      <c r="G8" s="23"/>
      <c r="H8" s="23"/>
      <c r="I8" s="23"/>
      <c r="J8" s="23"/>
      <c r="K8" s="23"/>
      <c r="L8" s="23"/>
      <c r="M8" s="23"/>
      <c r="N8" s="23"/>
      <c r="O8" s="23"/>
      <c r="P8" s="23"/>
      <c r="Q8" s="23"/>
      <c r="R8" s="23"/>
      <c r="S8" s="23"/>
      <c r="T8" s="23"/>
      <c r="U8" s="23"/>
      <c r="V8" s="23"/>
      <c r="W8" s="23"/>
      <c r="X8" s="23"/>
    </row>
    <row r="9" spans="1:26">
      <c r="A9" s="372" t="str">
        <f>INDEX([1]ACHIEV!$A$19:$B$100,MATCH($C$8,[1]ACHIEV!$B$19:$B$100,0),1)</f>
        <v>Electronics</v>
      </c>
      <c r="B9" s="375" t="s">
        <v>666</v>
      </c>
      <c r="C9" s="371">
        <f>[1]FILES!$H$4</f>
        <v>2035</v>
      </c>
      <c r="D9" s="425" t="str">
        <f>[2]!switch_ForecastScenario</f>
        <v>Base</v>
      </c>
      <c r="E9" s="376"/>
      <c r="F9" s="23"/>
      <c r="G9" s="23"/>
      <c r="H9" s="23"/>
      <c r="I9" s="23"/>
      <c r="J9" s="23"/>
      <c r="K9" s="23"/>
      <c r="L9" s="23"/>
      <c r="M9" s="23"/>
      <c r="N9" s="23"/>
      <c r="O9" s="23"/>
      <c r="P9" s="23"/>
      <c r="Q9" s="23"/>
      <c r="R9" s="23"/>
      <c r="S9" s="23"/>
      <c r="T9" s="23"/>
      <c r="U9" s="23"/>
      <c r="V9" s="23"/>
      <c r="W9" s="23"/>
      <c r="X9" s="23"/>
    </row>
    <row r="10" spans="1:26">
      <c r="A10" s="377"/>
      <c r="B10" s="423" t="s">
        <v>667</v>
      </c>
      <c r="C10" s="422">
        <f ca="1">MIN(SUM(E44:X46),SUM(Y44:Y46))</f>
        <v>261.31837015129264</v>
      </c>
      <c r="D10" s="426"/>
      <c r="E10" s="23">
        <v>1</v>
      </c>
      <c r="F10" s="23">
        <f>E10+1</f>
        <v>2</v>
      </c>
      <c r="G10" s="23">
        <f t="shared" ref="G10:V11" si="0">F10+1</f>
        <v>3</v>
      </c>
      <c r="H10" s="23">
        <f t="shared" si="0"/>
        <v>4</v>
      </c>
      <c r="I10" s="23">
        <f t="shared" si="0"/>
        <v>5</v>
      </c>
      <c r="J10" s="23">
        <f t="shared" si="0"/>
        <v>6</v>
      </c>
      <c r="K10" s="23">
        <f t="shared" si="0"/>
        <v>7</v>
      </c>
      <c r="L10" s="23">
        <f t="shared" si="0"/>
        <v>8</v>
      </c>
      <c r="M10" s="23">
        <f t="shared" si="0"/>
        <v>9</v>
      </c>
      <c r="N10" s="23">
        <f t="shared" si="0"/>
        <v>10</v>
      </c>
      <c r="O10" s="23">
        <f t="shared" si="0"/>
        <v>11</v>
      </c>
      <c r="P10" s="23">
        <f t="shared" si="0"/>
        <v>12</v>
      </c>
      <c r="Q10" s="23">
        <f t="shared" si="0"/>
        <v>13</v>
      </c>
      <c r="R10" s="23">
        <f t="shared" si="0"/>
        <v>14</v>
      </c>
      <c r="S10" s="23">
        <f t="shared" si="0"/>
        <v>15</v>
      </c>
      <c r="T10" s="23">
        <f t="shared" si="0"/>
        <v>16</v>
      </c>
      <c r="U10" s="23">
        <f t="shared" si="0"/>
        <v>17</v>
      </c>
      <c r="V10" s="23">
        <f t="shared" si="0"/>
        <v>18</v>
      </c>
      <c r="W10" s="23">
        <f>V10+1</f>
        <v>19</v>
      </c>
      <c r="X10" s="23">
        <f>W10+1</f>
        <v>20</v>
      </c>
    </row>
    <row r="11" spans="1:26">
      <c r="A11" s="370"/>
      <c r="B11" s="370"/>
      <c r="C11" s="370"/>
      <c r="D11" s="370"/>
      <c r="E11" s="370">
        <f>C9-20+1</f>
        <v>2016</v>
      </c>
      <c r="F11" s="370">
        <f>E11+1</f>
        <v>2017</v>
      </c>
      <c r="G11" s="370">
        <f t="shared" si="0"/>
        <v>2018</v>
      </c>
      <c r="H11" s="370">
        <f t="shared" si="0"/>
        <v>2019</v>
      </c>
      <c r="I11" s="370">
        <f t="shared" si="0"/>
        <v>2020</v>
      </c>
      <c r="J11" s="370">
        <f t="shared" si="0"/>
        <v>2021</v>
      </c>
      <c r="K11" s="370">
        <f t="shared" si="0"/>
        <v>2022</v>
      </c>
      <c r="L11" s="370">
        <f t="shared" si="0"/>
        <v>2023</v>
      </c>
      <c r="M11" s="370">
        <f t="shared" si="0"/>
        <v>2024</v>
      </c>
      <c r="N11" s="370">
        <f t="shared" si="0"/>
        <v>2025</v>
      </c>
      <c r="O11" s="370">
        <f t="shared" si="0"/>
        <v>2026</v>
      </c>
      <c r="P11" s="370">
        <f t="shared" si="0"/>
        <v>2027</v>
      </c>
      <c r="Q11" s="370">
        <f t="shared" si="0"/>
        <v>2028</v>
      </c>
      <c r="R11" s="370">
        <f t="shared" si="0"/>
        <v>2029</v>
      </c>
      <c r="S11" s="370">
        <f t="shared" si="0"/>
        <v>2030</v>
      </c>
      <c r="T11" s="370">
        <f t="shared" si="0"/>
        <v>2031</v>
      </c>
      <c r="U11" s="370">
        <f t="shared" si="0"/>
        <v>2032</v>
      </c>
      <c r="V11" s="370">
        <f t="shared" si="0"/>
        <v>2033</v>
      </c>
      <c r="W11" s="370">
        <f>V11+1</f>
        <v>2034</v>
      </c>
      <c r="X11" s="370">
        <f>W11+1</f>
        <v>2035</v>
      </c>
      <c r="Y11" s="378" t="s">
        <v>668</v>
      </c>
      <c r="Z11" s="379" t="s">
        <v>669</v>
      </c>
    </row>
    <row r="12" spans="1:26">
      <c r="A12" s="370"/>
      <c r="B12" s="370"/>
      <c r="C12" s="370"/>
      <c r="D12" s="370"/>
      <c r="E12" s="370" t="str">
        <f>CONCATENATE("FLOOR_",E11)</f>
        <v>FLOOR_2016</v>
      </c>
      <c r="F12" s="370" t="str">
        <f t="shared" ref="F12:X12" si="1">CONCATENATE("FLOOR_",F11)</f>
        <v>FLOOR_2017</v>
      </c>
      <c r="G12" s="370" t="str">
        <f t="shared" si="1"/>
        <v>FLOOR_2018</v>
      </c>
      <c r="H12" s="370" t="str">
        <f t="shared" si="1"/>
        <v>FLOOR_2019</v>
      </c>
      <c r="I12" s="370" t="str">
        <f t="shared" si="1"/>
        <v>FLOOR_2020</v>
      </c>
      <c r="J12" s="370" t="str">
        <f t="shared" si="1"/>
        <v>FLOOR_2021</v>
      </c>
      <c r="K12" s="370" t="str">
        <f t="shared" si="1"/>
        <v>FLOOR_2022</v>
      </c>
      <c r="L12" s="370" t="str">
        <f t="shared" si="1"/>
        <v>FLOOR_2023</v>
      </c>
      <c r="M12" s="370" t="str">
        <f t="shared" si="1"/>
        <v>FLOOR_2024</v>
      </c>
      <c r="N12" s="370" t="str">
        <f t="shared" si="1"/>
        <v>FLOOR_2025</v>
      </c>
      <c r="O12" s="370" t="str">
        <f t="shared" si="1"/>
        <v>FLOOR_2026</v>
      </c>
      <c r="P12" s="370" t="str">
        <f t="shared" si="1"/>
        <v>FLOOR_2027</v>
      </c>
      <c r="Q12" s="370" t="str">
        <f t="shared" si="1"/>
        <v>FLOOR_2028</v>
      </c>
      <c r="R12" s="370" t="str">
        <f t="shared" si="1"/>
        <v>FLOOR_2029</v>
      </c>
      <c r="S12" s="370" t="str">
        <f t="shared" si="1"/>
        <v>FLOOR_2030</v>
      </c>
      <c r="T12" s="370" t="str">
        <f t="shared" si="1"/>
        <v>FLOOR_2031</v>
      </c>
      <c r="U12" s="370" t="str">
        <f t="shared" si="1"/>
        <v>FLOOR_2032</v>
      </c>
      <c r="V12" s="370" t="str">
        <f t="shared" si="1"/>
        <v>FLOOR_2033</v>
      </c>
      <c r="W12" s="370" t="str">
        <f t="shared" si="1"/>
        <v>FLOOR_2034</v>
      </c>
      <c r="X12" s="370" t="str">
        <f t="shared" si="1"/>
        <v>FLOOR_2035</v>
      </c>
      <c r="Y12" s="380">
        <v>0.85</v>
      </c>
      <c r="Z12" s="379" t="s">
        <v>669</v>
      </c>
    </row>
    <row r="13" spans="1:26">
      <c r="A13" s="23"/>
      <c r="B13" s="23"/>
      <c r="C13" s="23"/>
      <c r="D13" s="23" t="s">
        <v>806</v>
      </c>
      <c r="E13" s="373">
        <f ca="1">INDEX([2]!tbl_Forecast,MATCH($D$8&amp;$D13&amp;$D$7,[2]!rng_ForecastRowLookup,0),MATCH(E$11,[2]!rng_ForecastColumnLookup,0))</f>
        <v>381.60143269415096</v>
      </c>
      <c r="F13" s="373">
        <f ca="1">INDEX([2]!tbl_Forecast,MATCH($D$8&amp;$D13&amp;$D$7,[2]!rng_ForecastRowLookup,0),MATCH(F$11,[2]!rng_ForecastColumnLookup,0))</f>
        <v>404.69885906229592</v>
      </c>
      <c r="G13" s="373">
        <f ca="1">INDEX([2]!tbl_Forecast,MATCH($D$8&amp;$D13&amp;$D$7,[2]!rng_ForecastRowLookup,0),MATCH(G$11,[2]!rng_ForecastColumnLookup,0))</f>
        <v>421.46039895133885</v>
      </c>
      <c r="H13" s="373">
        <f ca="1">INDEX([2]!tbl_Forecast,MATCH($D$8&amp;$D13&amp;$D$7,[2]!rng_ForecastRowLookup,0),MATCH(H$11,[2]!rng_ForecastColumnLookup,0))</f>
        <v>419.64642143844253</v>
      </c>
      <c r="I13" s="373">
        <f ca="1">INDEX([2]!tbl_Forecast,MATCH($D$8&amp;$D13&amp;$D$7,[2]!rng_ForecastRowLookup,0),MATCH(I$11,[2]!rng_ForecastColumnLookup,0))</f>
        <v>423.66562864853898</v>
      </c>
      <c r="J13" s="373">
        <f ca="1">INDEX([2]!tbl_Forecast,MATCH($D$8&amp;$D13&amp;$D$7,[2]!rng_ForecastRowLookup,0),MATCH(J$11,[2]!rng_ForecastColumnLookup,0))</f>
        <v>432.76092390952061</v>
      </c>
      <c r="K13" s="373">
        <f ca="1">INDEX([2]!tbl_Forecast,MATCH($D$8&amp;$D13&amp;$D$7,[2]!rng_ForecastRowLookup,0),MATCH(K$11,[2]!rng_ForecastColumnLookup,0))</f>
        <v>446.31531189522576</v>
      </c>
      <c r="L13" s="373">
        <f ca="1">INDEX([2]!tbl_Forecast,MATCH($D$8&amp;$D13&amp;$D$7,[2]!rng_ForecastRowLookup,0),MATCH(L$11,[2]!rng_ForecastColumnLookup,0))</f>
        <v>450.98222620533323</v>
      </c>
      <c r="M13" s="373">
        <f ca="1">INDEX([2]!tbl_Forecast,MATCH($D$8&amp;$D13&amp;$D$7,[2]!rng_ForecastRowLookup,0),MATCH(M$11,[2]!rng_ForecastColumnLookup,0))</f>
        <v>459.05126073815245</v>
      </c>
      <c r="N13" s="373">
        <f ca="1">INDEX([2]!tbl_Forecast,MATCH($D$8&amp;$D13&amp;$D$7,[2]!rng_ForecastRowLookup,0),MATCH(N$11,[2]!rng_ForecastColumnLookup,0))</f>
        <v>470.19601765719887</v>
      </c>
      <c r="O13" s="373">
        <f ca="1">INDEX([2]!tbl_Forecast,MATCH($D$8&amp;$D13&amp;$D$7,[2]!rng_ForecastRowLookup,0),MATCH(O$11,[2]!rng_ForecastColumnLookup,0))</f>
        <v>484.16208251533135</v>
      </c>
      <c r="P13" s="373">
        <f ca="1">INDEX([2]!tbl_Forecast,MATCH($D$8&amp;$D13&amp;$D$7,[2]!rng_ForecastRowLookup,0),MATCH(P$11,[2]!rng_ForecastColumnLookup,0))</f>
        <v>494.21069266812788</v>
      </c>
      <c r="Q13" s="373">
        <f ca="1">INDEX([2]!tbl_Forecast,MATCH($D$8&amp;$D13&amp;$D$7,[2]!rng_ForecastRowLookup,0),MATCH(Q$11,[2]!rng_ForecastColumnLookup,0))</f>
        <v>506.64189476780371</v>
      </c>
      <c r="R13" s="373">
        <f ca="1">INDEX([2]!tbl_Forecast,MATCH($D$8&amp;$D13&amp;$D$7,[2]!rng_ForecastRowLookup,0),MATCH(R$11,[2]!rng_ForecastColumnLookup,0))</f>
        <v>521.35392484293436</v>
      </c>
      <c r="S13" s="373">
        <f ca="1">INDEX([2]!tbl_Forecast,MATCH($D$8&amp;$D13&amp;$D$7,[2]!rng_ForecastRowLookup,0),MATCH(S$11,[2]!rng_ForecastColumnLookup,0))</f>
        <v>538.28523642117</v>
      </c>
      <c r="T13" s="373">
        <f ca="1">INDEX([2]!tbl_Forecast,MATCH($D$8&amp;$D13&amp;$D$7,[2]!rng_ForecastRowLookup,0),MATCH(T$11,[2]!rng_ForecastColumnLookup,0))</f>
        <v>554.01935267425768</v>
      </c>
      <c r="U13" s="373">
        <f ca="1">INDEX([2]!tbl_Forecast,MATCH($D$8&amp;$D13&amp;$D$7,[2]!rng_ForecastRowLookup,0),MATCH(U$11,[2]!rng_ForecastColumnLookup,0))</f>
        <v>571.88182312772415</v>
      </c>
      <c r="V13" s="373">
        <f ca="1">INDEX([2]!tbl_Forecast,MATCH($D$8&amp;$D13&amp;$D$7,[2]!rng_ForecastRowLookup,0),MATCH(V$11,[2]!rng_ForecastColumnLookup,0))</f>
        <v>591.90212163156946</v>
      </c>
      <c r="W13" s="373">
        <f ca="1">INDEX([2]!tbl_Forecast,MATCH($D$8&amp;$D13&amp;$D$7,[2]!rng_ForecastRowLookup,0),MATCH(W$11,[2]!rng_ForecastColumnLookup,0))</f>
        <v>614.13634434495953</v>
      </c>
      <c r="X13" s="373">
        <f ca="1">INDEX([2]!tbl_Forecast,MATCH($D$8&amp;$D13&amp;$D$7,[2]!rng_ForecastRowLookup,0),MATCH(X$11,[2]!rng_ForecastColumnLookup,0))</f>
        <v>636.87438282107769</v>
      </c>
      <c r="Z13" s="382"/>
    </row>
    <row r="14" spans="1:26">
      <c r="A14" s="23"/>
      <c r="B14" s="23"/>
      <c r="C14" s="23"/>
      <c r="D14" s="23" t="s">
        <v>781</v>
      </c>
      <c r="E14" s="410">
        <f ca="1">E13*8760</f>
        <v>3342828.5504007624</v>
      </c>
      <c r="F14" s="410">
        <f t="shared" ref="F14:X14" ca="1" si="2">F13*8760</f>
        <v>3545162.0053857123</v>
      </c>
      <c r="G14" s="410">
        <f t="shared" ca="1" si="2"/>
        <v>3691993.0948137282</v>
      </c>
      <c r="H14" s="410">
        <f t="shared" ca="1" si="2"/>
        <v>3676102.6518007563</v>
      </c>
      <c r="I14" s="410">
        <f t="shared" ca="1" si="2"/>
        <v>3711310.9069612017</v>
      </c>
      <c r="J14" s="410">
        <f t="shared" ca="1" si="2"/>
        <v>3790985.6934474004</v>
      </c>
      <c r="K14" s="410">
        <f t="shared" ca="1" si="2"/>
        <v>3909722.1322021778</v>
      </c>
      <c r="L14" s="410">
        <f t="shared" ca="1" si="2"/>
        <v>3950604.301558719</v>
      </c>
      <c r="M14" s="410">
        <f t="shared" ca="1" si="2"/>
        <v>4021289.0440662154</v>
      </c>
      <c r="N14" s="410">
        <f t="shared" ca="1" si="2"/>
        <v>4118917.1146770623</v>
      </c>
      <c r="O14" s="410">
        <f t="shared" ca="1" si="2"/>
        <v>4241259.8428343022</v>
      </c>
      <c r="P14" s="410">
        <f t="shared" ca="1" si="2"/>
        <v>4329285.6677728007</v>
      </c>
      <c r="Q14" s="410">
        <f t="shared" ca="1" si="2"/>
        <v>4438182.9981659604</v>
      </c>
      <c r="R14" s="410">
        <f t="shared" ca="1" si="2"/>
        <v>4567060.3816241054</v>
      </c>
      <c r="S14" s="410">
        <f t="shared" ca="1" si="2"/>
        <v>4715378.6710494496</v>
      </c>
      <c r="T14" s="410">
        <f t="shared" ca="1" si="2"/>
        <v>4853209.5294264974</v>
      </c>
      <c r="U14" s="410">
        <f t="shared" ca="1" si="2"/>
        <v>5009684.7705988633</v>
      </c>
      <c r="V14" s="410">
        <f t="shared" ca="1" si="2"/>
        <v>5185062.5854925485</v>
      </c>
      <c r="W14" s="410">
        <f t="shared" ca="1" si="2"/>
        <v>5379834.3764618458</v>
      </c>
      <c r="X14" s="410">
        <f t="shared" ca="1" si="2"/>
        <v>5579019.5935126403</v>
      </c>
      <c r="Z14" s="384">
        <f ca="1">X14</f>
        <v>5579019.5935126403</v>
      </c>
    </row>
    <row r="15" spans="1:26">
      <c r="A15" s="23"/>
      <c r="B15" s="23"/>
      <c r="C15" s="23"/>
      <c r="D15" s="23"/>
      <c r="E15" s="381"/>
      <c r="F15" s="381"/>
      <c r="G15" s="381"/>
      <c r="H15" s="381"/>
      <c r="I15" s="381"/>
      <c r="J15" s="381"/>
      <c r="K15" s="381"/>
      <c r="L15" s="381"/>
      <c r="M15" s="381"/>
      <c r="N15" s="381"/>
      <c r="O15" s="381"/>
      <c r="P15" s="381"/>
      <c r="Q15" s="381"/>
      <c r="R15" s="381"/>
      <c r="S15" s="381"/>
      <c r="T15" s="381"/>
      <c r="U15" s="381"/>
      <c r="V15" s="381"/>
      <c r="W15" s="381"/>
      <c r="X15" s="381"/>
    </row>
    <row r="16" spans="1:26">
      <c r="A16" s="23"/>
      <c r="B16" s="23"/>
      <c r="C16" s="383"/>
      <c r="D16" s="23" t="s">
        <v>782</v>
      </c>
      <c r="E16" s="381"/>
      <c r="F16" s="381"/>
      <c r="G16" s="381"/>
      <c r="H16" s="381"/>
      <c r="I16" s="381"/>
      <c r="J16" s="381"/>
      <c r="K16" s="381"/>
      <c r="L16" s="381"/>
      <c r="M16" s="381"/>
      <c r="N16" s="381"/>
      <c r="O16" s="381"/>
      <c r="P16" s="381"/>
      <c r="Q16" s="381"/>
      <c r="R16" s="381"/>
      <c r="S16" s="381"/>
      <c r="T16" s="381"/>
      <c r="U16" s="381"/>
      <c r="V16" s="381"/>
      <c r="W16" s="381"/>
      <c r="X16" s="381"/>
    </row>
    <row r="17" spans="1:26" ht="15">
      <c r="A17" s="385" t="s">
        <v>670</v>
      </c>
      <c r="B17" s="385"/>
      <c r="C17" s="385"/>
      <c r="D17" s="23" t="s">
        <v>783</v>
      </c>
      <c r="Y17" s="23"/>
      <c r="Z17" s="23"/>
    </row>
    <row r="18" spans="1:26" ht="15">
      <c r="A18" s="51" t="s">
        <v>784</v>
      </c>
      <c r="B18" s="51" t="s">
        <v>671</v>
      </c>
      <c r="C18" s="51" t="s">
        <v>800</v>
      </c>
      <c r="D18" s="51" t="str">
        <f>$C$8</f>
        <v>Data Centers-NR</v>
      </c>
      <c r="E18" s="411">
        <f t="shared" ref="E18:X18" si="3">E11</f>
        <v>2016</v>
      </c>
      <c r="F18" s="411">
        <f t="shared" si="3"/>
        <v>2017</v>
      </c>
      <c r="G18" s="411">
        <f t="shared" si="3"/>
        <v>2018</v>
      </c>
      <c r="H18" s="411">
        <f t="shared" si="3"/>
        <v>2019</v>
      </c>
      <c r="I18" s="411">
        <f t="shared" si="3"/>
        <v>2020</v>
      </c>
      <c r="J18" s="411">
        <f t="shared" si="3"/>
        <v>2021</v>
      </c>
      <c r="K18" s="411">
        <f t="shared" si="3"/>
        <v>2022</v>
      </c>
      <c r="L18" s="411">
        <f t="shared" si="3"/>
        <v>2023</v>
      </c>
      <c r="M18" s="411">
        <f t="shared" si="3"/>
        <v>2024</v>
      </c>
      <c r="N18" s="411">
        <f t="shared" si="3"/>
        <v>2025</v>
      </c>
      <c r="O18" s="411">
        <f t="shared" si="3"/>
        <v>2026</v>
      </c>
      <c r="P18" s="411">
        <f t="shared" si="3"/>
        <v>2027</v>
      </c>
      <c r="Q18" s="411">
        <f t="shared" si="3"/>
        <v>2028</v>
      </c>
      <c r="R18" s="411">
        <f t="shared" si="3"/>
        <v>2029</v>
      </c>
      <c r="S18" s="411">
        <f t="shared" si="3"/>
        <v>2030</v>
      </c>
      <c r="T18" s="411">
        <f t="shared" si="3"/>
        <v>2031</v>
      </c>
      <c r="U18" s="411">
        <f t="shared" si="3"/>
        <v>2032</v>
      </c>
      <c r="V18" s="411">
        <f t="shared" si="3"/>
        <v>2033</v>
      </c>
      <c r="W18" s="411">
        <f t="shared" si="3"/>
        <v>2034</v>
      </c>
      <c r="X18" s="411">
        <f t="shared" si="3"/>
        <v>2035</v>
      </c>
      <c r="Y18" s="379" t="s">
        <v>668</v>
      </c>
      <c r="Z18" s="379" t="s">
        <v>669</v>
      </c>
    </row>
    <row r="19" spans="1:26" s="388" customFormat="1" ht="15">
      <c r="A19" s="386">
        <f>VLOOKUP(D18,APPLIC,MATCH("Non-Building Stock",BLDGTYPE,FALSE),FALSE)</f>
        <v>0.8</v>
      </c>
      <c r="B19" s="387">
        <v>1</v>
      </c>
      <c r="C19" s="386">
        <f>VLOOKUP(D18,TURN,MATCH("Non-Building Stock",BLDGTYPE,FALSE),FALSE)</f>
        <v>0.2</v>
      </c>
      <c r="D19" s="388" t="str">
        <f>D14</f>
        <v>MWh Embedded Data Center Load</v>
      </c>
      <c r="E19" s="389">
        <f ca="1">E14*$A19*$B19*$C19</f>
        <v>534852.568064122</v>
      </c>
      <c r="F19" s="389">
        <f t="shared" ref="F19:X19" ca="1" si="4">F14*$A19*$B19*$C19</f>
        <v>567225.92086171394</v>
      </c>
      <c r="G19" s="389">
        <f t="shared" ca="1" si="4"/>
        <v>590718.89517019654</v>
      </c>
      <c r="H19" s="389">
        <f t="shared" ca="1" si="4"/>
        <v>588176.42428812105</v>
      </c>
      <c r="I19" s="389">
        <f t="shared" ca="1" si="4"/>
        <v>593809.74511379225</v>
      </c>
      <c r="J19" s="389">
        <f t="shared" ca="1" si="4"/>
        <v>606557.71095158416</v>
      </c>
      <c r="K19" s="389">
        <f t="shared" ca="1" si="4"/>
        <v>625555.54115234851</v>
      </c>
      <c r="L19" s="389">
        <f t="shared" ca="1" si="4"/>
        <v>632096.68824939511</v>
      </c>
      <c r="M19" s="389">
        <f t="shared" ca="1" si="4"/>
        <v>643406.24705059454</v>
      </c>
      <c r="N19" s="389">
        <f t="shared" ca="1" si="4"/>
        <v>659026.73834833002</v>
      </c>
      <c r="O19" s="389">
        <f t="shared" ca="1" si="4"/>
        <v>678601.57485348848</v>
      </c>
      <c r="P19" s="389">
        <f t="shared" ca="1" si="4"/>
        <v>692685.70684364811</v>
      </c>
      <c r="Q19" s="389">
        <f t="shared" ca="1" si="4"/>
        <v>710109.27970655379</v>
      </c>
      <c r="R19" s="389">
        <f t="shared" ca="1" si="4"/>
        <v>730729.66105985688</v>
      </c>
      <c r="S19" s="389">
        <f t="shared" ca="1" si="4"/>
        <v>754460.58736791206</v>
      </c>
      <c r="T19" s="389">
        <f t="shared" ca="1" si="4"/>
        <v>776513.52470823971</v>
      </c>
      <c r="U19" s="389">
        <f t="shared" ca="1" si="4"/>
        <v>801549.56329581817</v>
      </c>
      <c r="V19" s="389">
        <f t="shared" ca="1" si="4"/>
        <v>829610.01367880777</v>
      </c>
      <c r="W19" s="389">
        <f t="shared" ca="1" si="4"/>
        <v>860773.50023389538</v>
      </c>
      <c r="X19" s="389">
        <f t="shared" ca="1" si="4"/>
        <v>892643.13496202254</v>
      </c>
      <c r="Y19" s="389">
        <f ca="1">Z14*$A19*$B19*$Y$12</f>
        <v>3793733.3235885953</v>
      </c>
      <c r="Z19" s="389">
        <f ca="1">SUM(E19:X19)</f>
        <v>13769103.025960444</v>
      </c>
    </row>
    <row r="20" spans="1:26">
      <c r="E20" s="384"/>
      <c r="F20" s="384"/>
      <c r="G20" s="384"/>
      <c r="H20" s="384"/>
      <c r="I20" s="384"/>
      <c r="J20" s="384"/>
      <c r="K20" s="384"/>
      <c r="L20" s="384"/>
      <c r="M20" s="384"/>
      <c r="N20" s="384"/>
      <c r="O20" s="384"/>
      <c r="P20" s="384"/>
      <c r="Q20" s="384"/>
      <c r="R20" s="384"/>
      <c r="S20" s="384"/>
      <c r="T20" s="384"/>
      <c r="U20" s="384"/>
      <c r="V20" s="384"/>
      <c r="W20" s="384"/>
      <c r="X20" s="384"/>
      <c r="Y20" s="384"/>
    </row>
    <row r="23" spans="1:26" ht="15">
      <c r="A23" s="385" t="s">
        <v>670</v>
      </c>
      <c r="B23" s="385"/>
      <c r="C23" s="385"/>
      <c r="D23" s="23" t="s">
        <v>672</v>
      </c>
    </row>
    <row r="24" spans="1:26" ht="15">
      <c r="A24" s="51" t="s">
        <v>784</v>
      </c>
      <c r="B24" s="51" t="s">
        <v>671</v>
      </c>
      <c r="C24" s="51"/>
      <c r="D24" s="51" t="str">
        <f>$C$8</f>
        <v>Data Centers-NR</v>
      </c>
      <c r="E24" s="391">
        <f t="shared" ref="E24:X24" si="5">E11</f>
        <v>2016</v>
      </c>
      <c r="F24" s="391">
        <f t="shared" si="5"/>
        <v>2017</v>
      </c>
      <c r="G24" s="391">
        <f t="shared" si="5"/>
        <v>2018</v>
      </c>
      <c r="H24" s="391">
        <f t="shared" si="5"/>
        <v>2019</v>
      </c>
      <c r="I24" s="391">
        <f t="shared" si="5"/>
        <v>2020</v>
      </c>
      <c r="J24" s="391">
        <f t="shared" si="5"/>
        <v>2021</v>
      </c>
      <c r="K24" s="391">
        <f t="shared" si="5"/>
        <v>2022</v>
      </c>
      <c r="L24" s="391">
        <f t="shared" si="5"/>
        <v>2023</v>
      </c>
      <c r="M24" s="391">
        <f t="shared" si="5"/>
        <v>2024</v>
      </c>
      <c r="N24" s="391">
        <f t="shared" si="5"/>
        <v>2025</v>
      </c>
      <c r="O24" s="391">
        <f t="shared" si="5"/>
        <v>2026</v>
      </c>
      <c r="P24" s="391">
        <f t="shared" si="5"/>
        <v>2027</v>
      </c>
      <c r="Q24" s="391">
        <f t="shared" si="5"/>
        <v>2028</v>
      </c>
      <c r="R24" s="391">
        <f t="shared" si="5"/>
        <v>2029</v>
      </c>
      <c r="S24" s="391">
        <f t="shared" si="5"/>
        <v>2030</v>
      </c>
      <c r="T24" s="391">
        <f t="shared" si="5"/>
        <v>2031</v>
      </c>
      <c r="U24" s="391">
        <f t="shared" si="5"/>
        <v>2032</v>
      </c>
      <c r="V24" s="391">
        <f t="shared" si="5"/>
        <v>2033</v>
      </c>
      <c r="W24" s="391">
        <f t="shared" si="5"/>
        <v>2034</v>
      </c>
      <c r="X24" s="391">
        <f t="shared" si="5"/>
        <v>2035</v>
      </c>
      <c r="Y24" s="379" t="s">
        <v>668</v>
      </c>
    </row>
    <row r="25" spans="1:26" ht="15">
      <c r="A25" s="386">
        <f>VLOOKUP($D$18,APPLIC,MATCH("Non-Building Stock",BLDGTYPE,FALSE),FALSE)</f>
        <v>0.8</v>
      </c>
      <c r="B25" s="387">
        <v>1</v>
      </c>
      <c r="C25" s="390">
        <f>VLOOKUP(D18,TURN,MATCH("Non-Building Stock",BLDGTYPE,FALSE),FALSE)</f>
        <v>0.2</v>
      </c>
      <c r="D25" t="str">
        <f>D19</f>
        <v>MWh Embedded Data Center Load</v>
      </c>
      <c r="E25" s="382">
        <f>0*$A25*$B25*$C25</f>
        <v>0</v>
      </c>
      <c r="F25" s="382">
        <f t="shared" ref="F25:X25" si="6">0*$A25*$B25*$C25</f>
        <v>0</v>
      </c>
      <c r="G25" s="382">
        <f t="shared" si="6"/>
        <v>0</v>
      </c>
      <c r="H25" s="382">
        <f t="shared" si="6"/>
        <v>0</v>
      </c>
      <c r="I25" s="382">
        <f t="shared" si="6"/>
        <v>0</v>
      </c>
      <c r="J25" s="382">
        <f t="shared" si="6"/>
        <v>0</v>
      </c>
      <c r="K25" s="382">
        <f t="shared" si="6"/>
        <v>0</v>
      </c>
      <c r="L25" s="382">
        <f t="shared" si="6"/>
        <v>0</v>
      </c>
      <c r="M25" s="382">
        <f t="shared" si="6"/>
        <v>0</v>
      </c>
      <c r="N25" s="382">
        <f t="shared" si="6"/>
        <v>0</v>
      </c>
      <c r="O25" s="382">
        <f t="shared" si="6"/>
        <v>0</v>
      </c>
      <c r="P25" s="382">
        <f t="shared" si="6"/>
        <v>0</v>
      </c>
      <c r="Q25" s="382">
        <f t="shared" si="6"/>
        <v>0</v>
      </c>
      <c r="R25" s="382">
        <f t="shared" si="6"/>
        <v>0</v>
      </c>
      <c r="S25" s="382">
        <f t="shared" si="6"/>
        <v>0</v>
      </c>
      <c r="T25" s="382">
        <f t="shared" si="6"/>
        <v>0</v>
      </c>
      <c r="U25" s="382">
        <f t="shared" si="6"/>
        <v>0</v>
      </c>
      <c r="V25" s="382">
        <f t="shared" si="6"/>
        <v>0</v>
      </c>
      <c r="W25" s="382">
        <f t="shared" si="6"/>
        <v>0</v>
      </c>
      <c r="X25" s="382">
        <f t="shared" si="6"/>
        <v>0</v>
      </c>
      <c r="Y25" s="389">
        <f>Z25*$A25*$B25*$Y$12</f>
        <v>0</v>
      </c>
      <c r="Z25" s="382">
        <f>SUM(E25:X25)</f>
        <v>0</v>
      </c>
    </row>
    <row r="29" spans="1:26" ht="15">
      <c r="A29" s="23"/>
      <c r="B29" s="23"/>
      <c r="C29" s="23"/>
      <c r="D29" s="51" t="s">
        <v>673</v>
      </c>
      <c r="E29" s="392" t="str">
        <f>VLOOKUP($D$30,[1]!ACHIEV,MATCH(E$11,$E$11:$Z$11,0)+1,FALSE)</f>
        <v>LO5Med</v>
      </c>
      <c r="F29" s="23"/>
      <c r="G29" s="23"/>
      <c r="H29" s="23"/>
      <c r="I29" s="23"/>
      <c r="J29" s="23"/>
      <c r="K29" s="23"/>
      <c r="L29" s="23"/>
      <c r="M29" s="23"/>
      <c r="N29" s="23"/>
      <c r="O29" s="23"/>
      <c r="P29" s="23"/>
      <c r="Q29" s="23"/>
      <c r="R29" s="23"/>
      <c r="S29" s="23"/>
      <c r="T29" s="23"/>
      <c r="U29" s="23"/>
      <c r="V29" s="23"/>
      <c r="W29" s="23"/>
      <c r="X29" s="23"/>
    </row>
    <row r="30" spans="1:26" ht="15">
      <c r="A30" s="54" t="s">
        <v>674</v>
      </c>
      <c r="B30" s="54"/>
      <c r="C30" s="23"/>
      <c r="D30" s="51" t="str">
        <f>$C$8</f>
        <v>Data Centers-NR</v>
      </c>
      <c r="E30" s="393">
        <f>VLOOKUP($D$30,[1]!ACHIEV,MATCH(E$11,$E$11:$Z$11,0)+2,FALSE)</f>
        <v>4.2999999999999997E-2</v>
      </c>
      <c r="F30" s="393">
        <f>VLOOKUP($D$30,[1]!ACHIEV,MATCH(F$11,$E$11:$Z$11,0)+2,FALSE)</f>
        <v>9.5797142280278316E-2</v>
      </c>
      <c r="G30" s="393">
        <f>VLOOKUP($D$30,[1]!ACHIEV,MATCH(G$11,$E$11:$Z$11,0)+2,FALSE)</f>
        <v>0.16040539374775648</v>
      </c>
      <c r="H30" s="393">
        <f>VLOOKUP($D$30,[1]!ACHIEV,MATCH(H$11,$E$11:$Z$11,0)+2,FALSE)</f>
        <v>0.23540539374775649</v>
      </c>
      <c r="I30" s="393">
        <f>VLOOKUP($D$30,[1]!ACHIEV,MATCH(I$11,$E$11:$Z$11,0)+2,FALSE)</f>
        <v>0.32095239121809005</v>
      </c>
      <c r="J30" s="393">
        <f>VLOOKUP($D$30,[1]!ACHIEV,MATCH(J$11,$E$11:$Z$11,0)+2,FALSE)</f>
        <v>0.42096711425629652</v>
      </c>
      <c r="K30" s="393">
        <f>VLOOKUP($D$30,[1]!ACHIEV,MATCH(K$11,$E$11:$Z$11,0)+2,FALSE)</f>
        <v>0.53068481860864725</v>
      </c>
      <c r="L30" s="393">
        <f>VLOOKUP($D$30,[1]!ACHIEV,MATCH(L$11,$E$11:$Z$11,0)+2,FALSE)</f>
        <v>0.642769203728351</v>
      </c>
      <c r="M30" s="393">
        <f>VLOOKUP($D$30,[1]!ACHIEV,MATCH(M$11,$E$11:$Z$11,0)+2,FALSE)</f>
        <v>0.74839528535557953</v>
      </c>
      <c r="N30" s="393">
        <f>VLOOKUP($D$30,[1]!ACHIEV,MATCH(N$11,$E$11:$Z$11,0)+2,FALSE)</f>
        <v>0.83918984935345187</v>
      </c>
      <c r="O30" s="393">
        <f>VLOOKUP($D$30,[1]!ACHIEV,MATCH(O$11,$E$11:$Z$11,0)+2,FALSE)</f>
        <v>0.90945051634530116</v>
      </c>
      <c r="P30" s="393">
        <f>VLOOKUP($D$30,[1]!ACHIEV,MATCH(P$11,$E$11:$Z$11,0)+2,FALSE)</f>
        <v>0.9576688767502457</v>
      </c>
      <c r="Q30" s="393">
        <f>VLOOKUP($D$30,[1]!ACHIEV,MATCH(Q$11,$E$11:$Z$11,0)+2,FALSE)</f>
        <v>0.9865231113648858</v>
      </c>
      <c r="R30" s="393">
        <f>VLOOKUP($D$30,[1]!ACHIEV,MATCH(R$11,$E$11:$Z$11,0)+2,FALSE)</f>
        <v>1.0012970762896924</v>
      </c>
      <c r="S30" s="393">
        <f>VLOOKUP($D$30,[1]!ACHIEV,MATCH(S$11,$E$11:$Z$11,0)+2,FALSE)</f>
        <v>1.0076356106578106</v>
      </c>
      <c r="T30" s="393">
        <f>VLOOKUP($D$30,[1]!ACHIEV,MATCH(T$11,$E$11:$Z$11,0)+2,FALSE)</f>
        <v>1.0098624683774413</v>
      </c>
      <c r="U30" s="393">
        <f>VLOOKUP($D$30,[1]!ACHIEV,MATCH(U$11,$E$11:$Z$11,0)+2,FALSE)</f>
        <v>1.0104871783970797</v>
      </c>
      <c r="V30" s="393">
        <f>VLOOKUP($D$30,[1]!ACHIEV,MATCH(V$11,$E$11:$Z$11,0)+2,FALSE)</f>
        <v>1.010623336815976</v>
      </c>
      <c r="W30" s="393">
        <f>VLOOKUP($D$30,[1]!ACHIEV,MATCH(W$11,$E$11:$Z$11,0)+2,FALSE)</f>
        <v>1.0106457174525985</v>
      </c>
      <c r="X30" s="393">
        <f>VLOOKUP($D$30,[1]!ACHIEV,MATCH(X$11,$E$11:$Z$11,0)+2,FALSE)</f>
        <v>1.0106484038909742</v>
      </c>
      <c r="Y30" s="379" t="s">
        <v>668</v>
      </c>
    </row>
    <row r="31" spans="1:26">
      <c r="A31" s="370" t="s">
        <v>675</v>
      </c>
      <c r="B31" s="370"/>
      <c r="D31" t="str">
        <f>D19</f>
        <v>MWh Embedded Data Center Load</v>
      </c>
      <c r="E31" s="384">
        <f ca="1">(E19+E25)*E$30*$Y$12</f>
        <v>19548.861362743657</v>
      </c>
      <c r="F31" s="384">
        <f t="shared" ref="F31:X31" ca="1" si="7">(F19+F25)*F$30*$Y$12</f>
        <v>46187.828908973774</v>
      </c>
      <c r="G31" s="384">
        <f t="shared" ca="1" si="7"/>
        <v>80541.32242791279</v>
      </c>
      <c r="H31" s="384">
        <f t="shared" ca="1" si="7"/>
        <v>117690.91733978871</v>
      </c>
      <c r="I31" s="384">
        <f t="shared" ca="1" si="7"/>
        <v>161996.95897944475</v>
      </c>
      <c r="J31" s="384">
        <f t="shared" ca="1" si="7"/>
        <v>217039.72182781421</v>
      </c>
      <c r="K31" s="384">
        <f t="shared" ca="1" si="7"/>
        <v>282176.90455315803</v>
      </c>
      <c r="L31" s="384">
        <f t="shared" ca="1" si="7"/>
        <v>345348.4422375827</v>
      </c>
      <c r="M31" s="384">
        <f t="shared" ca="1" si="7"/>
        <v>409293.87158184336</v>
      </c>
      <c r="N31" s="384">
        <f t="shared" ca="1" si="7"/>
        <v>470091.26688326697</v>
      </c>
      <c r="O31" s="384">
        <f t="shared" ca="1" si="7"/>
        <v>524581.36974675371</v>
      </c>
      <c r="P31" s="384">
        <f t="shared" ca="1" si="7"/>
        <v>563859.0113918205</v>
      </c>
      <c r="Q31" s="384">
        <f t="shared" ca="1" si="7"/>
        <v>595458.33362140926</v>
      </c>
      <c r="R31" s="384">
        <f t="shared" ca="1" si="7"/>
        <v>621925.85220078367</v>
      </c>
      <c r="S31" s="384">
        <f t="shared" ca="1" si="7"/>
        <v>646188.15146925906</v>
      </c>
      <c r="T31" s="384">
        <f t="shared" ca="1" si="7"/>
        <v>666546.0850717806</v>
      </c>
      <c r="U31" s="384">
        <f t="shared" ca="1" si="7"/>
        <v>688462.22307617229</v>
      </c>
      <c r="V31" s="384">
        <f t="shared" ca="1" si="7"/>
        <v>712659.75423802063</v>
      </c>
      <c r="W31" s="384">
        <f t="shared" ca="1" si="7"/>
        <v>739446.49395185919</v>
      </c>
      <c r="X31" s="384">
        <f t="shared" ca="1" si="7"/>
        <v>766826.10565456294</v>
      </c>
      <c r="Y31" s="384">
        <f ca="1">Y19</f>
        <v>3793733.3235885953</v>
      </c>
      <c r="Z31" s="384">
        <f ca="1">SUM(E31:X31)</f>
        <v>8675869.4765249509</v>
      </c>
    </row>
    <row r="36" spans="1:25" ht="15">
      <c r="A36" s="54" t="s">
        <v>676</v>
      </c>
      <c r="B36" s="54"/>
      <c r="D36" s="51" t="str">
        <f>$C$8</f>
        <v>Data Centers-NR</v>
      </c>
      <c r="E36" s="51">
        <v>1</v>
      </c>
      <c r="F36" s="51">
        <v>2</v>
      </c>
      <c r="G36" s="51">
        <v>3</v>
      </c>
      <c r="H36" s="51">
        <v>4</v>
      </c>
      <c r="I36" s="51">
        <v>5</v>
      </c>
      <c r="J36" s="51">
        <v>6</v>
      </c>
      <c r="K36" s="51">
        <v>7</v>
      </c>
      <c r="L36" s="51">
        <v>8</v>
      </c>
      <c r="M36" s="51">
        <v>9</v>
      </c>
      <c r="N36" s="51">
        <v>10</v>
      </c>
      <c r="O36" s="51">
        <v>11</v>
      </c>
      <c r="P36" s="51">
        <v>12</v>
      </c>
      <c r="Q36" s="51">
        <v>13</v>
      </c>
      <c r="R36" s="51">
        <v>14</v>
      </c>
      <c r="S36" s="51">
        <v>15</v>
      </c>
      <c r="T36" s="51">
        <v>16</v>
      </c>
      <c r="U36" s="51">
        <v>17</v>
      </c>
      <c r="V36" s="51">
        <v>18</v>
      </c>
      <c r="W36" s="51">
        <v>19</v>
      </c>
      <c r="X36" s="51">
        <v>20</v>
      </c>
      <c r="Y36" s="379" t="s">
        <v>668</v>
      </c>
    </row>
    <row r="37" spans="1:25">
      <c r="A37" s="370" t="s">
        <v>675</v>
      </c>
      <c r="B37" s="370"/>
      <c r="D37" t="str">
        <f>D19</f>
        <v>MWh Embedded Data Center Load</v>
      </c>
      <c r="E37" s="384">
        <f ca="1">E31</f>
        <v>19548.861362743657</v>
      </c>
      <c r="F37" s="384">
        <f t="shared" ref="F37:X37" ca="1" si="8">E37+F31</f>
        <v>65736.690271717438</v>
      </c>
      <c r="G37" s="384">
        <f t="shared" ca="1" si="8"/>
        <v>146278.01269963023</v>
      </c>
      <c r="H37" s="384">
        <f t="shared" ca="1" si="8"/>
        <v>263968.93003941892</v>
      </c>
      <c r="I37" s="384">
        <f t="shared" ca="1" si="8"/>
        <v>425965.88901886367</v>
      </c>
      <c r="J37" s="384">
        <f t="shared" ca="1" si="8"/>
        <v>643005.61084667791</v>
      </c>
      <c r="K37" s="384">
        <f t="shared" ca="1" si="8"/>
        <v>925182.515399836</v>
      </c>
      <c r="L37" s="384">
        <f t="shared" ca="1" si="8"/>
        <v>1270530.9576374188</v>
      </c>
      <c r="M37" s="384">
        <f t="shared" ca="1" si="8"/>
        <v>1679824.8292192621</v>
      </c>
      <c r="N37" s="384">
        <f t="shared" ca="1" si="8"/>
        <v>2149916.0961025292</v>
      </c>
      <c r="O37" s="384">
        <f t="shared" ca="1" si="8"/>
        <v>2674497.4658492832</v>
      </c>
      <c r="P37" s="384">
        <f t="shared" ca="1" si="8"/>
        <v>3238356.4772411035</v>
      </c>
      <c r="Q37" s="384">
        <f t="shared" ca="1" si="8"/>
        <v>3833814.8108625128</v>
      </c>
      <c r="R37" s="384">
        <f t="shared" ca="1" si="8"/>
        <v>4455740.6630632961</v>
      </c>
      <c r="S37" s="384">
        <f t="shared" ca="1" si="8"/>
        <v>5101928.8145325556</v>
      </c>
      <c r="T37" s="384">
        <f t="shared" ca="1" si="8"/>
        <v>5768474.8996043364</v>
      </c>
      <c r="U37" s="384">
        <f t="shared" ca="1" si="8"/>
        <v>6456937.1226805085</v>
      </c>
      <c r="V37" s="384">
        <f t="shared" ca="1" si="8"/>
        <v>7169596.8769185292</v>
      </c>
      <c r="W37" s="384">
        <f t="shared" ca="1" si="8"/>
        <v>7909043.3708703881</v>
      </c>
      <c r="X37" s="384">
        <f t="shared" ca="1" si="8"/>
        <v>8675869.4765249509</v>
      </c>
      <c r="Y37" s="384">
        <f ca="1">Y19</f>
        <v>3793733.3235885953</v>
      </c>
    </row>
    <row r="41" spans="1:25" ht="15">
      <c r="A41" s="54" t="s">
        <v>677</v>
      </c>
      <c r="B41" s="54"/>
      <c r="C41" s="54"/>
      <c r="D41" s="394" t="str">
        <f>$C$7</f>
        <v>NR</v>
      </c>
      <c r="E41" s="23" t="s">
        <v>678</v>
      </c>
      <c r="F41" s="23"/>
      <c r="G41" s="23"/>
      <c r="H41" s="23"/>
      <c r="I41" s="23"/>
      <c r="J41" s="23"/>
      <c r="K41" s="23"/>
      <c r="L41" s="23"/>
      <c r="M41" s="23"/>
      <c r="N41" s="23"/>
      <c r="O41" s="23"/>
      <c r="P41" s="23"/>
      <c r="Q41" s="23"/>
      <c r="R41" s="23"/>
      <c r="S41" s="23"/>
      <c r="T41" s="23"/>
      <c r="U41" s="23"/>
      <c r="V41" s="23"/>
      <c r="W41" s="23"/>
      <c r="X41" s="23"/>
      <c r="Y41" s="23"/>
    </row>
    <row r="42" spans="1:25" ht="15">
      <c r="A42" s="51" t="s">
        <v>679</v>
      </c>
      <c r="B42" s="51" t="s">
        <v>455</v>
      </c>
      <c r="C42" s="51"/>
      <c r="D42" s="51">
        <v>1</v>
      </c>
      <c r="E42" s="52">
        <f t="shared" ref="E42:X43" si="9">E11</f>
        <v>2016</v>
      </c>
      <c r="F42" s="52">
        <f t="shared" si="9"/>
        <v>2017</v>
      </c>
      <c r="G42" s="52">
        <f t="shared" si="9"/>
        <v>2018</v>
      </c>
      <c r="H42" s="52">
        <f t="shared" si="9"/>
        <v>2019</v>
      </c>
      <c r="I42" s="52">
        <f t="shared" si="9"/>
        <v>2020</v>
      </c>
      <c r="J42" s="52">
        <f t="shared" si="9"/>
        <v>2021</v>
      </c>
      <c r="K42" s="52">
        <f t="shared" si="9"/>
        <v>2022</v>
      </c>
      <c r="L42" s="52">
        <f t="shared" si="9"/>
        <v>2023</v>
      </c>
      <c r="M42" s="52">
        <f t="shared" si="9"/>
        <v>2024</v>
      </c>
      <c r="N42" s="52">
        <f t="shared" si="9"/>
        <v>2025</v>
      </c>
      <c r="O42" s="52">
        <f t="shared" si="9"/>
        <v>2026</v>
      </c>
      <c r="P42" s="52">
        <f t="shared" si="9"/>
        <v>2027</v>
      </c>
      <c r="Q42" s="52">
        <f t="shared" si="9"/>
        <v>2028</v>
      </c>
      <c r="R42" s="52">
        <f t="shared" si="9"/>
        <v>2029</v>
      </c>
      <c r="S42" s="52">
        <f t="shared" si="9"/>
        <v>2030</v>
      </c>
      <c r="T42" s="52">
        <f t="shared" si="9"/>
        <v>2031</v>
      </c>
      <c r="U42" s="52">
        <f t="shared" si="9"/>
        <v>2032</v>
      </c>
      <c r="V42" s="52">
        <f t="shared" si="9"/>
        <v>2033</v>
      </c>
      <c r="W42" s="52">
        <f t="shared" si="9"/>
        <v>2034</v>
      </c>
      <c r="X42" s="52">
        <f t="shared" si="9"/>
        <v>2035</v>
      </c>
      <c r="Y42" s="23"/>
    </row>
    <row r="43" spans="1:25" ht="15">
      <c r="A43" s="51" t="s">
        <v>45</v>
      </c>
      <c r="B43" s="51" t="s">
        <v>46</v>
      </c>
      <c r="C43" s="51" t="s">
        <v>47</v>
      </c>
      <c r="D43" s="51" t="s">
        <v>48</v>
      </c>
      <c r="E43" s="53" t="str">
        <f t="shared" si="9"/>
        <v>FLOOR_2016</v>
      </c>
      <c r="F43" s="53" t="str">
        <f t="shared" si="9"/>
        <v>FLOOR_2017</v>
      </c>
      <c r="G43" s="53" t="str">
        <f t="shared" si="9"/>
        <v>FLOOR_2018</v>
      </c>
      <c r="H43" s="53" t="str">
        <f t="shared" si="9"/>
        <v>FLOOR_2019</v>
      </c>
      <c r="I43" s="53" t="str">
        <f t="shared" si="9"/>
        <v>FLOOR_2020</v>
      </c>
      <c r="J43" s="53" t="str">
        <f t="shared" si="9"/>
        <v>FLOOR_2021</v>
      </c>
      <c r="K43" s="53" t="str">
        <f t="shared" si="9"/>
        <v>FLOOR_2022</v>
      </c>
      <c r="L43" s="53" t="str">
        <f t="shared" si="9"/>
        <v>FLOOR_2023</v>
      </c>
      <c r="M43" s="53" t="str">
        <f t="shared" si="9"/>
        <v>FLOOR_2024</v>
      </c>
      <c r="N43" s="53" t="str">
        <f t="shared" si="9"/>
        <v>FLOOR_2025</v>
      </c>
      <c r="O43" s="53" t="str">
        <f t="shared" si="9"/>
        <v>FLOOR_2026</v>
      </c>
      <c r="P43" s="53" t="str">
        <f t="shared" si="9"/>
        <v>FLOOR_2027</v>
      </c>
      <c r="Q43" s="53" t="str">
        <f t="shared" si="9"/>
        <v>FLOOR_2028</v>
      </c>
      <c r="R43" s="53" t="str">
        <f t="shared" si="9"/>
        <v>FLOOR_2029</v>
      </c>
      <c r="S43" s="53" t="str">
        <f t="shared" si="9"/>
        <v>FLOOR_2030</v>
      </c>
      <c r="T43" s="53" t="str">
        <f t="shared" si="9"/>
        <v>FLOOR_2031</v>
      </c>
      <c r="U43" s="53" t="str">
        <f t="shared" si="9"/>
        <v>FLOOR_2032</v>
      </c>
      <c r="V43" s="53" t="str">
        <f t="shared" si="9"/>
        <v>FLOOR_2033</v>
      </c>
      <c r="W43" s="53" t="str">
        <f t="shared" si="9"/>
        <v>FLOOR_2034</v>
      </c>
      <c r="X43" s="53" t="str">
        <f t="shared" si="9"/>
        <v>FLOOR_2035</v>
      </c>
      <c r="Y43" s="395" t="s">
        <v>668</v>
      </c>
    </row>
    <row r="44" spans="1:25" ht="15">
      <c r="A44" s="396">
        <f>VLOOKUP($D44,MeasOut,3,FALSE)</f>
        <v>480.12368554724708</v>
      </c>
      <c r="B44" s="396">
        <f>VLOOKUP($D44,MeasOut,11,FALSE)</f>
        <v>10.280201045728052</v>
      </c>
      <c r="D44" s="23" t="s">
        <v>436</v>
      </c>
      <c r="E44" s="397">
        <f t="shared" ref="E44:N46" ca="1" si="10">$D$42*$A44*E$31/8760/1000</f>
        <v>1.0714465029375186</v>
      </c>
      <c r="F44" s="397">
        <f t="shared" ca="1" si="10"/>
        <v>2.5314920825573255</v>
      </c>
      <c r="G44" s="397">
        <f t="shared" ca="1" si="10"/>
        <v>4.4143603382350047</v>
      </c>
      <c r="H44" s="397">
        <f t="shared" ca="1" si="10"/>
        <v>6.4504791082894695</v>
      </c>
      <c r="I44" s="397">
        <f t="shared" ca="1" si="10"/>
        <v>8.8788329900293625</v>
      </c>
      <c r="J44" s="397">
        <f t="shared" ca="1" si="10"/>
        <v>11.895651958232813</v>
      </c>
      <c r="K44" s="397">
        <f t="shared" ca="1" si="10"/>
        <v>15.465732350499543</v>
      </c>
      <c r="L44" s="397">
        <f t="shared" ca="1" si="10"/>
        <v>18.928078411542096</v>
      </c>
      <c r="M44" s="397">
        <f t="shared" ca="1" si="10"/>
        <v>22.432840421892269</v>
      </c>
      <c r="N44" s="397">
        <f t="shared" ca="1" si="10"/>
        <v>25.765062967987291</v>
      </c>
      <c r="O44" s="397">
        <f t="shared" ref="O44:X46" ca="1" si="11">$D$42*$A44*O$31/8760/1000</f>
        <v>28.751591394090703</v>
      </c>
      <c r="P44" s="397">
        <f t="shared" ca="1" si="11"/>
        <v>30.904345511240646</v>
      </c>
      <c r="Q44" s="397">
        <f t="shared" ca="1" si="11"/>
        <v>32.636261384490098</v>
      </c>
      <c r="R44" s="397">
        <f t="shared" ca="1" si="11"/>
        <v>34.086910079423824</v>
      </c>
      <c r="S44" s="397">
        <f t="shared" ca="1" si="11"/>
        <v>35.416693703240121</v>
      </c>
      <c r="T44" s="397">
        <f t="shared" ca="1" si="11"/>
        <v>36.532484355222856</v>
      </c>
      <c r="U44" s="397">
        <f t="shared" ca="1" si="11"/>
        <v>37.733678071162423</v>
      </c>
      <c r="V44" s="397">
        <f t="shared" ca="1" si="11"/>
        <v>39.059911843145414</v>
      </c>
      <c r="W44" s="397">
        <f t="shared" ca="1" si="11"/>
        <v>40.528056614287308</v>
      </c>
      <c r="X44" s="397">
        <f t="shared" ca="1" si="11"/>
        <v>42.028695892775275</v>
      </c>
      <c r="Y44" s="398">
        <f ca="1">$Y$19*$A44*$A$19*$D$42/8760/1000</f>
        <v>166.34349089541217</v>
      </c>
    </row>
    <row r="45" spans="1:25" ht="15">
      <c r="A45" s="396">
        <f>VLOOKUP($D45,MeasOut,3,FALSE)</f>
        <v>221.72389652201252</v>
      </c>
      <c r="B45" s="396">
        <f>VLOOKUP($D45,MeasOut,11,FALSE)</f>
        <v>27.157230174928788</v>
      </c>
      <c r="D45" s="23" t="s">
        <v>442</v>
      </c>
      <c r="E45" s="397">
        <f t="shared" ca="1" si="10"/>
        <v>0.49480019565252781</v>
      </c>
      <c r="F45" s="397">
        <f t="shared" ca="1" si="10"/>
        <v>1.1690576937887807</v>
      </c>
      <c r="G45" s="397">
        <f t="shared" ca="1" si="10"/>
        <v>2.0385771506566872</v>
      </c>
      <c r="H45" s="397">
        <f t="shared" ca="1" si="10"/>
        <v>2.9788685819438401</v>
      </c>
      <c r="I45" s="397">
        <f t="shared" ca="1" si="10"/>
        <v>4.1002964577213596</v>
      </c>
      <c r="J45" s="397">
        <f t="shared" ca="1" si="10"/>
        <v>5.4934809159493909</v>
      </c>
      <c r="K45" s="397">
        <f t="shared" ca="1" si="10"/>
        <v>7.1421647016034493</v>
      </c>
      <c r="L45" s="397">
        <f t="shared" ca="1" si="10"/>
        <v>8.7410961496260278</v>
      </c>
      <c r="M45" s="397">
        <f t="shared" ca="1" si="10"/>
        <v>10.35961552850531</v>
      </c>
      <c r="N45" s="397">
        <f t="shared" ca="1" si="10"/>
        <v>11.898455184283934</v>
      </c>
      <c r="O45" s="397">
        <f t="shared" ca="1" si="11"/>
        <v>13.277651294874978</v>
      </c>
      <c r="P45" s="397">
        <f t="shared" ca="1" si="11"/>
        <v>14.271805604434281</v>
      </c>
      <c r="Q45" s="397">
        <f t="shared" ca="1" si="11"/>
        <v>15.071614377516365</v>
      </c>
      <c r="R45" s="397">
        <f t="shared" ca="1" si="11"/>
        <v>15.741532339923632</v>
      </c>
      <c r="S45" s="397">
        <f t="shared" ca="1" si="11"/>
        <v>16.35563411302746</v>
      </c>
      <c r="T45" s="397">
        <f t="shared" ca="1" si="11"/>
        <v>16.870912693334251</v>
      </c>
      <c r="U45" s="397">
        <f t="shared" ca="1" si="11"/>
        <v>17.425630902814603</v>
      </c>
      <c r="V45" s="397">
        <f t="shared" ca="1" si="11"/>
        <v>18.038093333798372</v>
      </c>
      <c r="W45" s="397">
        <f t="shared" ca="1" si="11"/>
        <v>18.716091085450568</v>
      </c>
      <c r="X45" s="397">
        <f t="shared" ca="1" si="11"/>
        <v>19.409094988644991</v>
      </c>
      <c r="Y45" s="398">
        <f t="shared" ref="Y45:Y46" ca="1" si="12">$Y$19*$A45*$A$19*$D$42/8760/1000</f>
        <v>76.818386746252813</v>
      </c>
    </row>
    <row r="46" spans="1:25" ht="15">
      <c r="A46" s="396">
        <f>VLOOKUP($D46,MeasOut,3,FALSE)</f>
        <v>52.405790292175645</v>
      </c>
      <c r="B46" s="396">
        <f>VLOOKUP($D46,MeasOut,11,FALSE)</f>
        <v>20.980098599086904</v>
      </c>
      <c r="D46" s="23" t="s">
        <v>444</v>
      </c>
      <c r="E46" s="397">
        <f t="shared" ca="1" si="10"/>
        <v>0.11694903299392227</v>
      </c>
      <c r="F46" s="397">
        <f t="shared" ca="1" si="10"/>
        <v>0.27631388993773603</v>
      </c>
      <c r="G46" s="397">
        <f t="shared" ca="1" si="10"/>
        <v>0.48183009737576499</v>
      </c>
      <c r="H46" s="397">
        <f t="shared" ca="1" si="10"/>
        <v>0.70407369102771067</v>
      </c>
      <c r="I46" s="397">
        <f t="shared" ca="1" si="10"/>
        <v>0.96912998404645689</v>
      </c>
      <c r="J46" s="397">
        <f t="shared" ca="1" si="10"/>
        <v>1.2984175967101106</v>
      </c>
      <c r="K46" s="397">
        <f t="shared" ca="1" si="10"/>
        <v>1.6880940280032037</v>
      </c>
      <c r="L46" s="397">
        <f t="shared" ca="1" si="10"/>
        <v>2.0660111919671569</v>
      </c>
      <c r="M46" s="397">
        <f t="shared" ca="1" si="10"/>
        <v>2.4485580824190354</v>
      </c>
      <c r="N46" s="397">
        <f t="shared" ca="1" si="10"/>
        <v>2.8122721861264455</v>
      </c>
      <c r="O46" s="397">
        <f t="shared" ca="1" si="11"/>
        <v>3.1382535678231309</v>
      </c>
      <c r="P46" s="397">
        <f t="shared" ca="1" si="11"/>
        <v>3.3732279800631537</v>
      </c>
      <c r="Q46" s="397">
        <f t="shared" ca="1" si="11"/>
        <v>3.5622676437776182</v>
      </c>
      <c r="R46" s="397">
        <f t="shared" ca="1" si="11"/>
        <v>3.7206068250818376</v>
      </c>
      <c r="S46" s="397">
        <f t="shared" ca="1" si="11"/>
        <v>3.8657535108660532</v>
      </c>
      <c r="T46" s="397">
        <f t="shared" ca="1" si="11"/>
        <v>3.9875427345139727</v>
      </c>
      <c r="U46" s="397">
        <f t="shared" ca="1" si="11"/>
        <v>4.1186537541797872</v>
      </c>
      <c r="V46" s="397">
        <f t="shared" ca="1" si="11"/>
        <v>4.2634129714921398</v>
      </c>
      <c r="W46" s="397">
        <f t="shared" ca="1" si="11"/>
        <v>4.4236618600828379</v>
      </c>
      <c r="X46" s="397">
        <f t="shared" ca="1" si="11"/>
        <v>4.5874575437783971</v>
      </c>
      <c r="Y46" s="398">
        <f t="shared" ca="1" si="12"/>
        <v>18.156492509627618</v>
      </c>
    </row>
    <row r="48" spans="1:25" ht="15">
      <c r="A48" s="399"/>
      <c r="B48" s="400"/>
      <c r="C48" s="23"/>
      <c r="D48" s="23" t="s">
        <v>680</v>
      </c>
      <c r="E48" s="397">
        <f t="shared" ref="E48:X48" ca="1" si="13">SUM(E44:E47)</f>
        <v>1.6831957315839687</v>
      </c>
      <c r="F48" s="397">
        <f t="shared" ca="1" si="13"/>
        <v>3.9768636662838421</v>
      </c>
      <c r="G48" s="397">
        <f t="shared" ca="1" si="13"/>
        <v>6.9347675862674567</v>
      </c>
      <c r="H48" s="397">
        <f t="shared" ca="1" si="13"/>
        <v>10.133421381261021</v>
      </c>
      <c r="I48" s="397">
        <f t="shared" ca="1" si="13"/>
        <v>13.94825943179718</v>
      </c>
      <c r="J48" s="397">
        <f t="shared" ca="1" si="13"/>
        <v>18.687550470892312</v>
      </c>
      <c r="K48" s="397">
        <f t="shared" ca="1" si="13"/>
        <v>24.295991080106194</v>
      </c>
      <c r="L48" s="397">
        <f t="shared" ca="1" si="13"/>
        <v>29.73518575313528</v>
      </c>
      <c r="M48" s="397">
        <f t="shared" ca="1" si="13"/>
        <v>35.241014032816615</v>
      </c>
      <c r="N48" s="397">
        <f t="shared" ca="1" si="13"/>
        <v>40.475790338397665</v>
      </c>
      <c r="O48" s="397">
        <f t="shared" ca="1" si="13"/>
        <v>45.167496256788809</v>
      </c>
      <c r="P48" s="397">
        <f t="shared" ca="1" si="13"/>
        <v>48.549379095738082</v>
      </c>
      <c r="Q48" s="397">
        <f t="shared" ca="1" si="13"/>
        <v>51.270143405784083</v>
      </c>
      <c r="R48" s="397">
        <f t="shared" ca="1" si="13"/>
        <v>53.549049244429291</v>
      </c>
      <c r="S48" s="397">
        <f t="shared" ca="1" si="13"/>
        <v>55.638081327133634</v>
      </c>
      <c r="T48" s="397">
        <f t="shared" ca="1" si="13"/>
        <v>57.390939783071083</v>
      </c>
      <c r="U48" s="397">
        <f t="shared" ca="1" si="13"/>
        <v>59.277962728156815</v>
      </c>
      <c r="V48" s="397">
        <f t="shared" ca="1" si="13"/>
        <v>61.361418148435924</v>
      </c>
      <c r="W48" s="397">
        <f t="shared" ca="1" si="13"/>
        <v>63.667809559820718</v>
      </c>
      <c r="X48" s="397">
        <f t="shared" ca="1" si="13"/>
        <v>66.025248425198669</v>
      </c>
      <c r="Y48" s="384">
        <f ca="1">SUM(Y44:Y46)</f>
        <v>261.31837015129264</v>
      </c>
    </row>
    <row r="51" spans="1:25" ht="15">
      <c r="A51" s="401" t="s">
        <v>681</v>
      </c>
      <c r="B51" s="401"/>
      <c r="C51" s="23"/>
      <c r="D51" s="23"/>
      <c r="E51" s="23"/>
      <c r="F51" s="23"/>
      <c r="G51" s="23"/>
      <c r="H51" s="23"/>
      <c r="I51" s="23"/>
      <c r="J51" s="23"/>
      <c r="K51" s="23"/>
      <c r="L51" s="23"/>
      <c r="M51" s="23"/>
      <c r="N51" s="23"/>
      <c r="O51" s="23"/>
      <c r="P51" s="23"/>
      <c r="Q51" s="23"/>
      <c r="R51" s="23"/>
      <c r="S51" s="23"/>
      <c r="T51" s="23"/>
      <c r="U51" s="23"/>
      <c r="V51" s="23"/>
      <c r="W51" s="23"/>
      <c r="X51" s="23"/>
      <c r="Y51" s="23"/>
    </row>
    <row r="52" spans="1:25" ht="15">
      <c r="A52" s="23"/>
      <c r="B52" s="23"/>
      <c r="C52" s="23"/>
      <c r="D52" s="23"/>
      <c r="E52" s="52">
        <f t="shared" ref="E52:X53" si="14">E11</f>
        <v>2016</v>
      </c>
      <c r="F52" s="52">
        <f t="shared" si="14"/>
        <v>2017</v>
      </c>
      <c r="G52" s="52">
        <f t="shared" si="14"/>
        <v>2018</v>
      </c>
      <c r="H52" s="52">
        <f t="shared" si="14"/>
        <v>2019</v>
      </c>
      <c r="I52" s="52">
        <f t="shared" si="14"/>
        <v>2020</v>
      </c>
      <c r="J52" s="52">
        <f t="shared" si="14"/>
        <v>2021</v>
      </c>
      <c r="K52" s="52">
        <f t="shared" si="14"/>
        <v>2022</v>
      </c>
      <c r="L52" s="52">
        <f t="shared" si="14"/>
        <v>2023</v>
      </c>
      <c r="M52" s="52">
        <f t="shared" si="14"/>
        <v>2024</v>
      </c>
      <c r="N52" s="52">
        <f t="shared" si="14"/>
        <v>2025</v>
      </c>
      <c r="O52" s="52">
        <f t="shared" si="14"/>
        <v>2026</v>
      </c>
      <c r="P52" s="52">
        <f t="shared" si="14"/>
        <v>2027</v>
      </c>
      <c r="Q52" s="52">
        <f t="shared" si="14"/>
        <v>2028</v>
      </c>
      <c r="R52" s="52">
        <f t="shared" si="14"/>
        <v>2029</v>
      </c>
      <c r="S52" s="52">
        <f t="shared" si="14"/>
        <v>2030</v>
      </c>
      <c r="T52" s="52">
        <f t="shared" si="14"/>
        <v>2031</v>
      </c>
      <c r="U52" s="52">
        <f t="shared" si="14"/>
        <v>2032</v>
      </c>
      <c r="V52" s="52">
        <f t="shared" si="14"/>
        <v>2033</v>
      </c>
      <c r="W52" s="52">
        <f t="shared" si="14"/>
        <v>2034</v>
      </c>
      <c r="X52" s="52">
        <f t="shared" si="14"/>
        <v>2035</v>
      </c>
      <c r="Y52" s="23"/>
    </row>
    <row r="53" spans="1:25" ht="15">
      <c r="A53" s="23"/>
      <c r="B53" s="23"/>
      <c r="C53" s="402" t="s">
        <v>46</v>
      </c>
      <c r="D53" s="402" t="s">
        <v>46</v>
      </c>
      <c r="E53" s="53" t="str">
        <f t="shared" si="14"/>
        <v>FLOOR_2016</v>
      </c>
      <c r="F53" s="53" t="str">
        <f t="shared" si="14"/>
        <v>FLOOR_2017</v>
      </c>
      <c r="G53" s="53" t="str">
        <f t="shared" si="14"/>
        <v>FLOOR_2018</v>
      </c>
      <c r="H53" s="53" t="str">
        <f t="shared" si="14"/>
        <v>FLOOR_2019</v>
      </c>
      <c r="I53" s="53" t="str">
        <f t="shared" si="14"/>
        <v>FLOOR_2020</v>
      </c>
      <c r="J53" s="53" t="str">
        <f t="shared" si="14"/>
        <v>FLOOR_2021</v>
      </c>
      <c r="K53" s="53" t="str">
        <f t="shared" si="14"/>
        <v>FLOOR_2022</v>
      </c>
      <c r="L53" s="53" t="str">
        <f t="shared" si="14"/>
        <v>FLOOR_2023</v>
      </c>
      <c r="M53" s="53" t="str">
        <f t="shared" si="14"/>
        <v>FLOOR_2024</v>
      </c>
      <c r="N53" s="53" t="str">
        <f t="shared" si="14"/>
        <v>FLOOR_2025</v>
      </c>
      <c r="O53" s="53" t="str">
        <f t="shared" si="14"/>
        <v>FLOOR_2026</v>
      </c>
      <c r="P53" s="53" t="str">
        <f t="shared" si="14"/>
        <v>FLOOR_2027</v>
      </c>
      <c r="Q53" s="53" t="str">
        <f t="shared" si="14"/>
        <v>FLOOR_2028</v>
      </c>
      <c r="R53" s="53" t="str">
        <f t="shared" si="14"/>
        <v>FLOOR_2029</v>
      </c>
      <c r="S53" s="53" t="str">
        <f t="shared" si="14"/>
        <v>FLOOR_2030</v>
      </c>
      <c r="T53" s="53" t="str">
        <f t="shared" si="14"/>
        <v>FLOOR_2031</v>
      </c>
      <c r="U53" s="53" t="str">
        <f t="shared" si="14"/>
        <v>FLOOR_2032</v>
      </c>
      <c r="V53" s="53" t="str">
        <f t="shared" si="14"/>
        <v>FLOOR_2033</v>
      </c>
      <c r="W53" s="53" t="str">
        <f t="shared" si="14"/>
        <v>FLOOR_2034</v>
      </c>
      <c r="X53" s="53" t="str">
        <f t="shared" si="14"/>
        <v>FLOOR_2035</v>
      </c>
      <c r="Y53" s="395" t="s">
        <v>668</v>
      </c>
    </row>
    <row r="54" spans="1:25">
      <c r="A54" s="23"/>
      <c r="B54" s="23" t="s">
        <v>637</v>
      </c>
      <c r="C54" s="403" t="s">
        <v>682</v>
      </c>
      <c r="D54" s="403" t="s">
        <v>683</v>
      </c>
      <c r="E54" s="347">
        <f>DSUM($B$43:$AA$46,E$43,$C$53:$D54)</f>
        <v>0</v>
      </c>
      <c r="F54" s="347">
        <f>DSUM($B$43:$AA$46,F$43,$C$53:$D54)</f>
        <v>0</v>
      </c>
      <c r="G54" s="347">
        <f>DSUM($B$43:$AA$46,G$43,$C$53:$D54)</f>
        <v>0</v>
      </c>
      <c r="H54" s="347">
        <f>DSUM($B$43:$AA$46,H$43,$C$53:$D54)</f>
        <v>0</v>
      </c>
      <c r="I54" s="347">
        <f>DSUM($B$43:$AA$46,I$43,$C$53:$D54)</f>
        <v>0</v>
      </c>
      <c r="J54" s="347">
        <f>DSUM($B$43:$AA$46,J$43,$C$53:$D54)</f>
        <v>0</v>
      </c>
      <c r="K54" s="347">
        <f>DSUM($B$43:$AA$46,K$43,$C$53:$D54)</f>
        <v>0</v>
      </c>
      <c r="L54" s="347">
        <f>DSUM($B$43:$AA$46,L$43,$C$53:$D54)</f>
        <v>0</v>
      </c>
      <c r="M54" s="347">
        <f>DSUM($B$43:$AA$46,M$43,$C$53:$D54)</f>
        <v>0</v>
      </c>
      <c r="N54" s="347">
        <f>DSUM($B$43:$AA$46,N$43,$C$53:$D54)</f>
        <v>0</v>
      </c>
      <c r="O54" s="347">
        <f>DSUM($B$43:$AA$46,O$43,$C$53:$D54)</f>
        <v>0</v>
      </c>
      <c r="P54" s="347">
        <f>DSUM($B$43:$AA$46,P$43,$C$53:$D54)</f>
        <v>0</v>
      </c>
      <c r="Q54" s="347">
        <f>DSUM($B$43:$AA$46,Q$43,$C$53:$D54)</f>
        <v>0</v>
      </c>
      <c r="R54" s="347">
        <f>DSUM($B$43:$AA$46,R$43,$C$53:$D54)</f>
        <v>0</v>
      </c>
      <c r="S54" s="347">
        <f>DSUM($B$43:$AA$46,S$43,$C$53:$D54)</f>
        <v>0</v>
      </c>
      <c r="T54" s="347">
        <f>DSUM($B$43:$AA$46,T$43,$C$53:$D54)</f>
        <v>0</v>
      </c>
      <c r="U54" s="347">
        <f>DSUM($B$43:$AA$46,U$43,$C$53:$D54)</f>
        <v>0</v>
      </c>
      <c r="V54" s="347">
        <f>DSUM($B$43:$AA$46,V$43,$C$53:$D54)</f>
        <v>0</v>
      </c>
      <c r="W54" s="347">
        <f>DSUM($B$43:$AA$46,W$43,$C$53:$D54)</f>
        <v>0</v>
      </c>
      <c r="X54" s="347">
        <f>DSUM($B$43:$AA$46,X$43,$C$53:$D54)</f>
        <v>0</v>
      </c>
      <c r="Y54" s="404">
        <f>DSUM($B$43:$Z$46,Y$43,$C$53:$D54)</f>
        <v>0</v>
      </c>
    </row>
    <row r="55" spans="1:25">
      <c r="B55" s="23" t="s">
        <v>638</v>
      </c>
      <c r="C55" s="403" t="s">
        <v>684</v>
      </c>
      <c r="D55" s="403" t="s">
        <v>685</v>
      </c>
      <c r="E55" s="347">
        <f>DSUM($B$43:$AA$46,E$43,$C$53:$D55)</f>
        <v>0</v>
      </c>
      <c r="F55" s="347">
        <f>DSUM($B$43:$AA$46,F$43,$C$53:$D55)</f>
        <v>0</v>
      </c>
      <c r="G55" s="347">
        <f>DSUM($B$43:$AA$46,G$43,$C$53:$D55)</f>
        <v>0</v>
      </c>
      <c r="H55" s="347">
        <f>DSUM($B$43:$AA$46,H$43,$C$53:$D55)</f>
        <v>0</v>
      </c>
      <c r="I55" s="347">
        <f>DSUM($B$43:$AA$46,I$43,$C$53:$D55)</f>
        <v>0</v>
      </c>
      <c r="J55" s="347">
        <f>DSUM($B$43:$AA$46,J$43,$C$53:$D55)</f>
        <v>0</v>
      </c>
      <c r="K55" s="347">
        <f>DSUM($B$43:$AA$46,K$43,$C$53:$D55)</f>
        <v>0</v>
      </c>
      <c r="L55" s="347">
        <f>DSUM($B$43:$AA$46,L$43,$C$53:$D55)</f>
        <v>0</v>
      </c>
      <c r="M55" s="347">
        <f>DSUM($B$43:$AA$46,M$43,$C$53:$D55)</f>
        <v>0</v>
      </c>
      <c r="N55" s="347">
        <f>DSUM($B$43:$AA$46,N$43,$C$53:$D55)</f>
        <v>0</v>
      </c>
      <c r="O55" s="347">
        <f>DSUM($B$43:$AA$46,O$43,$C$53:$D55)</f>
        <v>0</v>
      </c>
      <c r="P55" s="347">
        <f>DSUM($B$43:$AA$46,P$43,$C$53:$D55)</f>
        <v>0</v>
      </c>
      <c r="Q55" s="347">
        <f>DSUM($B$43:$AA$46,Q$43,$C$53:$D55)</f>
        <v>0</v>
      </c>
      <c r="R55" s="347">
        <f>DSUM($B$43:$AA$46,R$43,$C$53:$D55)</f>
        <v>0</v>
      </c>
      <c r="S55" s="347">
        <f>DSUM($B$43:$AA$46,S$43,$C$53:$D55)</f>
        <v>0</v>
      </c>
      <c r="T55" s="347">
        <f>DSUM($B$43:$AA$46,T$43,$C$53:$D55)</f>
        <v>0</v>
      </c>
      <c r="U55" s="347">
        <f>DSUM($B$43:$AA$46,U$43,$C$53:$D55)</f>
        <v>0</v>
      </c>
      <c r="V55" s="347">
        <f>DSUM($B$43:$AA$46,V$43,$C$53:$D55)</f>
        <v>0</v>
      </c>
      <c r="W55" s="347">
        <f>DSUM($B$43:$AA$46,W$43,$C$53:$D55)</f>
        <v>0</v>
      </c>
      <c r="X55" s="347">
        <f>DSUM($B$43:$AA$46,X$43,$C$53:$D55)</f>
        <v>0</v>
      </c>
      <c r="Y55" s="404">
        <f>DSUM($B$43:$Z$46,Y$43,$C$53:$D55)</f>
        <v>0</v>
      </c>
    </row>
    <row r="56" spans="1:25">
      <c r="B56" s="23" t="s">
        <v>639</v>
      </c>
      <c r="C56" s="403" t="s">
        <v>686</v>
      </c>
      <c r="D56" s="403" t="s">
        <v>687</v>
      </c>
      <c r="E56" s="347">
        <f ca="1">DSUM($B$43:$AA$46,E$43,$C$53:$D56)</f>
        <v>1.0714465029375186</v>
      </c>
      <c r="F56" s="347">
        <f ca="1">DSUM($B$43:$AA$46,F$43,$C$53:$D56)</f>
        <v>2.5314920825573255</v>
      </c>
      <c r="G56" s="347">
        <f ca="1">DSUM($B$43:$AA$46,G$43,$C$53:$D56)</f>
        <v>4.4143603382350047</v>
      </c>
      <c r="H56" s="347">
        <f ca="1">DSUM($B$43:$AA$46,H$43,$C$53:$D56)</f>
        <v>6.4504791082894695</v>
      </c>
      <c r="I56" s="347">
        <f ca="1">DSUM($B$43:$AA$46,I$43,$C$53:$D56)</f>
        <v>8.8788329900293625</v>
      </c>
      <c r="J56" s="347">
        <f ca="1">DSUM($B$43:$AA$46,J$43,$C$53:$D56)</f>
        <v>11.895651958232813</v>
      </c>
      <c r="K56" s="347">
        <f ca="1">DSUM($B$43:$AA$46,K$43,$C$53:$D56)</f>
        <v>15.465732350499543</v>
      </c>
      <c r="L56" s="347">
        <f ca="1">DSUM($B$43:$AA$46,L$43,$C$53:$D56)</f>
        <v>18.928078411542096</v>
      </c>
      <c r="M56" s="347">
        <f ca="1">DSUM($B$43:$AA$46,M$43,$C$53:$D56)</f>
        <v>22.432840421892269</v>
      </c>
      <c r="N56" s="347">
        <f ca="1">DSUM($B$43:$AA$46,N$43,$C$53:$D56)</f>
        <v>25.765062967987291</v>
      </c>
      <c r="O56" s="347">
        <f ca="1">DSUM($B$43:$AA$46,O$43,$C$53:$D56)</f>
        <v>28.751591394090703</v>
      </c>
      <c r="P56" s="347">
        <f ca="1">DSUM($B$43:$AA$46,P$43,$C$53:$D56)</f>
        <v>30.904345511240646</v>
      </c>
      <c r="Q56" s="347">
        <f ca="1">DSUM($B$43:$AA$46,Q$43,$C$53:$D56)</f>
        <v>32.636261384490098</v>
      </c>
      <c r="R56" s="347">
        <f ca="1">DSUM($B$43:$AA$46,R$43,$C$53:$D56)</f>
        <v>34.086910079423824</v>
      </c>
      <c r="S56" s="347">
        <f ca="1">DSUM($B$43:$AA$46,S$43,$C$53:$D56)</f>
        <v>35.416693703240121</v>
      </c>
      <c r="T56" s="347">
        <f ca="1">DSUM($B$43:$AA$46,T$43,$C$53:$D56)</f>
        <v>36.532484355222856</v>
      </c>
      <c r="U56" s="347">
        <f ca="1">DSUM($B$43:$AA$46,U$43,$C$53:$D56)</f>
        <v>37.733678071162423</v>
      </c>
      <c r="V56" s="347">
        <f ca="1">DSUM($B$43:$AA$46,V$43,$C$53:$D56)</f>
        <v>39.059911843145414</v>
      </c>
      <c r="W56" s="347">
        <f ca="1">DSUM($B$43:$AA$46,W$43,$C$53:$D56)</f>
        <v>40.528056614287308</v>
      </c>
      <c r="X56" s="347">
        <f ca="1">DSUM($B$43:$AA$46,X$43,$C$53:$D56)</f>
        <v>42.028695892775275</v>
      </c>
      <c r="Y56" s="404">
        <f ca="1">DSUM($B$43:$Z$46,Y$43,$C$53:$D56)</f>
        <v>166.34349089541217</v>
      </c>
    </row>
    <row r="57" spans="1:25">
      <c r="B57" s="23" t="s">
        <v>640</v>
      </c>
      <c r="C57" s="403" t="s">
        <v>688</v>
      </c>
      <c r="D57" s="403" t="s">
        <v>689</v>
      </c>
      <c r="E57" s="347">
        <f ca="1">DSUM($B$43:$AA$46,E$43,$C$53:$D57)</f>
        <v>1.6831957315839687</v>
      </c>
      <c r="F57" s="347">
        <f ca="1">DSUM($B$43:$AA$46,F$43,$C$53:$D57)</f>
        <v>3.9768636662838421</v>
      </c>
      <c r="G57" s="347">
        <f ca="1">DSUM($B$43:$AA$46,G$43,$C$53:$D57)</f>
        <v>6.9347675862674567</v>
      </c>
      <c r="H57" s="347">
        <f ca="1">DSUM($B$43:$AA$46,H$43,$C$53:$D57)</f>
        <v>10.133421381261021</v>
      </c>
      <c r="I57" s="347">
        <f ca="1">DSUM($B$43:$AA$46,I$43,$C$53:$D57)</f>
        <v>13.94825943179718</v>
      </c>
      <c r="J57" s="347">
        <f ca="1">DSUM($B$43:$AA$46,J$43,$C$53:$D57)</f>
        <v>18.687550470892312</v>
      </c>
      <c r="K57" s="347">
        <f ca="1">DSUM($B$43:$AA$46,K$43,$C$53:$D57)</f>
        <v>24.295991080106194</v>
      </c>
      <c r="L57" s="347">
        <f ca="1">DSUM($B$43:$AA$46,L$43,$C$53:$D57)</f>
        <v>29.73518575313528</v>
      </c>
      <c r="M57" s="347">
        <f ca="1">DSUM($B$43:$AA$46,M$43,$C$53:$D57)</f>
        <v>35.241014032816615</v>
      </c>
      <c r="N57" s="347">
        <f ca="1">DSUM($B$43:$AA$46,N$43,$C$53:$D57)</f>
        <v>40.475790338397665</v>
      </c>
      <c r="O57" s="347">
        <f ca="1">DSUM($B$43:$AA$46,O$43,$C$53:$D57)</f>
        <v>45.167496256788809</v>
      </c>
      <c r="P57" s="347">
        <f ca="1">DSUM($B$43:$AA$46,P$43,$C$53:$D57)</f>
        <v>48.549379095738082</v>
      </c>
      <c r="Q57" s="347">
        <f ca="1">DSUM($B$43:$AA$46,Q$43,$C$53:$D57)</f>
        <v>51.270143405784083</v>
      </c>
      <c r="R57" s="347">
        <f ca="1">DSUM($B$43:$AA$46,R$43,$C$53:$D57)</f>
        <v>53.549049244429291</v>
      </c>
      <c r="S57" s="347">
        <f ca="1">DSUM($B$43:$AA$46,S$43,$C$53:$D57)</f>
        <v>55.638081327133634</v>
      </c>
      <c r="T57" s="347">
        <f ca="1">DSUM($B$43:$AA$46,T$43,$C$53:$D57)</f>
        <v>57.390939783071083</v>
      </c>
      <c r="U57" s="347">
        <f ca="1">DSUM($B$43:$AA$46,U$43,$C$53:$D57)</f>
        <v>59.277962728156815</v>
      </c>
      <c r="V57" s="347">
        <f ca="1">DSUM($B$43:$AA$46,V$43,$C$53:$D57)</f>
        <v>61.361418148435924</v>
      </c>
      <c r="W57" s="347">
        <f ca="1">DSUM($B$43:$AA$46,W$43,$C$53:$D57)</f>
        <v>63.667809559820718</v>
      </c>
      <c r="X57" s="347">
        <f ca="1">DSUM($B$43:$AA$46,X$43,$C$53:$D57)</f>
        <v>66.025248425198669</v>
      </c>
      <c r="Y57" s="404">
        <f ca="1">DSUM($B$43:$Z$46,Y$43,$C$53:$D57)</f>
        <v>261.31837015129264</v>
      </c>
    </row>
    <row r="58" spans="1:25">
      <c r="B58" s="23" t="s">
        <v>641</v>
      </c>
      <c r="C58" s="403" t="s">
        <v>690</v>
      </c>
      <c r="D58" s="403" t="s">
        <v>691</v>
      </c>
      <c r="E58" s="347">
        <f ca="1">DSUM($B$43:$AA$46,E$43,$C$53:$D58)</f>
        <v>1.6831957315839687</v>
      </c>
      <c r="F58" s="347">
        <f ca="1">DSUM($B$43:$AA$46,F$43,$C$53:$D58)</f>
        <v>3.9768636662838421</v>
      </c>
      <c r="G58" s="347">
        <f ca="1">DSUM($B$43:$AA$46,G$43,$C$53:$D58)</f>
        <v>6.9347675862674567</v>
      </c>
      <c r="H58" s="347">
        <f ca="1">DSUM($B$43:$AA$46,H$43,$C$53:$D58)</f>
        <v>10.133421381261021</v>
      </c>
      <c r="I58" s="347">
        <f ca="1">DSUM($B$43:$AA$46,I$43,$C$53:$D58)</f>
        <v>13.94825943179718</v>
      </c>
      <c r="J58" s="347">
        <f ca="1">DSUM($B$43:$AA$46,J$43,$C$53:$D58)</f>
        <v>18.687550470892312</v>
      </c>
      <c r="K58" s="347">
        <f ca="1">DSUM($B$43:$AA$46,K$43,$C$53:$D58)</f>
        <v>24.295991080106194</v>
      </c>
      <c r="L58" s="347">
        <f ca="1">DSUM($B$43:$AA$46,L$43,$C$53:$D58)</f>
        <v>29.73518575313528</v>
      </c>
      <c r="M58" s="347">
        <f ca="1">DSUM($B$43:$AA$46,M$43,$C$53:$D58)</f>
        <v>35.241014032816615</v>
      </c>
      <c r="N58" s="347">
        <f ca="1">DSUM($B$43:$AA$46,N$43,$C$53:$D58)</f>
        <v>40.475790338397665</v>
      </c>
      <c r="O58" s="347">
        <f ca="1">DSUM($B$43:$AA$46,O$43,$C$53:$D58)</f>
        <v>45.167496256788809</v>
      </c>
      <c r="P58" s="347">
        <f ca="1">DSUM($B$43:$AA$46,P$43,$C$53:$D58)</f>
        <v>48.549379095738082</v>
      </c>
      <c r="Q58" s="347">
        <f ca="1">DSUM($B$43:$AA$46,Q$43,$C$53:$D58)</f>
        <v>51.270143405784083</v>
      </c>
      <c r="R58" s="347">
        <f ca="1">DSUM($B$43:$AA$46,R$43,$C$53:$D58)</f>
        <v>53.549049244429291</v>
      </c>
      <c r="S58" s="347">
        <f ca="1">DSUM($B$43:$AA$46,S$43,$C$53:$D58)</f>
        <v>55.638081327133634</v>
      </c>
      <c r="T58" s="347">
        <f ca="1">DSUM($B$43:$AA$46,T$43,$C$53:$D58)</f>
        <v>57.390939783071083</v>
      </c>
      <c r="U58" s="347">
        <f ca="1">DSUM($B$43:$AA$46,U$43,$C$53:$D58)</f>
        <v>59.277962728156815</v>
      </c>
      <c r="V58" s="347">
        <f ca="1">DSUM($B$43:$AA$46,V$43,$C$53:$D58)</f>
        <v>61.361418148435924</v>
      </c>
      <c r="W58" s="347">
        <f ca="1">DSUM($B$43:$AA$46,W$43,$C$53:$D58)</f>
        <v>63.667809559820718</v>
      </c>
      <c r="X58" s="347">
        <f ca="1">DSUM($B$43:$AA$46,X$43,$C$53:$D58)</f>
        <v>66.025248425198669</v>
      </c>
      <c r="Y58" s="404">
        <f ca="1">DSUM($B$43:$Z$46,Y$43,$C$53:$D58)</f>
        <v>261.31837015129264</v>
      </c>
    </row>
    <row r="59" spans="1:25">
      <c r="B59" s="23" t="s">
        <v>642</v>
      </c>
      <c r="C59" s="403" t="s">
        <v>692</v>
      </c>
      <c r="D59" s="403" t="s">
        <v>693</v>
      </c>
      <c r="E59" s="347">
        <f ca="1">DSUM($B$43:$AA$46,E$43,$C$53:$D59)</f>
        <v>1.6831957315839687</v>
      </c>
      <c r="F59" s="347">
        <f ca="1">DSUM($B$43:$AA$46,F$43,$C$53:$D59)</f>
        <v>3.9768636662838421</v>
      </c>
      <c r="G59" s="347">
        <f ca="1">DSUM($B$43:$AA$46,G$43,$C$53:$D59)</f>
        <v>6.9347675862674567</v>
      </c>
      <c r="H59" s="347">
        <f ca="1">DSUM($B$43:$AA$46,H$43,$C$53:$D59)</f>
        <v>10.133421381261021</v>
      </c>
      <c r="I59" s="347">
        <f ca="1">DSUM($B$43:$AA$46,I$43,$C$53:$D59)</f>
        <v>13.94825943179718</v>
      </c>
      <c r="J59" s="347">
        <f ca="1">DSUM($B$43:$AA$46,J$43,$C$53:$D59)</f>
        <v>18.687550470892312</v>
      </c>
      <c r="K59" s="347">
        <f ca="1">DSUM($B$43:$AA$46,K$43,$C$53:$D59)</f>
        <v>24.295991080106194</v>
      </c>
      <c r="L59" s="347">
        <f ca="1">DSUM($B$43:$AA$46,L$43,$C$53:$D59)</f>
        <v>29.73518575313528</v>
      </c>
      <c r="M59" s="347">
        <f ca="1">DSUM($B$43:$AA$46,M$43,$C$53:$D59)</f>
        <v>35.241014032816615</v>
      </c>
      <c r="N59" s="347">
        <f ca="1">DSUM($B$43:$AA$46,N$43,$C$53:$D59)</f>
        <v>40.475790338397665</v>
      </c>
      <c r="O59" s="347">
        <f ca="1">DSUM($B$43:$AA$46,O$43,$C$53:$D59)</f>
        <v>45.167496256788809</v>
      </c>
      <c r="P59" s="347">
        <f ca="1">DSUM($B$43:$AA$46,P$43,$C$53:$D59)</f>
        <v>48.549379095738082</v>
      </c>
      <c r="Q59" s="347">
        <f ca="1">DSUM($B$43:$AA$46,Q$43,$C$53:$D59)</f>
        <v>51.270143405784083</v>
      </c>
      <c r="R59" s="347">
        <f ca="1">DSUM($B$43:$AA$46,R$43,$C$53:$D59)</f>
        <v>53.549049244429291</v>
      </c>
      <c r="S59" s="347">
        <f ca="1">DSUM($B$43:$AA$46,S$43,$C$53:$D59)</f>
        <v>55.638081327133634</v>
      </c>
      <c r="T59" s="347">
        <f ca="1">DSUM($B$43:$AA$46,T$43,$C$53:$D59)</f>
        <v>57.390939783071083</v>
      </c>
      <c r="U59" s="347">
        <f ca="1">DSUM($B$43:$AA$46,U$43,$C$53:$D59)</f>
        <v>59.277962728156815</v>
      </c>
      <c r="V59" s="347">
        <f ca="1">DSUM($B$43:$AA$46,V$43,$C$53:$D59)</f>
        <v>61.361418148435924</v>
      </c>
      <c r="W59" s="347">
        <f ca="1">DSUM($B$43:$AA$46,W$43,$C$53:$D59)</f>
        <v>63.667809559820718</v>
      </c>
      <c r="X59" s="347">
        <f ca="1">DSUM($B$43:$AA$46,X$43,$C$53:$D59)</f>
        <v>66.025248425198669</v>
      </c>
      <c r="Y59" s="404">
        <f ca="1">DSUM($B$43:$Z$46,Y$43,$C$53:$D59)</f>
        <v>261.31837015129264</v>
      </c>
    </row>
    <row r="60" spans="1:25">
      <c r="B60" s="23" t="s">
        <v>643</v>
      </c>
      <c r="C60" s="403" t="s">
        <v>694</v>
      </c>
      <c r="D60" s="403" t="s">
        <v>695</v>
      </c>
      <c r="E60" s="347">
        <f ca="1">DSUM($B$43:$AA$46,E$43,$C$53:$D60)</f>
        <v>1.6831957315839687</v>
      </c>
      <c r="F60" s="347">
        <f ca="1">DSUM($B$43:$AA$46,F$43,$C$53:$D60)</f>
        <v>3.9768636662838421</v>
      </c>
      <c r="G60" s="347">
        <f ca="1">DSUM($B$43:$AA$46,G$43,$C$53:$D60)</f>
        <v>6.9347675862674567</v>
      </c>
      <c r="H60" s="347">
        <f ca="1">DSUM($B$43:$AA$46,H$43,$C$53:$D60)</f>
        <v>10.133421381261021</v>
      </c>
      <c r="I60" s="347">
        <f ca="1">DSUM($B$43:$AA$46,I$43,$C$53:$D60)</f>
        <v>13.94825943179718</v>
      </c>
      <c r="J60" s="347">
        <f ca="1">DSUM($B$43:$AA$46,J$43,$C$53:$D60)</f>
        <v>18.687550470892312</v>
      </c>
      <c r="K60" s="347">
        <f ca="1">DSUM($B$43:$AA$46,K$43,$C$53:$D60)</f>
        <v>24.295991080106194</v>
      </c>
      <c r="L60" s="347">
        <f ca="1">DSUM($B$43:$AA$46,L$43,$C$53:$D60)</f>
        <v>29.73518575313528</v>
      </c>
      <c r="M60" s="347">
        <f ca="1">DSUM($B$43:$AA$46,M$43,$C$53:$D60)</f>
        <v>35.241014032816615</v>
      </c>
      <c r="N60" s="347">
        <f ca="1">DSUM($B$43:$AA$46,N$43,$C$53:$D60)</f>
        <v>40.475790338397665</v>
      </c>
      <c r="O60" s="347">
        <f ca="1">DSUM($B$43:$AA$46,O$43,$C$53:$D60)</f>
        <v>45.167496256788809</v>
      </c>
      <c r="P60" s="347">
        <f ca="1">DSUM($B$43:$AA$46,P$43,$C$53:$D60)</f>
        <v>48.549379095738082</v>
      </c>
      <c r="Q60" s="347">
        <f ca="1">DSUM($B$43:$AA$46,Q$43,$C$53:$D60)</f>
        <v>51.270143405784083</v>
      </c>
      <c r="R60" s="347">
        <f ca="1">DSUM($B$43:$AA$46,R$43,$C$53:$D60)</f>
        <v>53.549049244429291</v>
      </c>
      <c r="S60" s="347">
        <f ca="1">DSUM($B$43:$AA$46,S$43,$C$53:$D60)</f>
        <v>55.638081327133634</v>
      </c>
      <c r="T60" s="347">
        <f ca="1">DSUM($B$43:$AA$46,T$43,$C$53:$D60)</f>
        <v>57.390939783071083</v>
      </c>
      <c r="U60" s="347">
        <f ca="1">DSUM($B$43:$AA$46,U$43,$C$53:$D60)</f>
        <v>59.277962728156815</v>
      </c>
      <c r="V60" s="347">
        <f ca="1">DSUM($B$43:$AA$46,V$43,$C$53:$D60)</f>
        <v>61.361418148435924</v>
      </c>
      <c r="W60" s="347">
        <f ca="1">DSUM($B$43:$AA$46,W$43,$C$53:$D60)</f>
        <v>63.667809559820718</v>
      </c>
      <c r="X60" s="347">
        <f ca="1">DSUM($B$43:$AA$46,X$43,$C$53:$D60)</f>
        <v>66.025248425198669</v>
      </c>
      <c r="Y60" s="404">
        <f ca="1">DSUM($B$43:$Z$46,Y$43,$C$53:$D60)</f>
        <v>261.31837015129264</v>
      </c>
    </row>
    <row r="61" spans="1:25">
      <c r="B61" s="23" t="s">
        <v>644</v>
      </c>
      <c r="C61" s="403" t="s">
        <v>696</v>
      </c>
      <c r="D61" s="403" t="s">
        <v>697</v>
      </c>
      <c r="E61" s="347">
        <f ca="1">DSUM($B$43:$AA$46,E$43,$C$53:$D61)</f>
        <v>1.6831957315839687</v>
      </c>
      <c r="F61" s="347">
        <f ca="1">DSUM($B$43:$AA$46,F$43,$C$53:$D61)</f>
        <v>3.9768636662838421</v>
      </c>
      <c r="G61" s="347">
        <f ca="1">DSUM($B$43:$AA$46,G$43,$C$53:$D61)</f>
        <v>6.9347675862674567</v>
      </c>
      <c r="H61" s="347">
        <f ca="1">DSUM($B$43:$AA$46,H$43,$C$53:$D61)</f>
        <v>10.133421381261021</v>
      </c>
      <c r="I61" s="347">
        <f ca="1">DSUM($B$43:$AA$46,I$43,$C$53:$D61)</f>
        <v>13.94825943179718</v>
      </c>
      <c r="J61" s="347">
        <f ca="1">DSUM($B$43:$AA$46,J$43,$C$53:$D61)</f>
        <v>18.687550470892312</v>
      </c>
      <c r="K61" s="347">
        <f ca="1">DSUM($B$43:$AA$46,K$43,$C$53:$D61)</f>
        <v>24.295991080106194</v>
      </c>
      <c r="L61" s="347">
        <f ca="1">DSUM($B$43:$AA$46,L$43,$C$53:$D61)</f>
        <v>29.73518575313528</v>
      </c>
      <c r="M61" s="347">
        <f ca="1">DSUM($B$43:$AA$46,M$43,$C$53:$D61)</f>
        <v>35.241014032816615</v>
      </c>
      <c r="N61" s="347">
        <f ca="1">DSUM($B$43:$AA$46,N$43,$C$53:$D61)</f>
        <v>40.475790338397665</v>
      </c>
      <c r="O61" s="347">
        <f ca="1">DSUM($B$43:$AA$46,O$43,$C$53:$D61)</f>
        <v>45.167496256788809</v>
      </c>
      <c r="P61" s="347">
        <f ca="1">DSUM($B$43:$AA$46,P$43,$C$53:$D61)</f>
        <v>48.549379095738082</v>
      </c>
      <c r="Q61" s="347">
        <f ca="1">DSUM($B$43:$AA$46,Q$43,$C$53:$D61)</f>
        <v>51.270143405784083</v>
      </c>
      <c r="R61" s="347">
        <f ca="1">DSUM($B$43:$AA$46,R$43,$C$53:$D61)</f>
        <v>53.549049244429291</v>
      </c>
      <c r="S61" s="347">
        <f ca="1">DSUM($B$43:$AA$46,S$43,$C$53:$D61)</f>
        <v>55.638081327133634</v>
      </c>
      <c r="T61" s="347">
        <f ca="1">DSUM($B$43:$AA$46,T$43,$C$53:$D61)</f>
        <v>57.390939783071083</v>
      </c>
      <c r="U61" s="347">
        <f ca="1">DSUM($B$43:$AA$46,U$43,$C$53:$D61)</f>
        <v>59.277962728156815</v>
      </c>
      <c r="V61" s="347">
        <f ca="1">DSUM($B$43:$AA$46,V$43,$C$53:$D61)</f>
        <v>61.361418148435924</v>
      </c>
      <c r="W61" s="347">
        <f ca="1">DSUM($B$43:$AA$46,W$43,$C$53:$D61)</f>
        <v>63.667809559820718</v>
      </c>
      <c r="X61" s="347">
        <f ca="1">DSUM($B$43:$AA$46,X$43,$C$53:$D61)</f>
        <v>66.025248425198669</v>
      </c>
      <c r="Y61" s="404">
        <f ca="1">DSUM($B$43:$Z$46,Y$43,$C$53:$D61)</f>
        <v>261.31837015129264</v>
      </c>
    </row>
    <row r="62" spans="1:25">
      <c r="B62" s="23" t="s">
        <v>645</v>
      </c>
      <c r="C62" s="403" t="s">
        <v>698</v>
      </c>
      <c r="D62" s="403" t="s">
        <v>699</v>
      </c>
      <c r="E62" s="347">
        <f ca="1">DSUM($B$43:$AA$46,E$43,$C$53:$D62)</f>
        <v>1.6831957315839687</v>
      </c>
      <c r="F62" s="347">
        <f ca="1">DSUM($B$43:$AA$46,F$43,$C$53:$D62)</f>
        <v>3.9768636662838421</v>
      </c>
      <c r="G62" s="347">
        <f ca="1">DSUM($B$43:$AA$46,G$43,$C$53:$D62)</f>
        <v>6.9347675862674567</v>
      </c>
      <c r="H62" s="347">
        <f ca="1">DSUM($B$43:$AA$46,H$43,$C$53:$D62)</f>
        <v>10.133421381261021</v>
      </c>
      <c r="I62" s="347">
        <f ca="1">DSUM($B$43:$AA$46,I$43,$C$53:$D62)</f>
        <v>13.94825943179718</v>
      </c>
      <c r="J62" s="347">
        <f ca="1">DSUM($B$43:$AA$46,J$43,$C$53:$D62)</f>
        <v>18.687550470892312</v>
      </c>
      <c r="K62" s="347">
        <f ca="1">DSUM($B$43:$AA$46,K$43,$C$53:$D62)</f>
        <v>24.295991080106194</v>
      </c>
      <c r="L62" s="347">
        <f ca="1">DSUM($B$43:$AA$46,L$43,$C$53:$D62)</f>
        <v>29.73518575313528</v>
      </c>
      <c r="M62" s="347">
        <f ca="1">DSUM($B$43:$AA$46,M$43,$C$53:$D62)</f>
        <v>35.241014032816615</v>
      </c>
      <c r="N62" s="347">
        <f ca="1">DSUM($B$43:$AA$46,N$43,$C$53:$D62)</f>
        <v>40.475790338397665</v>
      </c>
      <c r="O62" s="347">
        <f ca="1">DSUM($B$43:$AA$46,O$43,$C$53:$D62)</f>
        <v>45.167496256788809</v>
      </c>
      <c r="P62" s="347">
        <f ca="1">DSUM($B$43:$AA$46,P$43,$C$53:$D62)</f>
        <v>48.549379095738082</v>
      </c>
      <c r="Q62" s="347">
        <f ca="1">DSUM($B$43:$AA$46,Q$43,$C$53:$D62)</f>
        <v>51.270143405784083</v>
      </c>
      <c r="R62" s="347">
        <f ca="1">DSUM($B$43:$AA$46,R$43,$C$53:$D62)</f>
        <v>53.549049244429291</v>
      </c>
      <c r="S62" s="347">
        <f ca="1">DSUM($B$43:$AA$46,S$43,$C$53:$D62)</f>
        <v>55.638081327133634</v>
      </c>
      <c r="T62" s="347">
        <f ca="1">DSUM($B$43:$AA$46,T$43,$C$53:$D62)</f>
        <v>57.390939783071083</v>
      </c>
      <c r="U62" s="347">
        <f ca="1">DSUM($B$43:$AA$46,U$43,$C$53:$D62)</f>
        <v>59.277962728156815</v>
      </c>
      <c r="V62" s="347">
        <f ca="1">DSUM($B$43:$AA$46,V$43,$C$53:$D62)</f>
        <v>61.361418148435924</v>
      </c>
      <c r="W62" s="347">
        <f ca="1">DSUM($B$43:$AA$46,W$43,$C$53:$D62)</f>
        <v>63.667809559820718</v>
      </c>
      <c r="X62" s="347">
        <f ca="1">DSUM($B$43:$AA$46,X$43,$C$53:$D62)</f>
        <v>66.025248425198669</v>
      </c>
      <c r="Y62" s="404">
        <f ca="1">DSUM($B$43:$Z$46,Y$43,$C$53:$D62)</f>
        <v>261.31837015129264</v>
      </c>
    </row>
    <row r="63" spans="1:25">
      <c r="B63" s="23" t="s">
        <v>646</v>
      </c>
      <c r="C63" s="403" t="s">
        <v>700</v>
      </c>
      <c r="D63" s="403" t="s">
        <v>701</v>
      </c>
      <c r="E63" s="347">
        <f ca="1">DSUM($B$43:$AA$46,E$43,$C$53:$D63)</f>
        <v>1.6831957315839687</v>
      </c>
      <c r="F63" s="347">
        <f ca="1">DSUM($B$43:$AA$46,F$43,$C$53:$D63)</f>
        <v>3.9768636662838421</v>
      </c>
      <c r="G63" s="347">
        <f ca="1">DSUM($B$43:$AA$46,G$43,$C$53:$D63)</f>
        <v>6.9347675862674567</v>
      </c>
      <c r="H63" s="347">
        <f ca="1">DSUM($B$43:$AA$46,H$43,$C$53:$D63)</f>
        <v>10.133421381261021</v>
      </c>
      <c r="I63" s="347">
        <f ca="1">DSUM($B$43:$AA$46,I$43,$C$53:$D63)</f>
        <v>13.94825943179718</v>
      </c>
      <c r="J63" s="347">
        <f ca="1">DSUM($B$43:$AA$46,J$43,$C$53:$D63)</f>
        <v>18.687550470892312</v>
      </c>
      <c r="K63" s="347">
        <f ca="1">DSUM($B$43:$AA$46,K$43,$C$53:$D63)</f>
        <v>24.295991080106194</v>
      </c>
      <c r="L63" s="347">
        <f ca="1">DSUM($B$43:$AA$46,L$43,$C$53:$D63)</f>
        <v>29.73518575313528</v>
      </c>
      <c r="M63" s="347">
        <f ca="1">DSUM($B$43:$AA$46,M$43,$C$53:$D63)</f>
        <v>35.241014032816615</v>
      </c>
      <c r="N63" s="347">
        <f ca="1">DSUM($B$43:$AA$46,N$43,$C$53:$D63)</f>
        <v>40.475790338397665</v>
      </c>
      <c r="O63" s="347">
        <f ca="1">DSUM($B$43:$AA$46,O$43,$C$53:$D63)</f>
        <v>45.167496256788809</v>
      </c>
      <c r="P63" s="347">
        <f ca="1">DSUM($B$43:$AA$46,P$43,$C$53:$D63)</f>
        <v>48.549379095738082</v>
      </c>
      <c r="Q63" s="347">
        <f ca="1">DSUM($B$43:$AA$46,Q$43,$C$53:$D63)</f>
        <v>51.270143405784083</v>
      </c>
      <c r="R63" s="347">
        <f ca="1">DSUM($B$43:$AA$46,R$43,$C$53:$D63)</f>
        <v>53.549049244429291</v>
      </c>
      <c r="S63" s="347">
        <f ca="1">DSUM($B$43:$AA$46,S$43,$C$53:$D63)</f>
        <v>55.638081327133634</v>
      </c>
      <c r="T63" s="347">
        <f ca="1">DSUM($B$43:$AA$46,T$43,$C$53:$D63)</f>
        <v>57.390939783071083</v>
      </c>
      <c r="U63" s="347">
        <f ca="1">DSUM($B$43:$AA$46,U$43,$C$53:$D63)</f>
        <v>59.277962728156815</v>
      </c>
      <c r="V63" s="347">
        <f ca="1">DSUM($B$43:$AA$46,V$43,$C$53:$D63)</f>
        <v>61.361418148435924</v>
      </c>
      <c r="W63" s="347">
        <f ca="1">DSUM($B$43:$AA$46,W$43,$C$53:$D63)</f>
        <v>63.667809559820718</v>
      </c>
      <c r="X63" s="347">
        <f ca="1">DSUM($B$43:$AA$46,X$43,$C$53:$D63)</f>
        <v>66.025248425198669</v>
      </c>
      <c r="Y63" s="404">
        <f ca="1">DSUM($B$43:$Z$46,Y$43,$C$53:$D63)</f>
        <v>261.31837015129264</v>
      </c>
    </row>
    <row r="64" spans="1:25">
      <c r="B64" s="23" t="s">
        <v>647</v>
      </c>
      <c r="C64" s="403" t="s">
        <v>702</v>
      </c>
      <c r="D64" s="403" t="s">
        <v>703</v>
      </c>
      <c r="E64" s="347">
        <f ca="1">DSUM($B$43:$AA$46,E$43,$C$53:$D64)</f>
        <v>1.6831957315839687</v>
      </c>
      <c r="F64" s="347">
        <f ca="1">DSUM($B$43:$AA$46,F$43,$C$53:$D64)</f>
        <v>3.9768636662838421</v>
      </c>
      <c r="G64" s="347">
        <f ca="1">DSUM($B$43:$AA$46,G$43,$C$53:$D64)</f>
        <v>6.9347675862674567</v>
      </c>
      <c r="H64" s="347">
        <f ca="1">DSUM($B$43:$AA$46,H$43,$C$53:$D64)</f>
        <v>10.133421381261021</v>
      </c>
      <c r="I64" s="347">
        <f ca="1">DSUM($B$43:$AA$46,I$43,$C$53:$D64)</f>
        <v>13.94825943179718</v>
      </c>
      <c r="J64" s="347">
        <f ca="1">DSUM($B$43:$AA$46,J$43,$C$53:$D64)</f>
        <v>18.687550470892312</v>
      </c>
      <c r="K64" s="347">
        <f ca="1">DSUM($B$43:$AA$46,K$43,$C$53:$D64)</f>
        <v>24.295991080106194</v>
      </c>
      <c r="L64" s="347">
        <f ca="1">DSUM($B$43:$AA$46,L$43,$C$53:$D64)</f>
        <v>29.73518575313528</v>
      </c>
      <c r="M64" s="347">
        <f ca="1">DSUM($B$43:$AA$46,M$43,$C$53:$D64)</f>
        <v>35.241014032816615</v>
      </c>
      <c r="N64" s="347">
        <f ca="1">DSUM($B$43:$AA$46,N$43,$C$53:$D64)</f>
        <v>40.475790338397665</v>
      </c>
      <c r="O64" s="347">
        <f ca="1">DSUM($B$43:$AA$46,O$43,$C$53:$D64)</f>
        <v>45.167496256788809</v>
      </c>
      <c r="P64" s="347">
        <f ca="1">DSUM($B$43:$AA$46,P$43,$C$53:$D64)</f>
        <v>48.549379095738082</v>
      </c>
      <c r="Q64" s="347">
        <f ca="1">DSUM($B$43:$AA$46,Q$43,$C$53:$D64)</f>
        <v>51.270143405784083</v>
      </c>
      <c r="R64" s="347">
        <f ca="1">DSUM($B$43:$AA$46,R$43,$C$53:$D64)</f>
        <v>53.549049244429291</v>
      </c>
      <c r="S64" s="347">
        <f ca="1">DSUM($B$43:$AA$46,S$43,$C$53:$D64)</f>
        <v>55.638081327133634</v>
      </c>
      <c r="T64" s="347">
        <f ca="1">DSUM($B$43:$AA$46,T$43,$C$53:$D64)</f>
        <v>57.390939783071083</v>
      </c>
      <c r="U64" s="347">
        <f ca="1">DSUM($B$43:$AA$46,U$43,$C$53:$D64)</f>
        <v>59.277962728156815</v>
      </c>
      <c r="V64" s="347">
        <f ca="1">DSUM($B$43:$AA$46,V$43,$C$53:$D64)</f>
        <v>61.361418148435924</v>
      </c>
      <c r="W64" s="347">
        <f ca="1">DSUM($B$43:$AA$46,W$43,$C$53:$D64)</f>
        <v>63.667809559820718</v>
      </c>
      <c r="X64" s="347">
        <f ca="1">DSUM($B$43:$AA$46,X$43,$C$53:$D64)</f>
        <v>66.025248425198669</v>
      </c>
      <c r="Y64" s="404">
        <f ca="1">DSUM($B$43:$Z$46,Y$43,$C$53:$D64)</f>
        <v>261.31837015129264</v>
      </c>
    </row>
    <row r="65" spans="2:25">
      <c r="B65" s="23" t="s">
        <v>648</v>
      </c>
      <c r="C65" s="403" t="s">
        <v>704</v>
      </c>
      <c r="D65" s="403" t="s">
        <v>705</v>
      </c>
      <c r="E65" s="347">
        <f ca="1">DSUM($B$43:$AA$46,E$43,$C$53:$D65)</f>
        <v>1.6831957315839687</v>
      </c>
      <c r="F65" s="347">
        <f ca="1">DSUM($B$43:$AA$46,F$43,$C$53:$D65)</f>
        <v>3.9768636662838421</v>
      </c>
      <c r="G65" s="347">
        <f ca="1">DSUM($B$43:$AA$46,G$43,$C$53:$D65)</f>
        <v>6.9347675862674567</v>
      </c>
      <c r="H65" s="347">
        <f ca="1">DSUM($B$43:$AA$46,H$43,$C$53:$D65)</f>
        <v>10.133421381261021</v>
      </c>
      <c r="I65" s="347">
        <f ca="1">DSUM($B$43:$AA$46,I$43,$C$53:$D65)</f>
        <v>13.94825943179718</v>
      </c>
      <c r="J65" s="347">
        <f ca="1">DSUM($B$43:$AA$46,J$43,$C$53:$D65)</f>
        <v>18.687550470892312</v>
      </c>
      <c r="K65" s="347">
        <f ca="1">DSUM($B$43:$AA$46,K$43,$C$53:$D65)</f>
        <v>24.295991080106194</v>
      </c>
      <c r="L65" s="347">
        <f ca="1">DSUM($B$43:$AA$46,L$43,$C$53:$D65)</f>
        <v>29.73518575313528</v>
      </c>
      <c r="M65" s="347">
        <f ca="1">DSUM($B$43:$AA$46,M$43,$C$53:$D65)</f>
        <v>35.241014032816615</v>
      </c>
      <c r="N65" s="347">
        <f ca="1">DSUM($B$43:$AA$46,N$43,$C$53:$D65)</f>
        <v>40.475790338397665</v>
      </c>
      <c r="O65" s="347">
        <f ca="1">DSUM($B$43:$AA$46,O$43,$C$53:$D65)</f>
        <v>45.167496256788809</v>
      </c>
      <c r="P65" s="347">
        <f ca="1">DSUM($B$43:$AA$46,P$43,$C$53:$D65)</f>
        <v>48.549379095738082</v>
      </c>
      <c r="Q65" s="347">
        <f ca="1">DSUM($B$43:$AA$46,Q$43,$C$53:$D65)</f>
        <v>51.270143405784083</v>
      </c>
      <c r="R65" s="347">
        <f ca="1">DSUM($B$43:$AA$46,R$43,$C$53:$D65)</f>
        <v>53.549049244429291</v>
      </c>
      <c r="S65" s="347">
        <f ca="1">DSUM($B$43:$AA$46,S$43,$C$53:$D65)</f>
        <v>55.638081327133634</v>
      </c>
      <c r="T65" s="347">
        <f ca="1">DSUM($B$43:$AA$46,T$43,$C$53:$D65)</f>
        <v>57.390939783071083</v>
      </c>
      <c r="U65" s="347">
        <f ca="1">DSUM($B$43:$AA$46,U$43,$C$53:$D65)</f>
        <v>59.277962728156815</v>
      </c>
      <c r="V65" s="347">
        <f ca="1">DSUM($B$43:$AA$46,V$43,$C$53:$D65)</f>
        <v>61.361418148435924</v>
      </c>
      <c r="W65" s="347">
        <f ca="1">DSUM($B$43:$AA$46,W$43,$C$53:$D65)</f>
        <v>63.667809559820718</v>
      </c>
      <c r="X65" s="347">
        <f ca="1">DSUM($B$43:$AA$46,X$43,$C$53:$D65)</f>
        <v>66.025248425198669</v>
      </c>
      <c r="Y65" s="404">
        <f ca="1">DSUM($B$43:$Z$46,Y$43,$C$53:$D65)</f>
        <v>261.31837015129264</v>
      </c>
    </row>
    <row r="66" spans="2:25">
      <c r="B66" s="23" t="s">
        <v>649</v>
      </c>
      <c r="C66" s="403" t="s">
        <v>706</v>
      </c>
      <c r="D66" s="403" t="s">
        <v>707</v>
      </c>
      <c r="E66" s="347">
        <f ca="1">DSUM($B$43:$AA$46,E$43,$C$53:$D66)</f>
        <v>1.6831957315839687</v>
      </c>
      <c r="F66" s="347">
        <f ca="1">DSUM($B$43:$AA$46,F$43,$C$53:$D66)</f>
        <v>3.9768636662838421</v>
      </c>
      <c r="G66" s="347">
        <f ca="1">DSUM($B$43:$AA$46,G$43,$C$53:$D66)</f>
        <v>6.9347675862674567</v>
      </c>
      <c r="H66" s="347">
        <f ca="1">DSUM($B$43:$AA$46,H$43,$C$53:$D66)</f>
        <v>10.133421381261021</v>
      </c>
      <c r="I66" s="347">
        <f ca="1">DSUM($B$43:$AA$46,I$43,$C$53:$D66)</f>
        <v>13.94825943179718</v>
      </c>
      <c r="J66" s="347">
        <f ca="1">DSUM($B$43:$AA$46,J$43,$C$53:$D66)</f>
        <v>18.687550470892312</v>
      </c>
      <c r="K66" s="347">
        <f ca="1">DSUM($B$43:$AA$46,K$43,$C$53:$D66)</f>
        <v>24.295991080106194</v>
      </c>
      <c r="L66" s="347">
        <f ca="1">DSUM($B$43:$AA$46,L$43,$C$53:$D66)</f>
        <v>29.73518575313528</v>
      </c>
      <c r="M66" s="347">
        <f ca="1">DSUM($B$43:$AA$46,M$43,$C$53:$D66)</f>
        <v>35.241014032816615</v>
      </c>
      <c r="N66" s="347">
        <f ca="1">DSUM($B$43:$AA$46,N$43,$C$53:$D66)</f>
        <v>40.475790338397665</v>
      </c>
      <c r="O66" s="347">
        <f ca="1">DSUM($B$43:$AA$46,O$43,$C$53:$D66)</f>
        <v>45.167496256788809</v>
      </c>
      <c r="P66" s="347">
        <f ca="1">DSUM($B$43:$AA$46,P$43,$C$53:$D66)</f>
        <v>48.549379095738082</v>
      </c>
      <c r="Q66" s="347">
        <f ca="1">DSUM($B$43:$AA$46,Q$43,$C$53:$D66)</f>
        <v>51.270143405784083</v>
      </c>
      <c r="R66" s="347">
        <f ca="1">DSUM($B$43:$AA$46,R$43,$C$53:$D66)</f>
        <v>53.549049244429291</v>
      </c>
      <c r="S66" s="347">
        <f ca="1">DSUM($B$43:$AA$46,S$43,$C$53:$D66)</f>
        <v>55.638081327133634</v>
      </c>
      <c r="T66" s="347">
        <f ca="1">DSUM($B$43:$AA$46,T$43,$C$53:$D66)</f>
        <v>57.390939783071083</v>
      </c>
      <c r="U66" s="347">
        <f ca="1">DSUM($B$43:$AA$46,U$43,$C$53:$D66)</f>
        <v>59.277962728156815</v>
      </c>
      <c r="V66" s="347">
        <f ca="1">DSUM($B$43:$AA$46,V$43,$C$53:$D66)</f>
        <v>61.361418148435924</v>
      </c>
      <c r="W66" s="347">
        <f ca="1">DSUM($B$43:$AA$46,W$43,$C$53:$D66)</f>
        <v>63.667809559820718</v>
      </c>
      <c r="X66" s="347">
        <f ca="1">DSUM($B$43:$AA$46,X$43,$C$53:$D66)</f>
        <v>66.025248425198669</v>
      </c>
      <c r="Y66" s="404">
        <f ca="1">DSUM($B$43:$Z$46,Y$43,$C$53:$D66)</f>
        <v>261.31837015129264</v>
      </c>
    </row>
    <row r="67" spans="2:25">
      <c r="B67" s="23" t="s">
        <v>650</v>
      </c>
      <c r="C67" s="403" t="s">
        <v>708</v>
      </c>
      <c r="D67" s="403" t="s">
        <v>709</v>
      </c>
      <c r="E67" s="347">
        <f ca="1">DSUM($B$43:$AA$46,E$43,$C$53:$D67)</f>
        <v>1.6831957315839687</v>
      </c>
      <c r="F67" s="347">
        <f ca="1">DSUM($B$43:$AA$46,F$43,$C$53:$D67)</f>
        <v>3.9768636662838421</v>
      </c>
      <c r="G67" s="347">
        <f ca="1">DSUM($B$43:$AA$46,G$43,$C$53:$D67)</f>
        <v>6.9347675862674567</v>
      </c>
      <c r="H67" s="347">
        <f ca="1">DSUM($B$43:$AA$46,H$43,$C$53:$D67)</f>
        <v>10.133421381261021</v>
      </c>
      <c r="I67" s="347">
        <f ca="1">DSUM($B$43:$AA$46,I$43,$C$53:$D67)</f>
        <v>13.94825943179718</v>
      </c>
      <c r="J67" s="347">
        <f ca="1">DSUM($B$43:$AA$46,J$43,$C$53:$D67)</f>
        <v>18.687550470892312</v>
      </c>
      <c r="K67" s="347">
        <f ca="1">DSUM($B$43:$AA$46,K$43,$C$53:$D67)</f>
        <v>24.295991080106194</v>
      </c>
      <c r="L67" s="347">
        <f ca="1">DSUM($B$43:$AA$46,L$43,$C$53:$D67)</f>
        <v>29.73518575313528</v>
      </c>
      <c r="M67" s="347">
        <f ca="1">DSUM($B$43:$AA$46,M$43,$C$53:$D67)</f>
        <v>35.241014032816615</v>
      </c>
      <c r="N67" s="347">
        <f ca="1">DSUM($B$43:$AA$46,N$43,$C$53:$D67)</f>
        <v>40.475790338397665</v>
      </c>
      <c r="O67" s="347">
        <f ca="1">DSUM($B$43:$AA$46,O$43,$C$53:$D67)</f>
        <v>45.167496256788809</v>
      </c>
      <c r="P67" s="347">
        <f ca="1">DSUM($B$43:$AA$46,P$43,$C$53:$D67)</f>
        <v>48.549379095738082</v>
      </c>
      <c r="Q67" s="347">
        <f ca="1">DSUM($B$43:$AA$46,Q$43,$C$53:$D67)</f>
        <v>51.270143405784083</v>
      </c>
      <c r="R67" s="347">
        <f ca="1">DSUM($B$43:$AA$46,R$43,$C$53:$D67)</f>
        <v>53.549049244429291</v>
      </c>
      <c r="S67" s="347">
        <f ca="1">DSUM($B$43:$AA$46,S$43,$C$53:$D67)</f>
        <v>55.638081327133634</v>
      </c>
      <c r="T67" s="347">
        <f ca="1">DSUM($B$43:$AA$46,T$43,$C$53:$D67)</f>
        <v>57.390939783071083</v>
      </c>
      <c r="U67" s="347">
        <f ca="1">DSUM($B$43:$AA$46,U$43,$C$53:$D67)</f>
        <v>59.277962728156815</v>
      </c>
      <c r="V67" s="347">
        <f ca="1">DSUM($B$43:$AA$46,V$43,$C$53:$D67)</f>
        <v>61.361418148435924</v>
      </c>
      <c r="W67" s="347">
        <f ca="1">DSUM($B$43:$AA$46,W$43,$C$53:$D67)</f>
        <v>63.667809559820718</v>
      </c>
      <c r="X67" s="347">
        <f ca="1">DSUM($B$43:$AA$46,X$43,$C$53:$D67)</f>
        <v>66.025248425198669</v>
      </c>
      <c r="Y67" s="404">
        <f ca="1">DSUM($B$43:$Z$46,Y$43,$C$53:$D67)</f>
        <v>261.31837015129264</v>
      </c>
    </row>
    <row r="68" spans="2:25">
      <c r="B68" s="23" t="s">
        <v>651</v>
      </c>
      <c r="C68" s="403" t="s">
        <v>710</v>
      </c>
      <c r="D68" s="403" t="s">
        <v>711</v>
      </c>
      <c r="E68" s="347">
        <f ca="1">DSUM($B$43:$AA$46,E$43,$C$53:$D68)</f>
        <v>1.6831957315839687</v>
      </c>
      <c r="F68" s="347">
        <f ca="1">DSUM($B$43:$AA$46,F$43,$C$53:$D68)</f>
        <v>3.9768636662838421</v>
      </c>
      <c r="G68" s="347">
        <f ca="1">DSUM($B$43:$AA$46,G$43,$C$53:$D68)</f>
        <v>6.9347675862674567</v>
      </c>
      <c r="H68" s="347">
        <f ca="1">DSUM($B$43:$AA$46,H$43,$C$53:$D68)</f>
        <v>10.133421381261021</v>
      </c>
      <c r="I68" s="347">
        <f ca="1">DSUM($B$43:$AA$46,I$43,$C$53:$D68)</f>
        <v>13.94825943179718</v>
      </c>
      <c r="J68" s="347">
        <f ca="1">DSUM($B$43:$AA$46,J$43,$C$53:$D68)</f>
        <v>18.687550470892312</v>
      </c>
      <c r="K68" s="347">
        <f ca="1">DSUM($B$43:$AA$46,K$43,$C$53:$D68)</f>
        <v>24.295991080106194</v>
      </c>
      <c r="L68" s="347">
        <f ca="1">DSUM($B$43:$AA$46,L$43,$C$53:$D68)</f>
        <v>29.73518575313528</v>
      </c>
      <c r="M68" s="347">
        <f ca="1">DSUM($B$43:$AA$46,M$43,$C$53:$D68)</f>
        <v>35.241014032816615</v>
      </c>
      <c r="N68" s="347">
        <f ca="1">DSUM($B$43:$AA$46,N$43,$C$53:$D68)</f>
        <v>40.475790338397665</v>
      </c>
      <c r="O68" s="347">
        <f ca="1">DSUM($B$43:$AA$46,O$43,$C$53:$D68)</f>
        <v>45.167496256788809</v>
      </c>
      <c r="P68" s="347">
        <f ca="1">DSUM($B$43:$AA$46,P$43,$C$53:$D68)</f>
        <v>48.549379095738082</v>
      </c>
      <c r="Q68" s="347">
        <f ca="1">DSUM($B$43:$AA$46,Q$43,$C$53:$D68)</f>
        <v>51.270143405784083</v>
      </c>
      <c r="R68" s="347">
        <f ca="1">DSUM($B$43:$AA$46,R$43,$C$53:$D68)</f>
        <v>53.549049244429291</v>
      </c>
      <c r="S68" s="347">
        <f ca="1">DSUM($B$43:$AA$46,S$43,$C$53:$D68)</f>
        <v>55.638081327133634</v>
      </c>
      <c r="T68" s="347">
        <f ca="1">DSUM($B$43:$AA$46,T$43,$C$53:$D68)</f>
        <v>57.390939783071083</v>
      </c>
      <c r="U68" s="347">
        <f ca="1">DSUM($B$43:$AA$46,U$43,$C$53:$D68)</f>
        <v>59.277962728156815</v>
      </c>
      <c r="V68" s="347">
        <f ca="1">DSUM($B$43:$AA$46,V$43,$C$53:$D68)</f>
        <v>61.361418148435924</v>
      </c>
      <c r="W68" s="347">
        <f ca="1">DSUM($B$43:$AA$46,W$43,$C$53:$D68)</f>
        <v>63.667809559820718</v>
      </c>
      <c r="X68" s="347">
        <f ca="1">DSUM($B$43:$AA$46,X$43,$C$53:$D68)</f>
        <v>66.025248425198669</v>
      </c>
      <c r="Y68" s="404">
        <f ca="1">DSUM($B$43:$Z$46,Y$43,$C$53:$D68)</f>
        <v>261.31837015129264</v>
      </c>
    </row>
    <row r="69" spans="2:25">
      <c r="B69" s="23" t="s">
        <v>652</v>
      </c>
      <c r="C69" s="403" t="s">
        <v>712</v>
      </c>
      <c r="D69" s="403" t="s">
        <v>713</v>
      </c>
      <c r="E69" s="347">
        <f ca="1">DSUM($B$43:$AA$46,E$43,$C$53:$D69)</f>
        <v>1.6831957315839687</v>
      </c>
      <c r="F69" s="347">
        <f ca="1">DSUM($B$43:$AA$46,F$43,$C$53:$D69)</f>
        <v>3.9768636662838421</v>
      </c>
      <c r="G69" s="347">
        <f ca="1">DSUM($B$43:$AA$46,G$43,$C$53:$D69)</f>
        <v>6.9347675862674567</v>
      </c>
      <c r="H69" s="347">
        <f ca="1">DSUM($B$43:$AA$46,H$43,$C$53:$D69)</f>
        <v>10.133421381261021</v>
      </c>
      <c r="I69" s="347">
        <f ca="1">DSUM($B$43:$AA$46,I$43,$C$53:$D69)</f>
        <v>13.94825943179718</v>
      </c>
      <c r="J69" s="347">
        <f ca="1">DSUM($B$43:$AA$46,J$43,$C$53:$D69)</f>
        <v>18.687550470892312</v>
      </c>
      <c r="K69" s="347">
        <f ca="1">DSUM($B$43:$AA$46,K$43,$C$53:$D69)</f>
        <v>24.295991080106194</v>
      </c>
      <c r="L69" s="347">
        <f ca="1">DSUM($B$43:$AA$46,L$43,$C$53:$D69)</f>
        <v>29.73518575313528</v>
      </c>
      <c r="M69" s="347">
        <f ca="1">DSUM($B$43:$AA$46,M$43,$C$53:$D69)</f>
        <v>35.241014032816615</v>
      </c>
      <c r="N69" s="347">
        <f ca="1">DSUM($B$43:$AA$46,N$43,$C$53:$D69)</f>
        <v>40.475790338397665</v>
      </c>
      <c r="O69" s="347">
        <f ca="1">DSUM($B$43:$AA$46,O$43,$C$53:$D69)</f>
        <v>45.167496256788809</v>
      </c>
      <c r="P69" s="347">
        <f ca="1">DSUM($B$43:$AA$46,P$43,$C$53:$D69)</f>
        <v>48.549379095738082</v>
      </c>
      <c r="Q69" s="347">
        <f ca="1">DSUM($B$43:$AA$46,Q$43,$C$53:$D69)</f>
        <v>51.270143405784083</v>
      </c>
      <c r="R69" s="347">
        <f ca="1">DSUM($B$43:$AA$46,R$43,$C$53:$D69)</f>
        <v>53.549049244429291</v>
      </c>
      <c r="S69" s="347">
        <f ca="1">DSUM($B$43:$AA$46,S$43,$C$53:$D69)</f>
        <v>55.638081327133634</v>
      </c>
      <c r="T69" s="347">
        <f ca="1">DSUM($B$43:$AA$46,T$43,$C$53:$D69)</f>
        <v>57.390939783071083</v>
      </c>
      <c r="U69" s="347">
        <f ca="1">DSUM($B$43:$AA$46,U$43,$C$53:$D69)</f>
        <v>59.277962728156815</v>
      </c>
      <c r="V69" s="347">
        <f ca="1">DSUM($B$43:$AA$46,V$43,$C$53:$D69)</f>
        <v>61.361418148435924</v>
      </c>
      <c r="W69" s="347">
        <f ca="1">DSUM($B$43:$AA$46,W$43,$C$53:$D69)</f>
        <v>63.667809559820718</v>
      </c>
      <c r="X69" s="347">
        <f ca="1">DSUM($B$43:$AA$46,X$43,$C$53:$D69)</f>
        <v>66.025248425198669</v>
      </c>
      <c r="Y69" s="404">
        <f ca="1">DSUM($B$43:$Z$46,Y$43,$C$53:$D69)</f>
        <v>261.31837015129264</v>
      </c>
    </row>
    <row r="70" spans="2:25">
      <c r="B70" s="23" t="s">
        <v>653</v>
      </c>
      <c r="C70" s="403" t="s">
        <v>714</v>
      </c>
      <c r="D70" s="403" t="s">
        <v>715</v>
      </c>
      <c r="E70" s="347">
        <f ca="1">DSUM($B$43:$AA$46,E$43,$C$53:$D70)</f>
        <v>1.6831957315839687</v>
      </c>
      <c r="F70" s="347">
        <f ca="1">DSUM($B$43:$AA$46,F$43,$C$53:$D70)</f>
        <v>3.9768636662838421</v>
      </c>
      <c r="G70" s="347">
        <f ca="1">DSUM($B$43:$AA$46,G$43,$C$53:$D70)</f>
        <v>6.9347675862674567</v>
      </c>
      <c r="H70" s="347">
        <f ca="1">DSUM($B$43:$AA$46,H$43,$C$53:$D70)</f>
        <v>10.133421381261021</v>
      </c>
      <c r="I70" s="347">
        <f ca="1">DSUM($B$43:$AA$46,I$43,$C$53:$D70)</f>
        <v>13.94825943179718</v>
      </c>
      <c r="J70" s="347">
        <f ca="1">DSUM($B$43:$AA$46,J$43,$C$53:$D70)</f>
        <v>18.687550470892312</v>
      </c>
      <c r="K70" s="347">
        <f ca="1">DSUM($B$43:$AA$46,K$43,$C$53:$D70)</f>
        <v>24.295991080106194</v>
      </c>
      <c r="L70" s="347">
        <f ca="1">DSUM($B$43:$AA$46,L$43,$C$53:$D70)</f>
        <v>29.73518575313528</v>
      </c>
      <c r="M70" s="347">
        <f ca="1">DSUM($B$43:$AA$46,M$43,$C$53:$D70)</f>
        <v>35.241014032816615</v>
      </c>
      <c r="N70" s="347">
        <f ca="1">DSUM($B$43:$AA$46,N$43,$C$53:$D70)</f>
        <v>40.475790338397665</v>
      </c>
      <c r="O70" s="347">
        <f ca="1">DSUM($B$43:$AA$46,O$43,$C$53:$D70)</f>
        <v>45.167496256788809</v>
      </c>
      <c r="P70" s="347">
        <f ca="1">DSUM($B$43:$AA$46,P$43,$C$53:$D70)</f>
        <v>48.549379095738082</v>
      </c>
      <c r="Q70" s="347">
        <f ca="1">DSUM($B$43:$AA$46,Q$43,$C$53:$D70)</f>
        <v>51.270143405784083</v>
      </c>
      <c r="R70" s="347">
        <f ca="1">DSUM($B$43:$AA$46,R$43,$C$53:$D70)</f>
        <v>53.549049244429291</v>
      </c>
      <c r="S70" s="347">
        <f ca="1">DSUM($B$43:$AA$46,S$43,$C$53:$D70)</f>
        <v>55.638081327133634</v>
      </c>
      <c r="T70" s="347">
        <f ca="1">DSUM($B$43:$AA$46,T$43,$C$53:$D70)</f>
        <v>57.390939783071083</v>
      </c>
      <c r="U70" s="347">
        <f ca="1">DSUM($B$43:$AA$46,U$43,$C$53:$D70)</f>
        <v>59.277962728156815</v>
      </c>
      <c r="V70" s="347">
        <f ca="1">DSUM($B$43:$AA$46,V$43,$C$53:$D70)</f>
        <v>61.361418148435924</v>
      </c>
      <c r="W70" s="347">
        <f ca="1">DSUM($B$43:$AA$46,W$43,$C$53:$D70)</f>
        <v>63.667809559820718</v>
      </c>
      <c r="X70" s="347">
        <f ca="1">DSUM($B$43:$AA$46,X$43,$C$53:$D70)</f>
        <v>66.025248425198669</v>
      </c>
      <c r="Y70" s="404">
        <f ca="1">DSUM($B$43:$Z$46,Y$43,$C$53:$D70)</f>
        <v>261.31837015129264</v>
      </c>
    </row>
    <row r="71" spans="2:25">
      <c r="B71" s="23" t="s">
        <v>654</v>
      </c>
      <c r="C71" s="403" t="s">
        <v>716</v>
      </c>
      <c r="D71" s="403" t="s">
        <v>717</v>
      </c>
      <c r="E71" s="347">
        <f ca="1">DSUM($B$43:$AA$46,E$43,$C$53:$D71)</f>
        <v>1.6831957315839687</v>
      </c>
      <c r="F71" s="347">
        <f ca="1">DSUM($B$43:$AA$46,F$43,$C$53:$D71)</f>
        <v>3.9768636662838421</v>
      </c>
      <c r="G71" s="347">
        <f ca="1">DSUM($B$43:$AA$46,G$43,$C$53:$D71)</f>
        <v>6.9347675862674567</v>
      </c>
      <c r="H71" s="347">
        <f ca="1">DSUM($B$43:$AA$46,H$43,$C$53:$D71)</f>
        <v>10.133421381261021</v>
      </c>
      <c r="I71" s="347">
        <f ca="1">DSUM($B$43:$AA$46,I$43,$C$53:$D71)</f>
        <v>13.94825943179718</v>
      </c>
      <c r="J71" s="347">
        <f ca="1">DSUM($B$43:$AA$46,J$43,$C$53:$D71)</f>
        <v>18.687550470892312</v>
      </c>
      <c r="K71" s="347">
        <f ca="1">DSUM($B$43:$AA$46,K$43,$C$53:$D71)</f>
        <v>24.295991080106194</v>
      </c>
      <c r="L71" s="347">
        <f ca="1">DSUM($B$43:$AA$46,L$43,$C$53:$D71)</f>
        <v>29.73518575313528</v>
      </c>
      <c r="M71" s="347">
        <f ca="1">DSUM($B$43:$AA$46,M$43,$C$53:$D71)</f>
        <v>35.241014032816615</v>
      </c>
      <c r="N71" s="347">
        <f ca="1">DSUM($B$43:$AA$46,N$43,$C$53:$D71)</f>
        <v>40.475790338397665</v>
      </c>
      <c r="O71" s="347">
        <f ca="1">DSUM($B$43:$AA$46,O$43,$C$53:$D71)</f>
        <v>45.167496256788809</v>
      </c>
      <c r="P71" s="347">
        <f ca="1">DSUM($B$43:$AA$46,P$43,$C$53:$D71)</f>
        <v>48.549379095738082</v>
      </c>
      <c r="Q71" s="347">
        <f ca="1">DSUM($B$43:$AA$46,Q$43,$C$53:$D71)</f>
        <v>51.270143405784083</v>
      </c>
      <c r="R71" s="347">
        <f ca="1">DSUM($B$43:$AA$46,R$43,$C$53:$D71)</f>
        <v>53.549049244429291</v>
      </c>
      <c r="S71" s="347">
        <f ca="1">DSUM($B$43:$AA$46,S$43,$C$53:$D71)</f>
        <v>55.638081327133634</v>
      </c>
      <c r="T71" s="347">
        <f ca="1">DSUM($B$43:$AA$46,T$43,$C$53:$D71)</f>
        <v>57.390939783071083</v>
      </c>
      <c r="U71" s="347">
        <f ca="1">DSUM($B$43:$AA$46,U$43,$C$53:$D71)</f>
        <v>59.277962728156815</v>
      </c>
      <c r="V71" s="347">
        <f ca="1">DSUM($B$43:$AA$46,V$43,$C$53:$D71)</f>
        <v>61.361418148435924</v>
      </c>
      <c r="W71" s="347">
        <f ca="1">DSUM($B$43:$AA$46,W$43,$C$53:$D71)</f>
        <v>63.667809559820718</v>
      </c>
      <c r="X71" s="347">
        <f ca="1">DSUM($B$43:$AA$46,X$43,$C$53:$D71)</f>
        <v>66.025248425198669</v>
      </c>
      <c r="Y71" s="404">
        <f ca="1">DSUM($B$43:$Z$46,Y$43,$C$53:$D71)</f>
        <v>261.31837015129264</v>
      </c>
    </row>
    <row r="72" spans="2:25">
      <c r="B72" s="23" t="s">
        <v>655</v>
      </c>
      <c r="C72" s="403" t="s">
        <v>718</v>
      </c>
      <c r="D72" s="403" t="s">
        <v>719</v>
      </c>
      <c r="E72" s="347">
        <f ca="1">DSUM($B$43:$AA$46,E$43,$C$53:$D72)</f>
        <v>1.6831957315839687</v>
      </c>
      <c r="F72" s="347">
        <f ca="1">DSUM($B$43:$AA$46,F$43,$C$53:$D72)</f>
        <v>3.9768636662838421</v>
      </c>
      <c r="G72" s="347">
        <f ca="1">DSUM($B$43:$AA$46,G$43,$C$53:$D72)</f>
        <v>6.9347675862674567</v>
      </c>
      <c r="H72" s="347">
        <f ca="1">DSUM($B$43:$AA$46,H$43,$C$53:$D72)</f>
        <v>10.133421381261021</v>
      </c>
      <c r="I72" s="347">
        <f ca="1">DSUM($B$43:$AA$46,I$43,$C$53:$D72)</f>
        <v>13.94825943179718</v>
      </c>
      <c r="J72" s="347">
        <f ca="1">DSUM($B$43:$AA$46,J$43,$C$53:$D72)</f>
        <v>18.687550470892312</v>
      </c>
      <c r="K72" s="347">
        <f ca="1">DSUM($B$43:$AA$46,K$43,$C$53:$D72)</f>
        <v>24.295991080106194</v>
      </c>
      <c r="L72" s="347">
        <f ca="1">DSUM($B$43:$AA$46,L$43,$C$53:$D72)</f>
        <v>29.73518575313528</v>
      </c>
      <c r="M72" s="347">
        <f ca="1">DSUM($B$43:$AA$46,M$43,$C$53:$D72)</f>
        <v>35.241014032816615</v>
      </c>
      <c r="N72" s="347">
        <f ca="1">DSUM($B$43:$AA$46,N$43,$C$53:$D72)</f>
        <v>40.475790338397665</v>
      </c>
      <c r="O72" s="347">
        <f ca="1">DSUM($B$43:$AA$46,O$43,$C$53:$D72)</f>
        <v>45.167496256788809</v>
      </c>
      <c r="P72" s="347">
        <f ca="1">DSUM($B$43:$AA$46,P$43,$C$53:$D72)</f>
        <v>48.549379095738082</v>
      </c>
      <c r="Q72" s="347">
        <f ca="1">DSUM($B$43:$AA$46,Q$43,$C$53:$D72)</f>
        <v>51.270143405784083</v>
      </c>
      <c r="R72" s="347">
        <f ca="1">DSUM($B$43:$AA$46,R$43,$C$53:$D72)</f>
        <v>53.549049244429291</v>
      </c>
      <c r="S72" s="347">
        <f ca="1">DSUM($B$43:$AA$46,S$43,$C$53:$D72)</f>
        <v>55.638081327133634</v>
      </c>
      <c r="T72" s="347">
        <f ca="1">DSUM($B$43:$AA$46,T$43,$C$53:$D72)</f>
        <v>57.390939783071083</v>
      </c>
      <c r="U72" s="347">
        <f ca="1">DSUM($B$43:$AA$46,U$43,$C$53:$D72)</f>
        <v>59.277962728156815</v>
      </c>
      <c r="V72" s="347">
        <f ca="1">DSUM($B$43:$AA$46,V$43,$C$53:$D72)</f>
        <v>61.361418148435924</v>
      </c>
      <c r="W72" s="347">
        <f ca="1">DSUM($B$43:$AA$46,W$43,$C$53:$D72)</f>
        <v>63.667809559820718</v>
      </c>
      <c r="X72" s="347">
        <f ca="1">DSUM($B$43:$AA$46,X$43,$C$53:$D72)</f>
        <v>66.025248425198669</v>
      </c>
      <c r="Y72" s="404">
        <f ca="1">DSUM($B$43:$Z$46,Y$43,$C$53:$D72)</f>
        <v>261.31837015129264</v>
      </c>
    </row>
    <row r="73" spans="2:25">
      <c r="B73" s="23" t="s">
        <v>656</v>
      </c>
      <c r="C73" s="403" t="s">
        <v>720</v>
      </c>
      <c r="D73" s="403" t="s">
        <v>721</v>
      </c>
      <c r="E73" s="347">
        <f ca="1">DSUM($B$43:$AA$46,E$43,$C$53:$D73)</f>
        <v>1.6831957315839687</v>
      </c>
      <c r="F73" s="347">
        <f ca="1">DSUM($B$43:$AA$46,F$43,$C$53:$D73)</f>
        <v>3.9768636662838421</v>
      </c>
      <c r="G73" s="347">
        <f ca="1">DSUM($B$43:$AA$46,G$43,$C$53:$D73)</f>
        <v>6.9347675862674567</v>
      </c>
      <c r="H73" s="347">
        <f ca="1">DSUM($B$43:$AA$46,H$43,$C$53:$D73)</f>
        <v>10.133421381261021</v>
      </c>
      <c r="I73" s="347">
        <f ca="1">DSUM($B$43:$AA$46,I$43,$C$53:$D73)</f>
        <v>13.94825943179718</v>
      </c>
      <c r="J73" s="347">
        <f ca="1">DSUM($B$43:$AA$46,J$43,$C$53:$D73)</f>
        <v>18.687550470892312</v>
      </c>
      <c r="K73" s="347">
        <f ca="1">DSUM($B$43:$AA$46,K$43,$C$53:$D73)</f>
        <v>24.295991080106194</v>
      </c>
      <c r="L73" s="347">
        <f ca="1">DSUM($B$43:$AA$46,L$43,$C$53:$D73)</f>
        <v>29.73518575313528</v>
      </c>
      <c r="M73" s="347">
        <f ca="1">DSUM($B$43:$AA$46,M$43,$C$53:$D73)</f>
        <v>35.241014032816615</v>
      </c>
      <c r="N73" s="347">
        <f ca="1">DSUM($B$43:$AA$46,N$43,$C$53:$D73)</f>
        <v>40.475790338397665</v>
      </c>
      <c r="O73" s="347">
        <f ca="1">DSUM($B$43:$AA$46,O$43,$C$53:$D73)</f>
        <v>45.167496256788809</v>
      </c>
      <c r="P73" s="347">
        <f ca="1">DSUM($B$43:$AA$46,P$43,$C$53:$D73)</f>
        <v>48.549379095738082</v>
      </c>
      <c r="Q73" s="347">
        <f ca="1">DSUM($B$43:$AA$46,Q$43,$C$53:$D73)</f>
        <v>51.270143405784083</v>
      </c>
      <c r="R73" s="347">
        <f ca="1">DSUM($B$43:$AA$46,R$43,$C$53:$D73)</f>
        <v>53.549049244429291</v>
      </c>
      <c r="S73" s="347">
        <f ca="1">DSUM($B$43:$AA$46,S$43,$C$53:$D73)</f>
        <v>55.638081327133634</v>
      </c>
      <c r="T73" s="347">
        <f ca="1">DSUM($B$43:$AA$46,T$43,$C$53:$D73)</f>
        <v>57.390939783071083</v>
      </c>
      <c r="U73" s="347">
        <f ca="1">DSUM($B$43:$AA$46,U$43,$C$53:$D73)</f>
        <v>59.277962728156815</v>
      </c>
      <c r="V73" s="347">
        <f ca="1">DSUM($B$43:$AA$46,V$43,$C$53:$D73)</f>
        <v>61.361418148435924</v>
      </c>
      <c r="W73" s="347">
        <f ca="1">DSUM($B$43:$AA$46,W$43,$C$53:$D73)</f>
        <v>63.667809559820718</v>
      </c>
      <c r="X73" s="347">
        <f ca="1">DSUM($B$43:$AA$46,X$43,$C$53:$D73)</f>
        <v>66.025248425198669</v>
      </c>
      <c r="Y73" s="404">
        <f ca="1">DSUM($B$43:$Z$46,Y$43,$C$53:$D73)</f>
        <v>261.31837015129264</v>
      </c>
    </row>
    <row r="74" spans="2:25">
      <c r="B74" s="23" t="s">
        <v>657</v>
      </c>
      <c r="C74" s="403" t="s">
        <v>722</v>
      </c>
      <c r="D74" s="403" t="s">
        <v>723</v>
      </c>
      <c r="E74" s="347">
        <f ca="1">DSUM($B$43:$AA$46,E$43,$C$53:$D74)</f>
        <v>1.6831957315839687</v>
      </c>
      <c r="F74" s="347">
        <f ca="1">DSUM($B$43:$AA$46,F$43,$C$53:$D74)</f>
        <v>3.9768636662838421</v>
      </c>
      <c r="G74" s="347">
        <f ca="1">DSUM($B$43:$AA$46,G$43,$C$53:$D74)</f>
        <v>6.9347675862674567</v>
      </c>
      <c r="H74" s="347">
        <f ca="1">DSUM($B$43:$AA$46,H$43,$C$53:$D74)</f>
        <v>10.133421381261021</v>
      </c>
      <c r="I74" s="347">
        <f ca="1">DSUM($B$43:$AA$46,I$43,$C$53:$D74)</f>
        <v>13.94825943179718</v>
      </c>
      <c r="J74" s="347">
        <f ca="1">DSUM($B$43:$AA$46,J$43,$C$53:$D74)</f>
        <v>18.687550470892312</v>
      </c>
      <c r="K74" s="347">
        <f ca="1">DSUM($B$43:$AA$46,K$43,$C$53:$D74)</f>
        <v>24.295991080106194</v>
      </c>
      <c r="L74" s="347">
        <f ca="1">DSUM($B$43:$AA$46,L$43,$C$53:$D74)</f>
        <v>29.73518575313528</v>
      </c>
      <c r="M74" s="347">
        <f ca="1">DSUM($B$43:$AA$46,M$43,$C$53:$D74)</f>
        <v>35.241014032816615</v>
      </c>
      <c r="N74" s="347">
        <f ca="1">DSUM($B$43:$AA$46,N$43,$C$53:$D74)</f>
        <v>40.475790338397665</v>
      </c>
      <c r="O74" s="347">
        <f ca="1">DSUM($B$43:$AA$46,O$43,$C$53:$D74)</f>
        <v>45.167496256788809</v>
      </c>
      <c r="P74" s="347">
        <f ca="1">DSUM($B$43:$AA$46,P$43,$C$53:$D74)</f>
        <v>48.549379095738082</v>
      </c>
      <c r="Q74" s="347">
        <f ca="1">DSUM($B$43:$AA$46,Q$43,$C$53:$D74)</f>
        <v>51.270143405784083</v>
      </c>
      <c r="R74" s="347">
        <f ca="1">DSUM($B$43:$AA$46,R$43,$C$53:$D74)</f>
        <v>53.549049244429291</v>
      </c>
      <c r="S74" s="347">
        <f ca="1">DSUM($B$43:$AA$46,S$43,$C$53:$D74)</f>
        <v>55.638081327133634</v>
      </c>
      <c r="T74" s="347">
        <f ca="1">DSUM($B$43:$AA$46,T$43,$C$53:$D74)</f>
        <v>57.390939783071083</v>
      </c>
      <c r="U74" s="347">
        <f ca="1">DSUM($B$43:$AA$46,U$43,$C$53:$D74)</f>
        <v>59.277962728156815</v>
      </c>
      <c r="V74" s="347">
        <f ca="1">DSUM($B$43:$AA$46,V$43,$C$53:$D74)</f>
        <v>61.361418148435924</v>
      </c>
      <c r="W74" s="347">
        <f ca="1">DSUM($B$43:$AA$46,W$43,$C$53:$D74)</f>
        <v>63.667809559820718</v>
      </c>
      <c r="X74" s="347">
        <f ca="1">DSUM($B$43:$AA$46,X$43,$C$53:$D74)</f>
        <v>66.025248425198669</v>
      </c>
      <c r="Y74" s="404">
        <f ca="1">DSUM($B$43:$Z$46,Y$43,$C$53:$D74)</f>
        <v>261.31837015129264</v>
      </c>
    </row>
    <row r="75" spans="2:25">
      <c r="B75" s="23" t="s">
        <v>724</v>
      </c>
      <c r="C75" s="403" t="s">
        <v>725</v>
      </c>
      <c r="D75" s="403" t="s">
        <v>726</v>
      </c>
      <c r="E75" s="347">
        <f ca="1">DSUM($B$43:$AA$46,E$43,$C$53:$D75)</f>
        <v>1.6831957315839687</v>
      </c>
      <c r="F75" s="347">
        <f ca="1">DSUM($B$43:$AA$46,F$43,$C$53:$D75)</f>
        <v>3.9768636662838421</v>
      </c>
      <c r="G75" s="347">
        <f ca="1">DSUM($B$43:$AA$46,G$43,$C$53:$D75)</f>
        <v>6.9347675862674567</v>
      </c>
      <c r="H75" s="347">
        <f ca="1">DSUM($B$43:$AA$46,H$43,$C$53:$D75)</f>
        <v>10.133421381261021</v>
      </c>
      <c r="I75" s="347">
        <f ca="1">DSUM($B$43:$AA$46,I$43,$C$53:$D75)</f>
        <v>13.94825943179718</v>
      </c>
      <c r="J75" s="347">
        <f ca="1">DSUM($B$43:$AA$46,J$43,$C$53:$D75)</f>
        <v>18.687550470892312</v>
      </c>
      <c r="K75" s="347">
        <f ca="1">DSUM($B$43:$AA$46,K$43,$C$53:$D75)</f>
        <v>24.295991080106194</v>
      </c>
      <c r="L75" s="347">
        <f ca="1">DSUM($B$43:$AA$46,L$43,$C$53:$D75)</f>
        <v>29.73518575313528</v>
      </c>
      <c r="M75" s="347">
        <f ca="1">DSUM($B$43:$AA$46,M$43,$C$53:$D75)</f>
        <v>35.241014032816615</v>
      </c>
      <c r="N75" s="347">
        <f ca="1">DSUM($B$43:$AA$46,N$43,$C$53:$D75)</f>
        <v>40.475790338397665</v>
      </c>
      <c r="O75" s="347">
        <f ca="1">DSUM($B$43:$AA$46,O$43,$C$53:$D75)</f>
        <v>45.167496256788809</v>
      </c>
      <c r="P75" s="347">
        <f ca="1">DSUM($B$43:$AA$46,P$43,$C$53:$D75)</f>
        <v>48.549379095738082</v>
      </c>
      <c r="Q75" s="347">
        <f ca="1">DSUM($B$43:$AA$46,Q$43,$C$53:$D75)</f>
        <v>51.270143405784083</v>
      </c>
      <c r="R75" s="347">
        <f ca="1">DSUM($B$43:$AA$46,R$43,$C$53:$D75)</f>
        <v>53.549049244429291</v>
      </c>
      <c r="S75" s="347">
        <f ca="1">DSUM($B$43:$AA$46,S$43,$C$53:$D75)</f>
        <v>55.638081327133634</v>
      </c>
      <c r="T75" s="347">
        <f ca="1">DSUM($B$43:$AA$46,T$43,$C$53:$D75)</f>
        <v>57.390939783071083</v>
      </c>
      <c r="U75" s="347">
        <f ca="1">DSUM($B$43:$AA$46,U$43,$C$53:$D75)</f>
        <v>59.277962728156815</v>
      </c>
      <c r="V75" s="347">
        <f ca="1">DSUM($B$43:$AA$46,V$43,$C$53:$D75)</f>
        <v>61.361418148435924</v>
      </c>
      <c r="W75" s="347">
        <f ca="1">DSUM($B$43:$AA$46,W$43,$C$53:$D75)</f>
        <v>63.667809559820718</v>
      </c>
      <c r="X75" s="347">
        <f ca="1">DSUM($B$43:$AA$46,X$43,$C$53:$D75)</f>
        <v>66.025248425198669</v>
      </c>
      <c r="Y75" s="404">
        <f ca="1">DSUM($B$43:$Z$46,Y$43,$C$53:$D75)</f>
        <v>261.31837015129264</v>
      </c>
    </row>
    <row r="76" spans="2:25">
      <c r="B76" s="23" t="s">
        <v>727</v>
      </c>
      <c r="C76" s="403" t="s">
        <v>728</v>
      </c>
      <c r="D76" s="403" t="s">
        <v>729</v>
      </c>
      <c r="E76" s="347">
        <f ca="1">DSUM($B$43:$AA$46,E$43,$C$53:$D76)</f>
        <v>1.6831957315839687</v>
      </c>
      <c r="F76" s="347">
        <f ca="1">DSUM($B$43:$AA$46,F$43,$C$53:$D76)</f>
        <v>3.9768636662838421</v>
      </c>
      <c r="G76" s="347">
        <f ca="1">DSUM($B$43:$AA$46,G$43,$C$53:$D76)</f>
        <v>6.9347675862674567</v>
      </c>
      <c r="H76" s="347">
        <f ca="1">DSUM($B$43:$AA$46,H$43,$C$53:$D76)</f>
        <v>10.133421381261021</v>
      </c>
      <c r="I76" s="347">
        <f ca="1">DSUM($B$43:$AA$46,I$43,$C$53:$D76)</f>
        <v>13.94825943179718</v>
      </c>
      <c r="J76" s="347">
        <f ca="1">DSUM($B$43:$AA$46,J$43,$C$53:$D76)</f>
        <v>18.687550470892312</v>
      </c>
      <c r="K76" s="347">
        <f ca="1">DSUM($B$43:$AA$46,K$43,$C$53:$D76)</f>
        <v>24.295991080106194</v>
      </c>
      <c r="L76" s="347">
        <f ca="1">DSUM($B$43:$AA$46,L$43,$C$53:$D76)</f>
        <v>29.73518575313528</v>
      </c>
      <c r="M76" s="347">
        <f ca="1">DSUM($B$43:$AA$46,M$43,$C$53:$D76)</f>
        <v>35.241014032816615</v>
      </c>
      <c r="N76" s="347">
        <f ca="1">DSUM($B$43:$AA$46,N$43,$C$53:$D76)</f>
        <v>40.475790338397665</v>
      </c>
      <c r="O76" s="347">
        <f ca="1">DSUM($B$43:$AA$46,O$43,$C$53:$D76)</f>
        <v>45.167496256788809</v>
      </c>
      <c r="P76" s="347">
        <f ca="1">DSUM($B$43:$AA$46,P$43,$C$53:$D76)</f>
        <v>48.549379095738082</v>
      </c>
      <c r="Q76" s="347">
        <f ca="1">DSUM($B$43:$AA$46,Q$43,$C$53:$D76)</f>
        <v>51.270143405784083</v>
      </c>
      <c r="R76" s="347">
        <f ca="1">DSUM($B$43:$AA$46,R$43,$C$53:$D76)</f>
        <v>53.549049244429291</v>
      </c>
      <c r="S76" s="347">
        <f ca="1">DSUM($B$43:$AA$46,S$43,$C$53:$D76)</f>
        <v>55.638081327133634</v>
      </c>
      <c r="T76" s="347">
        <f ca="1">DSUM($B$43:$AA$46,T$43,$C$53:$D76)</f>
        <v>57.390939783071083</v>
      </c>
      <c r="U76" s="347">
        <f ca="1">DSUM($B$43:$AA$46,U$43,$C$53:$D76)</f>
        <v>59.277962728156815</v>
      </c>
      <c r="V76" s="347">
        <f ca="1">DSUM($B$43:$AA$46,V$43,$C$53:$D76)</f>
        <v>61.361418148435924</v>
      </c>
      <c r="W76" s="347">
        <f ca="1">DSUM($B$43:$AA$46,W$43,$C$53:$D76)</f>
        <v>63.667809559820718</v>
      </c>
      <c r="X76" s="347">
        <f ca="1">DSUM($B$43:$AA$46,X$43,$C$53:$D76)</f>
        <v>66.025248425198669</v>
      </c>
      <c r="Y76" s="404">
        <f ca="1">DSUM($B$43:$Z$46,Y$43,$C$53:$D76)</f>
        <v>261.31837015129264</v>
      </c>
    </row>
    <row r="77" spans="2:25">
      <c r="B77" s="23" t="s">
        <v>730</v>
      </c>
      <c r="C77" s="403" t="s">
        <v>731</v>
      </c>
      <c r="D77" s="403" t="s">
        <v>732</v>
      </c>
      <c r="E77" s="347">
        <f ca="1">DSUM($B$43:$AA$46,E$43,$C$53:$D77)</f>
        <v>1.6831957315839687</v>
      </c>
      <c r="F77" s="347">
        <f ca="1">DSUM($B$43:$AA$46,F$43,$C$53:$D77)</f>
        <v>3.9768636662838421</v>
      </c>
      <c r="G77" s="347">
        <f ca="1">DSUM($B$43:$AA$46,G$43,$C$53:$D77)</f>
        <v>6.9347675862674567</v>
      </c>
      <c r="H77" s="347">
        <f ca="1">DSUM($B$43:$AA$46,H$43,$C$53:$D77)</f>
        <v>10.133421381261021</v>
      </c>
      <c r="I77" s="347">
        <f ca="1">DSUM($B$43:$AA$46,I$43,$C$53:$D77)</f>
        <v>13.94825943179718</v>
      </c>
      <c r="J77" s="347">
        <f ca="1">DSUM($B$43:$AA$46,J$43,$C$53:$D77)</f>
        <v>18.687550470892312</v>
      </c>
      <c r="K77" s="347">
        <f ca="1">DSUM($B$43:$AA$46,K$43,$C$53:$D77)</f>
        <v>24.295991080106194</v>
      </c>
      <c r="L77" s="347">
        <f ca="1">DSUM($B$43:$AA$46,L$43,$C$53:$D77)</f>
        <v>29.73518575313528</v>
      </c>
      <c r="M77" s="347">
        <f ca="1">DSUM($B$43:$AA$46,M$43,$C$53:$D77)</f>
        <v>35.241014032816615</v>
      </c>
      <c r="N77" s="347">
        <f ca="1">DSUM($B$43:$AA$46,N$43,$C$53:$D77)</f>
        <v>40.475790338397665</v>
      </c>
      <c r="O77" s="347">
        <f ca="1">DSUM($B$43:$AA$46,O$43,$C$53:$D77)</f>
        <v>45.167496256788809</v>
      </c>
      <c r="P77" s="347">
        <f ca="1">DSUM($B$43:$AA$46,P$43,$C$53:$D77)</f>
        <v>48.549379095738082</v>
      </c>
      <c r="Q77" s="347">
        <f ca="1">DSUM($B$43:$AA$46,Q$43,$C$53:$D77)</f>
        <v>51.270143405784083</v>
      </c>
      <c r="R77" s="347">
        <f ca="1">DSUM($B$43:$AA$46,R$43,$C$53:$D77)</f>
        <v>53.549049244429291</v>
      </c>
      <c r="S77" s="347">
        <f ca="1">DSUM($B$43:$AA$46,S$43,$C$53:$D77)</f>
        <v>55.638081327133634</v>
      </c>
      <c r="T77" s="347">
        <f ca="1">DSUM($B$43:$AA$46,T$43,$C$53:$D77)</f>
        <v>57.390939783071083</v>
      </c>
      <c r="U77" s="347">
        <f ca="1">DSUM($B$43:$AA$46,U$43,$C$53:$D77)</f>
        <v>59.277962728156815</v>
      </c>
      <c r="V77" s="347">
        <f ca="1">DSUM($B$43:$AA$46,V$43,$C$53:$D77)</f>
        <v>61.361418148435924</v>
      </c>
      <c r="W77" s="347">
        <f ca="1">DSUM($B$43:$AA$46,W$43,$C$53:$D77)</f>
        <v>63.667809559820718</v>
      </c>
      <c r="X77" s="347">
        <f ca="1">DSUM($B$43:$AA$46,X$43,$C$53:$D77)</f>
        <v>66.025248425198669</v>
      </c>
      <c r="Y77" s="404">
        <f ca="1">DSUM($B$43:$Z$46,Y$43,$C$53:$D77)</f>
        <v>261.31837015129264</v>
      </c>
    </row>
    <row r="78" spans="2:25">
      <c r="B78" s="23" t="s">
        <v>733</v>
      </c>
      <c r="C78" s="403" t="s">
        <v>734</v>
      </c>
      <c r="D78" s="403" t="s">
        <v>735</v>
      </c>
      <c r="E78" s="347">
        <f ca="1">DSUM($B$43:$AA$46,E$43,$C$53:$D78)</f>
        <v>1.6831957315839687</v>
      </c>
      <c r="F78" s="347">
        <f ca="1">DSUM($B$43:$AA$46,F$43,$C$53:$D78)</f>
        <v>3.9768636662838421</v>
      </c>
      <c r="G78" s="347">
        <f ca="1">DSUM($B$43:$AA$46,G$43,$C$53:$D78)</f>
        <v>6.9347675862674567</v>
      </c>
      <c r="H78" s="347">
        <f ca="1">DSUM($B$43:$AA$46,H$43,$C$53:$D78)</f>
        <v>10.133421381261021</v>
      </c>
      <c r="I78" s="347">
        <f ca="1">DSUM($B$43:$AA$46,I$43,$C$53:$D78)</f>
        <v>13.94825943179718</v>
      </c>
      <c r="J78" s="347">
        <f ca="1">DSUM($B$43:$AA$46,J$43,$C$53:$D78)</f>
        <v>18.687550470892312</v>
      </c>
      <c r="K78" s="347">
        <f ca="1">DSUM($B$43:$AA$46,K$43,$C$53:$D78)</f>
        <v>24.295991080106194</v>
      </c>
      <c r="L78" s="347">
        <f ca="1">DSUM($B$43:$AA$46,L$43,$C$53:$D78)</f>
        <v>29.73518575313528</v>
      </c>
      <c r="M78" s="347">
        <f ca="1">DSUM($B$43:$AA$46,M$43,$C$53:$D78)</f>
        <v>35.241014032816615</v>
      </c>
      <c r="N78" s="347">
        <f ca="1">DSUM($B$43:$AA$46,N$43,$C$53:$D78)</f>
        <v>40.475790338397665</v>
      </c>
      <c r="O78" s="347">
        <f ca="1">DSUM($B$43:$AA$46,O$43,$C$53:$D78)</f>
        <v>45.167496256788809</v>
      </c>
      <c r="P78" s="347">
        <f ca="1">DSUM($B$43:$AA$46,P$43,$C$53:$D78)</f>
        <v>48.549379095738082</v>
      </c>
      <c r="Q78" s="347">
        <f ca="1">DSUM($B$43:$AA$46,Q$43,$C$53:$D78)</f>
        <v>51.270143405784083</v>
      </c>
      <c r="R78" s="347">
        <f ca="1">DSUM($B$43:$AA$46,R$43,$C$53:$D78)</f>
        <v>53.549049244429291</v>
      </c>
      <c r="S78" s="347">
        <f ca="1">DSUM($B$43:$AA$46,S$43,$C$53:$D78)</f>
        <v>55.638081327133634</v>
      </c>
      <c r="T78" s="347">
        <f ca="1">DSUM($B$43:$AA$46,T$43,$C$53:$D78)</f>
        <v>57.390939783071083</v>
      </c>
      <c r="U78" s="347">
        <f ca="1">DSUM($B$43:$AA$46,U$43,$C$53:$D78)</f>
        <v>59.277962728156815</v>
      </c>
      <c r="V78" s="347">
        <f ca="1">DSUM($B$43:$AA$46,V$43,$C$53:$D78)</f>
        <v>61.361418148435924</v>
      </c>
      <c r="W78" s="347">
        <f ca="1">DSUM($B$43:$AA$46,W$43,$C$53:$D78)</f>
        <v>63.667809559820718</v>
      </c>
      <c r="X78" s="347">
        <f ca="1">DSUM($B$43:$AA$46,X$43,$C$53:$D78)</f>
        <v>66.025248425198669</v>
      </c>
      <c r="Y78" s="404">
        <f ca="1">DSUM($B$43:$Z$46,Y$43,$C$53:$D78)</f>
        <v>261.31837015129264</v>
      </c>
    </row>
    <row r="79" spans="2:25">
      <c r="B79" s="23" t="s">
        <v>736</v>
      </c>
      <c r="C79" s="403" t="s">
        <v>737</v>
      </c>
      <c r="D79" s="403" t="s">
        <v>738</v>
      </c>
      <c r="E79" s="347">
        <f ca="1">DSUM($B$43:$AA$46,E$43,$C$53:$D79)</f>
        <v>1.6831957315839687</v>
      </c>
      <c r="F79" s="347">
        <f ca="1">DSUM($B$43:$AA$46,F$43,$C$53:$D79)</f>
        <v>3.9768636662838421</v>
      </c>
      <c r="G79" s="347">
        <f ca="1">DSUM($B$43:$AA$46,G$43,$C$53:$D79)</f>
        <v>6.9347675862674567</v>
      </c>
      <c r="H79" s="347">
        <f ca="1">DSUM($B$43:$AA$46,H$43,$C$53:$D79)</f>
        <v>10.133421381261021</v>
      </c>
      <c r="I79" s="347">
        <f ca="1">DSUM($B$43:$AA$46,I$43,$C$53:$D79)</f>
        <v>13.94825943179718</v>
      </c>
      <c r="J79" s="347">
        <f ca="1">DSUM($B$43:$AA$46,J$43,$C$53:$D79)</f>
        <v>18.687550470892312</v>
      </c>
      <c r="K79" s="347">
        <f ca="1">DSUM($B$43:$AA$46,K$43,$C$53:$D79)</f>
        <v>24.295991080106194</v>
      </c>
      <c r="L79" s="347">
        <f ca="1">DSUM($B$43:$AA$46,L$43,$C$53:$D79)</f>
        <v>29.73518575313528</v>
      </c>
      <c r="M79" s="347">
        <f ca="1">DSUM($B$43:$AA$46,M$43,$C$53:$D79)</f>
        <v>35.241014032816615</v>
      </c>
      <c r="N79" s="347">
        <f ca="1">DSUM($B$43:$AA$46,N$43,$C$53:$D79)</f>
        <v>40.475790338397665</v>
      </c>
      <c r="O79" s="347">
        <f ca="1">DSUM($B$43:$AA$46,O$43,$C$53:$D79)</f>
        <v>45.167496256788809</v>
      </c>
      <c r="P79" s="347">
        <f ca="1">DSUM($B$43:$AA$46,P$43,$C$53:$D79)</f>
        <v>48.549379095738082</v>
      </c>
      <c r="Q79" s="347">
        <f ca="1">DSUM($B$43:$AA$46,Q$43,$C$53:$D79)</f>
        <v>51.270143405784083</v>
      </c>
      <c r="R79" s="347">
        <f ca="1">DSUM($B$43:$AA$46,R$43,$C$53:$D79)</f>
        <v>53.549049244429291</v>
      </c>
      <c r="S79" s="347">
        <f ca="1">DSUM($B$43:$AA$46,S$43,$C$53:$D79)</f>
        <v>55.638081327133634</v>
      </c>
      <c r="T79" s="347">
        <f ca="1">DSUM($B$43:$AA$46,T$43,$C$53:$D79)</f>
        <v>57.390939783071083</v>
      </c>
      <c r="U79" s="347">
        <f ca="1">DSUM($B$43:$AA$46,U$43,$C$53:$D79)</f>
        <v>59.277962728156815</v>
      </c>
      <c r="V79" s="347">
        <f ca="1">DSUM($B$43:$AA$46,V$43,$C$53:$D79)</f>
        <v>61.361418148435924</v>
      </c>
      <c r="W79" s="347">
        <f ca="1">DSUM($B$43:$AA$46,W$43,$C$53:$D79)</f>
        <v>63.667809559820718</v>
      </c>
      <c r="X79" s="347">
        <f ca="1">DSUM($B$43:$AA$46,X$43,$C$53:$D79)</f>
        <v>66.025248425198669</v>
      </c>
      <c r="Y79" s="404">
        <f ca="1">DSUM($B$43:$Z$46,Y$43,$C$53:$D79)</f>
        <v>261.31837015129264</v>
      </c>
    </row>
    <row r="80" spans="2:25">
      <c r="B80" s="23" t="s">
        <v>739</v>
      </c>
      <c r="C80" s="403" t="s">
        <v>740</v>
      </c>
      <c r="D80" s="403" t="s">
        <v>741</v>
      </c>
      <c r="E80" s="347">
        <f ca="1">DSUM($B$43:$AA$46,E$43,$C$53:$D80)</f>
        <v>1.6831957315839687</v>
      </c>
      <c r="F80" s="347">
        <f ca="1">DSUM($B$43:$AA$46,F$43,$C$53:$D80)</f>
        <v>3.9768636662838421</v>
      </c>
      <c r="G80" s="347">
        <f ca="1">DSUM($B$43:$AA$46,G$43,$C$53:$D80)</f>
        <v>6.9347675862674567</v>
      </c>
      <c r="H80" s="347">
        <f ca="1">DSUM($B$43:$AA$46,H$43,$C$53:$D80)</f>
        <v>10.133421381261021</v>
      </c>
      <c r="I80" s="347">
        <f ca="1">DSUM($B$43:$AA$46,I$43,$C$53:$D80)</f>
        <v>13.94825943179718</v>
      </c>
      <c r="J80" s="347">
        <f ca="1">DSUM($B$43:$AA$46,J$43,$C$53:$D80)</f>
        <v>18.687550470892312</v>
      </c>
      <c r="K80" s="347">
        <f ca="1">DSUM($B$43:$AA$46,K$43,$C$53:$D80)</f>
        <v>24.295991080106194</v>
      </c>
      <c r="L80" s="347">
        <f ca="1">DSUM($B$43:$AA$46,L$43,$C$53:$D80)</f>
        <v>29.73518575313528</v>
      </c>
      <c r="M80" s="347">
        <f ca="1">DSUM($B$43:$AA$46,M$43,$C$53:$D80)</f>
        <v>35.241014032816615</v>
      </c>
      <c r="N80" s="347">
        <f ca="1">DSUM($B$43:$AA$46,N$43,$C$53:$D80)</f>
        <v>40.475790338397665</v>
      </c>
      <c r="O80" s="347">
        <f ca="1">DSUM($B$43:$AA$46,O$43,$C$53:$D80)</f>
        <v>45.167496256788809</v>
      </c>
      <c r="P80" s="347">
        <f ca="1">DSUM($B$43:$AA$46,P$43,$C$53:$D80)</f>
        <v>48.549379095738082</v>
      </c>
      <c r="Q80" s="347">
        <f ca="1">DSUM($B$43:$AA$46,Q$43,$C$53:$D80)</f>
        <v>51.270143405784083</v>
      </c>
      <c r="R80" s="347">
        <f ca="1">DSUM($B$43:$AA$46,R$43,$C$53:$D80)</f>
        <v>53.549049244429291</v>
      </c>
      <c r="S80" s="347">
        <f ca="1">DSUM($B$43:$AA$46,S$43,$C$53:$D80)</f>
        <v>55.638081327133634</v>
      </c>
      <c r="T80" s="347">
        <f ca="1">DSUM($B$43:$AA$46,T$43,$C$53:$D80)</f>
        <v>57.390939783071083</v>
      </c>
      <c r="U80" s="347">
        <f ca="1">DSUM($B$43:$AA$46,U$43,$C$53:$D80)</f>
        <v>59.277962728156815</v>
      </c>
      <c r="V80" s="347">
        <f ca="1">DSUM($B$43:$AA$46,V$43,$C$53:$D80)</f>
        <v>61.361418148435924</v>
      </c>
      <c r="W80" s="347">
        <f ca="1">DSUM($B$43:$AA$46,W$43,$C$53:$D80)</f>
        <v>63.667809559820718</v>
      </c>
      <c r="X80" s="347">
        <f ca="1">DSUM($B$43:$AA$46,X$43,$C$53:$D80)</f>
        <v>66.025248425198669</v>
      </c>
      <c r="Y80" s="404">
        <f ca="1">DSUM($B$43:$Z$46,Y$43,$C$53:$D80)</f>
        <v>261.31837015129264</v>
      </c>
    </row>
    <row r="81" spans="1:26">
      <c r="B81" s="23" t="s">
        <v>742</v>
      </c>
      <c r="C81" s="403" t="s">
        <v>743</v>
      </c>
      <c r="D81" s="403" t="s">
        <v>744</v>
      </c>
      <c r="E81" s="347">
        <f ca="1">DSUM($B$43:$AA$46,E$43,$C$53:$D81)</f>
        <v>1.6831957315839687</v>
      </c>
      <c r="F81" s="347">
        <f ca="1">DSUM($B$43:$AA$46,F$43,$C$53:$D81)</f>
        <v>3.9768636662838421</v>
      </c>
      <c r="G81" s="347">
        <f ca="1">DSUM($B$43:$AA$46,G$43,$C$53:$D81)</f>
        <v>6.9347675862674567</v>
      </c>
      <c r="H81" s="347">
        <f ca="1">DSUM($B$43:$AA$46,H$43,$C$53:$D81)</f>
        <v>10.133421381261021</v>
      </c>
      <c r="I81" s="347">
        <f ca="1">DSUM($B$43:$AA$46,I$43,$C$53:$D81)</f>
        <v>13.94825943179718</v>
      </c>
      <c r="J81" s="347">
        <f ca="1">DSUM($B$43:$AA$46,J$43,$C$53:$D81)</f>
        <v>18.687550470892312</v>
      </c>
      <c r="K81" s="347">
        <f ca="1">DSUM($B$43:$AA$46,K$43,$C$53:$D81)</f>
        <v>24.295991080106194</v>
      </c>
      <c r="L81" s="347">
        <f ca="1">DSUM($B$43:$AA$46,L$43,$C$53:$D81)</f>
        <v>29.73518575313528</v>
      </c>
      <c r="M81" s="347">
        <f ca="1">DSUM($B$43:$AA$46,M$43,$C$53:$D81)</f>
        <v>35.241014032816615</v>
      </c>
      <c r="N81" s="347">
        <f ca="1">DSUM($B$43:$AA$46,N$43,$C$53:$D81)</f>
        <v>40.475790338397665</v>
      </c>
      <c r="O81" s="347">
        <f ca="1">DSUM($B$43:$AA$46,O$43,$C$53:$D81)</f>
        <v>45.167496256788809</v>
      </c>
      <c r="P81" s="347">
        <f ca="1">DSUM($B$43:$AA$46,P$43,$C$53:$D81)</f>
        <v>48.549379095738082</v>
      </c>
      <c r="Q81" s="347">
        <f ca="1">DSUM($B$43:$AA$46,Q$43,$C$53:$D81)</f>
        <v>51.270143405784083</v>
      </c>
      <c r="R81" s="347">
        <f ca="1">DSUM($B$43:$AA$46,R$43,$C$53:$D81)</f>
        <v>53.549049244429291</v>
      </c>
      <c r="S81" s="347">
        <f ca="1">DSUM($B$43:$AA$46,S$43,$C$53:$D81)</f>
        <v>55.638081327133634</v>
      </c>
      <c r="T81" s="347">
        <f ca="1">DSUM($B$43:$AA$46,T$43,$C$53:$D81)</f>
        <v>57.390939783071083</v>
      </c>
      <c r="U81" s="347">
        <f ca="1">DSUM($B$43:$AA$46,U$43,$C$53:$D81)</f>
        <v>59.277962728156815</v>
      </c>
      <c r="V81" s="347">
        <f ca="1">DSUM($B$43:$AA$46,V$43,$C$53:$D81)</f>
        <v>61.361418148435924</v>
      </c>
      <c r="W81" s="347">
        <f ca="1">DSUM($B$43:$AA$46,W$43,$C$53:$D81)</f>
        <v>63.667809559820718</v>
      </c>
      <c r="X81" s="347">
        <f ca="1">DSUM($B$43:$AA$46,X$43,$C$53:$D81)</f>
        <v>66.025248425198669</v>
      </c>
      <c r="Y81" s="404">
        <f ca="1">DSUM($B$43:$Z$46,Y$43,$C$53:$D81)</f>
        <v>261.31837015129264</v>
      </c>
    </row>
    <row r="82" spans="1:26">
      <c r="B82" s="23" t="s">
        <v>745</v>
      </c>
      <c r="C82" s="403" t="s">
        <v>746</v>
      </c>
      <c r="D82" s="403" t="s">
        <v>747</v>
      </c>
      <c r="E82" s="347">
        <f ca="1">DSUM($B$43:$AA$46,E$43,$C$53:$D82)</f>
        <v>1.6831957315839687</v>
      </c>
      <c r="F82" s="347">
        <f ca="1">DSUM($B$43:$AA$46,F$43,$C$53:$D82)</f>
        <v>3.9768636662838421</v>
      </c>
      <c r="G82" s="347">
        <f ca="1">DSUM($B$43:$AA$46,G$43,$C$53:$D82)</f>
        <v>6.9347675862674567</v>
      </c>
      <c r="H82" s="347">
        <f ca="1">DSUM($B$43:$AA$46,H$43,$C$53:$D82)</f>
        <v>10.133421381261021</v>
      </c>
      <c r="I82" s="347">
        <f ca="1">DSUM($B$43:$AA$46,I$43,$C$53:$D82)</f>
        <v>13.94825943179718</v>
      </c>
      <c r="J82" s="347">
        <f ca="1">DSUM($B$43:$AA$46,J$43,$C$53:$D82)</f>
        <v>18.687550470892312</v>
      </c>
      <c r="K82" s="347">
        <f ca="1">DSUM($B$43:$AA$46,K$43,$C$53:$D82)</f>
        <v>24.295991080106194</v>
      </c>
      <c r="L82" s="347">
        <f ca="1">DSUM($B$43:$AA$46,L$43,$C$53:$D82)</f>
        <v>29.73518575313528</v>
      </c>
      <c r="M82" s="347">
        <f ca="1">DSUM($B$43:$AA$46,M$43,$C$53:$D82)</f>
        <v>35.241014032816615</v>
      </c>
      <c r="N82" s="347">
        <f ca="1">DSUM($B$43:$AA$46,N$43,$C$53:$D82)</f>
        <v>40.475790338397665</v>
      </c>
      <c r="O82" s="347">
        <f ca="1">DSUM($B$43:$AA$46,O$43,$C$53:$D82)</f>
        <v>45.167496256788809</v>
      </c>
      <c r="P82" s="347">
        <f ca="1">DSUM($B$43:$AA$46,P$43,$C$53:$D82)</f>
        <v>48.549379095738082</v>
      </c>
      <c r="Q82" s="347">
        <f ca="1">DSUM($B$43:$AA$46,Q$43,$C$53:$D82)</f>
        <v>51.270143405784083</v>
      </c>
      <c r="R82" s="347">
        <f ca="1">DSUM($B$43:$AA$46,R$43,$C$53:$D82)</f>
        <v>53.549049244429291</v>
      </c>
      <c r="S82" s="347">
        <f ca="1">DSUM($B$43:$AA$46,S$43,$C$53:$D82)</f>
        <v>55.638081327133634</v>
      </c>
      <c r="T82" s="347">
        <f ca="1">DSUM($B$43:$AA$46,T$43,$C$53:$D82)</f>
        <v>57.390939783071083</v>
      </c>
      <c r="U82" s="347">
        <f ca="1">DSUM($B$43:$AA$46,U$43,$C$53:$D82)</f>
        <v>59.277962728156815</v>
      </c>
      <c r="V82" s="347">
        <f ca="1">DSUM($B$43:$AA$46,V$43,$C$53:$D82)</f>
        <v>61.361418148435924</v>
      </c>
      <c r="W82" s="347">
        <f ca="1">DSUM($B$43:$AA$46,W$43,$C$53:$D82)</f>
        <v>63.667809559820718</v>
      </c>
      <c r="X82" s="347">
        <f ca="1">DSUM($B$43:$AA$46,X$43,$C$53:$D82)</f>
        <v>66.025248425198669</v>
      </c>
      <c r="Y82" s="404">
        <f ca="1">DSUM($B$43:$Z$46,Y$43,$C$53:$D82)</f>
        <v>261.31837015129264</v>
      </c>
    </row>
    <row r="83" spans="1:26">
      <c r="B83" s="23" t="s">
        <v>748</v>
      </c>
      <c r="C83" s="403" t="s">
        <v>749</v>
      </c>
      <c r="D83" s="403" t="s">
        <v>750</v>
      </c>
      <c r="E83" s="347">
        <f ca="1">DSUM($B$43:$AA$46,E$43,$C$53:$D83)</f>
        <v>1.6831957315839687</v>
      </c>
      <c r="F83" s="347">
        <f ca="1">DSUM($B$43:$AA$46,F$43,$C$53:$D83)</f>
        <v>3.9768636662838421</v>
      </c>
      <c r="G83" s="347">
        <f ca="1">DSUM($B$43:$AA$46,G$43,$C$53:$D83)</f>
        <v>6.9347675862674567</v>
      </c>
      <c r="H83" s="347">
        <f ca="1">DSUM($B$43:$AA$46,H$43,$C$53:$D83)</f>
        <v>10.133421381261021</v>
      </c>
      <c r="I83" s="347">
        <f ca="1">DSUM($B$43:$AA$46,I$43,$C$53:$D83)</f>
        <v>13.94825943179718</v>
      </c>
      <c r="J83" s="347">
        <f ca="1">DSUM($B$43:$AA$46,J$43,$C$53:$D83)</f>
        <v>18.687550470892312</v>
      </c>
      <c r="K83" s="347">
        <f ca="1">DSUM($B$43:$AA$46,K$43,$C$53:$D83)</f>
        <v>24.295991080106194</v>
      </c>
      <c r="L83" s="347">
        <f ca="1">DSUM($B$43:$AA$46,L$43,$C$53:$D83)</f>
        <v>29.73518575313528</v>
      </c>
      <c r="M83" s="347">
        <f ca="1">DSUM($B$43:$AA$46,M$43,$C$53:$D83)</f>
        <v>35.241014032816615</v>
      </c>
      <c r="N83" s="347">
        <f ca="1">DSUM($B$43:$AA$46,N$43,$C$53:$D83)</f>
        <v>40.475790338397665</v>
      </c>
      <c r="O83" s="347">
        <f ca="1">DSUM($B$43:$AA$46,O$43,$C$53:$D83)</f>
        <v>45.167496256788809</v>
      </c>
      <c r="P83" s="347">
        <f ca="1">DSUM($B$43:$AA$46,P$43,$C$53:$D83)</f>
        <v>48.549379095738082</v>
      </c>
      <c r="Q83" s="347">
        <f ca="1">DSUM($B$43:$AA$46,Q$43,$C$53:$D83)</f>
        <v>51.270143405784083</v>
      </c>
      <c r="R83" s="347">
        <f ca="1">DSUM($B$43:$AA$46,R$43,$C$53:$D83)</f>
        <v>53.549049244429291</v>
      </c>
      <c r="S83" s="347">
        <f ca="1">DSUM($B$43:$AA$46,S$43,$C$53:$D83)</f>
        <v>55.638081327133634</v>
      </c>
      <c r="T83" s="347">
        <f ca="1">DSUM($B$43:$AA$46,T$43,$C$53:$D83)</f>
        <v>57.390939783071083</v>
      </c>
      <c r="U83" s="347">
        <f ca="1">DSUM($B$43:$AA$46,U$43,$C$53:$D83)</f>
        <v>59.277962728156815</v>
      </c>
      <c r="V83" s="347">
        <f ca="1">DSUM($B$43:$AA$46,V$43,$C$53:$D83)</f>
        <v>61.361418148435924</v>
      </c>
      <c r="W83" s="347">
        <f ca="1">DSUM($B$43:$AA$46,W$43,$C$53:$D83)</f>
        <v>63.667809559820718</v>
      </c>
      <c r="X83" s="347">
        <f ca="1">DSUM($B$43:$AA$46,X$43,$C$53:$D83)</f>
        <v>66.025248425198669</v>
      </c>
      <c r="Y83" s="404">
        <f ca="1">DSUM($B$43:$Z$46,Y$43,$C$53:$D83)</f>
        <v>261.31837015129264</v>
      </c>
    </row>
    <row r="84" spans="1:26">
      <c r="B84" s="23" t="s">
        <v>751</v>
      </c>
      <c r="C84" s="403" t="s">
        <v>752</v>
      </c>
      <c r="D84" s="403" t="s">
        <v>753</v>
      </c>
      <c r="E84" s="347">
        <f ca="1">DSUM($B$43:$AA$46,E$43,$C$53:$D84)</f>
        <v>1.6831957315839687</v>
      </c>
      <c r="F84" s="347">
        <f ca="1">DSUM($B$43:$AA$46,F$43,$C$53:$D84)</f>
        <v>3.9768636662838421</v>
      </c>
      <c r="G84" s="347">
        <f ca="1">DSUM($B$43:$AA$46,G$43,$C$53:$D84)</f>
        <v>6.9347675862674567</v>
      </c>
      <c r="H84" s="347">
        <f ca="1">DSUM($B$43:$AA$46,H$43,$C$53:$D84)</f>
        <v>10.133421381261021</v>
      </c>
      <c r="I84" s="347">
        <f ca="1">DSUM($B$43:$AA$46,I$43,$C$53:$D84)</f>
        <v>13.94825943179718</v>
      </c>
      <c r="J84" s="347">
        <f ca="1">DSUM($B$43:$AA$46,J$43,$C$53:$D84)</f>
        <v>18.687550470892312</v>
      </c>
      <c r="K84" s="347">
        <f ca="1">DSUM($B$43:$AA$46,K$43,$C$53:$D84)</f>
        <v>24.295991080106194</v>
      </c>
      <c r="L84" s="347">
        <f ca="1">DSUM($B$43:$AA$46,L$43,$C$53:$D84)</f>
        <v>29.73518575313528</v>
      </c>
      <c r="M84" s="347">
        <f ca="1">DSUM($B$43:$AA$46,M$43,$C$53:$D84)</f>
        <v>35.241014032816615</v>
      </c>
      <c r="N84" s="347">
        <f ca="1">DSUM($B$43:$AA$46,N$43,$C$53:$D84)</f>
        <v>40.475790338397665</v>
      </c>
      <c r="O84" s="347">
        <f ca="1">DSUM($B$43:$AA$46,O$43,$C$53:$D84)</f>
        <v>45.167496256788809</v>
      </c>
      <c r="P84" s="347">
        <f ca="1">DSUM($B$43:$AA$46,P$43,$C$53:$D84)</f>
        <v>48.549379095738082</v>
      </c>
      <c r="Q84" s="347">
        <f ca="1">DSUM($B$43:$AA$46,Q$43,$C$53:$D84)</f>
        <v>51.270143405784083</v>
      </c>
      <c r="R84" s="347">
        <f ca="1">DSUM($B$43:$AA$46,R$43,$C$53:$D84)</f>
        <v>53.549049244429291</v>
      </c>
      <c r="S84" s="347">
        <f ca="1">DSUM($B$43:$AA$46,S$43,$C$53:$D84)</f>
        <v>55.638081327133634</v>
      </c>
      <c r="T84" s="347">
        <f ca="1">DSUM($B$43:$AA$46,T$43,$C$53:$D84)</f>
        <v>57.390939783071083</v>
      </c>
      <c r="U84" s="347">
        <f ca="1">DSUM($B$43:$AA$46,U$43,$C$53:$D84)</f>
        <v>59.277962728156815</v>
      </c>
      <c r="V84" s="347">
        <f ca="1">DSUM($B$43:$AA$46,V$43,$C$53:$D84)</f>
        <v>61.361418148435924</v>
      </c>
      <c r="W84" s="347">
        <f ca="1">DSUM($B$43:$AA$46,W$43,$C$53:$D84)</f>
        <v>63.667809559820718</v>
      </c>
      <c r="X84" s="347">
        <f ca="1">DSUM($B$43:$AA$46,X$43,$C$53:$D84)</f>
        <v>66.025248425198669</v>
      </c>
      <c r="Y84" s="404">
        <f ca="1">DSUM($B$43:$Z$46,Y$43,$C$53:$D84)</f>
        <v>261.31837015129264</v>
      </c>
    </row>
    <row r="85" spans="1:26">
      <c r="B85" s="23" t="s">
        <v>754</v>
      </c>
      <c r="C85" s="403" t="s">
        <v>755</v>
      </c>
      <c r="D85" s="403" t="s">
        <v>756</v>
      </c>
      <c r="E85" s="347">
        <f ca="1">DSUM($B$43:$AA$46,E$43,$C$53:$D85)</f>
        <v>1.6831957315839687</v>
      </c>
      <c r="F85" s="347">
        <f ca="1">DSUM($B$43:$AA$46,F$43,$C$53:$D85)</f>
        <v>3.9768636662838421</v>
      </c>
      <c r="G85" s="347">
        <f ca="1">DSUM($B$43:$AA$46,G$43,$C$53:$D85)</f>
        <v>6.9347675862674567</v>
      </c>
      <c r="H85" s="347">
        <f ca="1">DSUM($B$43:$AA$46,H$43,$C$53:$D85)</f>
        <v>10.133421381261021</v>
      </c>
      <c r="I85" s="347">
        <f ca="1">DSUM($B$43:$AA$46,I$43,$C$53:$D85)</f>
        <v>13.94825943179718</v>
      </c>
      <c r="J85" s="347">
        <f ca="1">DSUM($B$43:$AA$46,J$43,$C$53:$D85)</f>
        <v>18.687550470892312</v>
      </c>
      <c r="K85" s="347">
        <f ca="1">DSUM($B$43:$AA$46,K$43,$C$53:$D85)</f>
        <v>24.295991080106194</v>
      </c>
      <c r="L85" s="347">
        <f ca="1">DSUM($B$43:$AA$46,L$43,$C$53:$D85)</f>
        <v>29.73518575313528</v>
      </c>
      <c r="M85" s="347">
        <f ca="1">DSUM($B$43:$AA$46,M$43,$C$53:$D85)</f>
        <v>35.241014032816615</v>
      </c>
      <c r="N85" s="347">
        <f ca="1">DSUM($B$43:$AA$46,N$43,$C$53:$D85)</f>
        <v>40.475790338397665</v>
      </c>
      <c r="O85" s="347">
        <f ca="1">DSUM($B$43:$AA$46,O$43,$C$53:$D85)</f>
        <v>45.167496256788809</v>
      </c>
      <c r="P85" s="347">
        <f ca="1">DSUM($B$43:$AA$46,P$43,$C$53:$D85)</f>
        <v>48.549379095738082</v>
      </c>
      <c r="Q85" s="347">
        <f ca="1">DSUM($B$43:$AA$46,Q$43,$C$53:$D85)</f>
        <v>51.270143405784083</v>
      </c>
      <c r="R85" s="347">
        <f ca="1">DSUM($B$43:$AA$46,R$43,$C$53:$D85)</f>
        <v>53.549049244429291</v>
      </c>
      <c r="S85" s="347">
        <f ca="1">DSUM($B$43:$AA$46,S$43,$C$53:$D85)</f>
        <v>55.638081327133634</v>
      </c>
      <c r="T85" s="347">
        <f ca="1">DSUM($B$43:$AA$46,T$43,$C$53:$D85)</f>
        <v>57.390939783071083</v>
      </c>
      <c r="U85" s="347">
        <f ca="1">DSUM($B$43:$AA$46,U$43,$C$53:$D85)</f>
        <v>59.277962728156815</v>
      </c>
      <c r="V85" s="347">
        <f ca="1">DSUM($B$43:$AA$46,V$43,$C$53:$D85)</f>
        <v>61.361418148435924</v>
      </c>
      <c r="W85" s="347">
        <f ca="1">DSUM($B$43:$AA$46,W$43,$C$53:$D85)</f>
        <v>63.667809559820718</v>
      </c>
      <c r="X85" s="347">
        <f ca="1">DSUM($B$43:$AA$46,X$43,$C$53:$D85)</f>
        <v>66.025248425198669</v>
      </c>
      <c r="Y85" s="404">
        <f ca="1">DSUM($B$43:$Z$46,Y$43,$C$53:$D85)</f>
        <v>261.31837015129264</v>
      </c>
    </row>
    <row r="88" spans="1:26" ht="15">
      <c r="A88" s="401" t="s">
        <v>757</v>
      </c>
      <c r="B88" s="401"/>
      <c r="C88" s="401"/>
      <c r="D88" s="401"/>
      <c r="E88" s="23"/>
      <c r="F88" s="23"/>
      <c r="G88" s="23"/>
      <c r="H88" s="23"/>
      <c r="I88" s="23"/>
      <c r="J88" s="23"/>
      <c r="K88" s="23"/>
      <c r="L88" s="23"/>
      <c r="M88" s="23"/>
      <c r="N88" s="23"/>
      <c r="O88" s="23"/>
      <c r="P88" s="23"/>
      <c r="Q88" s="23"/>
      <c r="R88" s="23"/>
      <c r="S88" s="23"/>
      <c r="T88" s="23"/>
      <c r="U88" s="23"/>
      <c r="V88" s="23"/>
      <c r="W88" s="23"/>
      <c r="X88" s="23"/>
      <c r="Y88" s="23"/>
      <c r="Z88" s="23"/>
    </row>
    <row r="89" spans="1:26" ht="15">
      <c r="A89" s="23"/>
      <c r="B89" s="23"/>
      <c r="C89" s="370" t="s">
        <v>758</v>
      </c>
      <c r="D89" s="370" t="str">
        <f>$C$8</f>
        <v>Data Centers-NR</v>
      </c>
      <c r="E89" s="52">
        <v>2016</v>
      </c>
      <c r="F89" s="52">
        <v>2017</v>
      </c>
      <c r="G89" s="52">
        <v>2018</v>
      </c>
      <c r="H89" s="52">
        <v>2019</v>
      </c>
      <c r="I89" s="52">
        <v>2020</v>
      </c>
      <c r="J89" s="52">
        <v>2021</v>
      </c>
      <c r="K89" s="52">
        <v>2022</v>
      </c>
      <c r="L89" s="52">
        <v>2023</v>
      </c>
      <c r="M89" s="52">
        <v>2024</v>
      </c>
      <c r="N89" s="52">
        <v>2025</v>
      </c>
      <c r="O89" s="52">
        <v>2026</v>
      </c>
      <c r="P89" s="52">
        <v>2027</v>
      </c>
      <c r="Q89" s="52">
        <v>2028</v>
      </c>
      <c r="R89" s="52">
        <v>2029</v>
      </c>
      <c r="S89" s="52">
        <v>2030</v>
      </c>
      <c r="T89" s="52">
        <v>2031</v>
      </c>
      <c r="U89" s="52">
        <v>2032</v>
      </c>
      <c r="V89" s="52">
        <v>2033</v>
      </c>
      <c r="W89" s="52">
        <v>2034</v>
      </c>
      <c r="X89" s="52">
        <v>2035</v>
      </c>
      <c r="Y89" s="23"/>
      <c r="Z89" s="370"/>
    </row>
    <row r="90" spans="1:26" ht="15">
      <c r="A90" s="23"/>
      <c r="B90" s="23"/>
      <c r="C90" s="370">
        <f>C23</f>
        <v>0</v>
      </c>
      <c r="D90" s="370"/>
      <c r="E90" s="53" t="s">
        <v>759</v>
      </c>
      <c r="F90" s="53" t="s">
        <v>760</v>
      </c>
      <c r="G90" s="53" t="s">
        <v>761</v>
      </c>
      <c r="H90" s="53" t="s">
        <v>762</v>
      </c>
      <c r="I90" s="53" t="s">
        <v>763</v>
      </c>
      <c r="J90" s="53" t="s">
        <v>764</v>
      </c>
      <c r="K90" s="53" t="s">
        <v>765</v>
      </c>
      <c r="L90" s="53" t="s">
        <v>766</v>
      </c>
      <c r="M90" s="53" t="s">
        <v>767</v>
      </c>
      <c r="N90" s="53" t="s">
        <v>768</v>
      </c>
      <c r="O90" s="53" t="s">
        <v>769</v>
      </c>
      <c r="P90" s="53" t="s">
        <v>770</v>
      </c>
      <c r="Q90" s="53" t="s">
        <v>771</v>
      </c>
      <c r="R90" s="53" t="s">
        <v>772</v>
      </c>
      <c r="S90" s="53" t="s">
        <v>773</v>
      </c>
      <c r="T90" s="53" t="s">
        <v>774</v>
      </c>
      <c r="U90" s="53" t="s">
        <v>775</v>
      </c>
      <c r="V90" s="53" t="s">
        <v>776</v>
      </c>
      <c r="W90" s="53" t="s">
        <v>777</v>
      </c>
      <c r="X90" s="53" t="s">
        <v>778</v>
      </c>
      <c r="Y90" s="379" t="s">
        <v>668</v>
      </c>
      <c r="Z90" s="405"/>
    </row>
    <row r="91" spans="1:26">
      <c r="A91" s="23"/>
      <c r="B91" s="23"/>
      <c r="C91" s="23" t="s">
        <v>637</v>
      </c>
      <c r="D91" s="23"/>
      <c r="E91" s="406">
        <f t="shared" ref="E91:Y91" si="15">E54</f>
        <v>0</v>
      </c>
      <c r="F91" s="406">
        <f t="shared" si="15"/>
        <v>0</v>
      </c>
      <c r="G91" s="406">
        <f t="shared" si="15"/>
        <v>0</v>
      </c>
      <c r="H91" s="406">
        <f t="shared" si="15"/>
        <v>0</v>
      </c>
      <c r="I91" s="406">
        <f t="shared" si="15"/>
        <v>0</v>
      </c>
      <c r="J91" s="406">
        <f t="shared" si="15"/>
        <v>0</v>
      </c>
      <c r="K91" s="406">
        <f t="shared" si="15"/>
        <v>0</v>
      </c>
      <c r="L91" s="406">
        <f t="shared" si="15"/>
        <v>0</v>
      </c>
      <c r="M91" s="406">
        <f t="shared" si="15"/>
        <v>0</v>
      </c>
      <c r="N91" s="406">
        <f t="shared" si="15"/>
        <v>0</v>
      </c>
      <c r="O91" s="406">
        <f t="shared" si="15"/>
        <v>0</v>
      </c>
      <c r="P91" s="406">
        <f t="shared" si="15"/>
        <v>0</v>
      </c>
      <c r="Q91" s="406">
        <f t="shared" si="15"/>
        <v>0</v>
      </c>
      <c r="R91" s="406">
        <f t="shared" si="15"/>
        <v>0</v>
      </c>
      <c r="S91" s="406">
        <f t="shared" si="15"/>
        <v>0</v>
      </c>
      <c r="T91" s="406">
        <f t="shared" si="15"/>
        <v>0</v>
      </c>
      <c r="U91" s="406">
        <f t="shared" si="15"/>
        <v>0</v>
      </c>
      <c r="V91" s="406">
        <f t="shared" si="15"/>
        <v>0</v>
      </c>
      <c r="W91" s="406">
        <f t="shared" si="15"/>
        <v>0</v>
      </c>
      <c r="X91" s="406">
        <f t="shared" si="15"/>
        <v>0</v>
      </c>
      <c r="Y91" s="406">
        <f t="shared" si="15"/>
        <v>0</v>
      </c>
      <c r="Z91" s="406"/>
    </row>
    <row r="92" spans="1:26">
      <c r="A92" s="23"/>
      <c r="B92" s="23"/>
      <c r="C92" s="23" t="s">
        <v>638</v>
      </c>
      <c r="D92" s="23"/>
      <c r="E92" s="406">
        <f t="shared" ref="E92:Y104" si="16">E55-E54</f>
        <v>0</v>
      </c>
      <c r="F92" s="406">
        <f t="shared" si="16"/>
        <v>0</v>
      </c>
      <c r="G92" s="406">
        <f t="shared" si="16"/>
        <v>0</v>
      </c>
      <c r="H92" s="406">
        <f t="shared" si="16"/>
        <v>0</v>
      </c>
      <c r="I92" s="406">
        <f t="shared" si="16"/>
        <v>0</v>
      </c>
      <c r="J92" s="406">
        <f t="shared" si="16"/>
        <v>0</v>
      </c>
      <c r="K92" s="406">
        <f t="shared" si="16"/>
        <v>0</v>
      </c>
      <c r="L92" s="406">
        <f t="shared" si="16"/>
        <v>0</v>
      </c>
      <c r="M92" s="406">
        <f t="shared" si="16"/>
        <v>0</v>
      </c>
      <c r="N92" s="406">
        <f t="shared" si="16"/>
        <v>0</v>
      </c>
      <c r="O92" s="406">
        <f t="shared" si="16"/>
        <v>0</v>
      </c>
      <c r="P92" s="406">
        <f t="shared" si="16"/>
        <v>0</v>
      </c>
      <c r="Q92" s="406">
        <f t="shared" si="16"/>
        <v>0</v>
      </c>
      <c r="R92" s="406">
        <f t="shared" si="16"/>
        <v>0</v>
      </c>
      <c r="S92" s="406">
        <f t="shared" si="16"/>
        <v>0</v>
      </c>
      <c r="T92" s="406">
        <f t="shared" si="16"/>
        <v>0</v>
      </c>
      <c r="U92" s="406">
        <f t="shared" si="16"/>
        <v>0</v>
      </c>
      <c r="V92" s="406">
        <f t="shared" si="16"/>
        <v>0</v>
      </c>
      <c r="W92" s="406">
        <f t="shared" si="16"/>
        <v>0</v>
      </c>
      <c r="X92" s="406">
        <f t="shared" si="16"/>
        <v>0</v>
      </c>
      <c r="Y92" s="406">
        <f t="shared" si="16"/>
        <v>0</v>
      </c>
      <c r="Z92" s="406"/>
    </row>
    <row r="93" spans="1:26">
      <c r="A93" s="23"/>
      <c r="B93" s="23"/>
      <c r="C93" s="23" t="s">
        <v>639</v>
      </c>
      <c r="D93" s="23"/>
      <c r="E93" s="406">
        <f t="shared" ca="1" si="16"/>
        <v>1.0714465029375186</v>
      </c>
      <c r="F93" s="406">
        <f t="shared" ca="1" si="16"/>
        <v>2.5314920825573255</v>
      </c>
      <c r="G93" s="406">
        <f t="shared" ca="1" si="16"/>
        <v>4.4143603382350047</v>
      </c>
      <c r="H93" s="406">
        <f t="shared" ca="1" si="16"/>
        <v>6.4504791082894695</v>
      </c>
      <c r="I93" s="406">
        <f t="shared" ca="1" si="16"/>
        <v>8.8788329900293625</v>
      </c>
      <c r="J93" s="406">
        <f t="shared" ca="1" si="16"/>
        <v>11.895651958232813</v>
      </c>
      <c r="K93" s="406">
        <f t="shared" ca="1" si="16"/>
        <v>15.465732350499543</v>
      </c>
      <c r="L93" s="406">
        <f t="shared" ca="1" si="16"/>
        <v>18.928078411542096</v>
      </c>
      <c r="M93" s="406">
        <f t="shared" ca="1" si="16"/>
        <v>22.432840421892269</v>
      </c>
      <c r="N93" s="406">
        <f t="shared" ca="1" si="16"/>
        <v>25.765062967987291</v>
      </c>
      <c r="O93" s="406">
        <f t="shared" ca="1" si="16"/>
        <v>28.751591394090703</v>
      </c>
      <c r="P93" s="406">
        <f t="shared" ca="1" si="16"/>
        <v>30.904345511240646</v>
      </c>
      <c r="Q93" s="406">
        <f t="shared" ca="1" si="16"/>
        <v>32.636261384490098</v>
      </c>
      <c r="R93" s="406">
        <f t="shared" ca="1" si="16"/>
        <v>34.086910079423824</v>
      </c>
      <c r="S93" s="406">
        <f t="shared" ca="1" si="16"/>
        <v>35.416693703240121</v>
      </c>
      <c r="T93" s="406">
        <f t="shared" ca="1" si="16"/>
        <v>36.532484355222856</v>
      </c>
      <c r="U93" s="406">
        <f t="shared" ca="1" si="16"/>
        <v>37.733678071162423</v>
      </c>
      <c r="V93" s="406">
        <f t="shared" ca="1" si="16"/>
        <v>39.059911843145414</v>
      </c>
      <c r="W93" s="406">
        <f t="shared" ca="1" si="16"/>
        <v>40.528056614287308</v>
      </c>
      <c r="X93" s="406">
        <f t="shared" ca="1" si="16"/>
        <v>42.028695892775275</v>
      </c>
      <c r="Y93" s="406">
        <f t="shared" ca="1" si="16"/>
        <v>166.34349089541217</v>
      </c>
      <c r="Z93" s="406"/>
    </row>
    <row r="94" spans="1:26">
      <c r="A94" s="23"/>
      <c r="B94" s="23"/>
      <c r="C94" s="23" t="s">
        <v>640</v>
      </c>
      <c r="D94" s="23"/>
      <c r="E94" s="406">
        <f t="shared" ca="1" si="16"/>
        <v>0.61174922864645009</v>
      </c>
      <c r="F94" s="406">
        <f t="shared" ca="1" si="16"/>
        <v>1.4453715837265166</v>
      </c>
      <c r="G94" s="406">
        <f t="shared" ca="1" si="16"/>
        <v>2.520407248032452</v>
      </c>
      <c r="H94" s="406">
        <f t="shared" ca="1" si="16"/>
        <v>3.6829422729715517</v>
      </c>
      <c r="I94" s="406">
        <f t="shared" ca="1" si="16"/>
        <v>5.069426441767817</v>
      </c>
      <c r="J94" s="406">
        <f t="shared" ca="1" si="16"/>
        <v>6.7918985126594986</v>
      </c>
      <c r="K94" s="406">
        <f t="shared" ca="1" si="16"/>
        <v>8.8302587296066513</v>
      </c>
      <c r="L94" s="406">
        <f t="shared" ca="1" si="16"/>
        <v>10.807107341593184</v>
      </c>
      <c r="M94" s="406">
        <f t="shared" ca="1" si="16"/>
        <v>12.808173610924346</v>
      </c>
      <c r="N94" s="406">
        <f t="shared" ca="1" si="16"/>
        <v>14.710727370410375</v>
      </c>
      <c r="O94" s="406">
        <f t="shared" ca="1" si="16"/>
        <v>16.415904862698106</v>
      </c>
      <c r="P94" s="406">
        <f t="shared" ca="1" si="16"/>
        <v>17.645033584497437</v>
      </c>
      <c r="Q94" s="406">
        <f t="shared" ca="1" si="16"/>
        <v>18.633882021293985</v>
      </c>
      <c r="R94" s="406">
        <f t="shared" ca="1" si="16"/>
        <v>19.462139165005468</v>
      </c>
      <c r="S94" s="406">
        <f t="shared" ca="1" si="16"/>
        <v>20.221387623893513</v>
      </c>
      <c r="T94" s="406">
        <f t="shared" ca="1" si="16"/>
        <v>20.858455427848227</v>
      </c>
      <c r="U94" s="406">
        <f t="shared" ca="1" si="16"/>
        <v>21.544284656994392</v>
      </c>
      <c r="V94" s="406">
        <f t="shared" ca="1" si="16"/>
        <v>22.301506305290509</v>
      </c>
      <c r="W94" s="406">
        <f t="shared" ca="1" si="16"/>
        <v>23.139752945533409</v>
      </c>
      <c r="X94" s="406">
        <f t="shared" ca="1" si="16"/>
        <v>23.996552532423394</v>
      </c>
      <c r="Y94" s="406">
        <f t="shared" ca="1" si="16"/>
        <v>94.974879255880467</v>
      </c>
      <c r="Z94" s="406"/>
    </row>
    <row r="95" spans="1:26">
      <c r="A95" s="23"/>
      <c r="B95" s="23"/>
      <c r="C95" s="23" t="s">
        <v>641</v>
      </c>
      <c r="D95" s="23"/>
      <c r="E95" s="406">
        <f t="shared" ca="1" si="16"/>
        <v>0</v>
      </c>
      <c r="F95" s="406">
        <f t="shared" ca="1" si="16"/>
        <v>0</v>
      </c>
      <c r="G95" s="406">
        <f t="shared" ca="1" si="16"/>
        <v>0</v>
      </c>
      <c r="H95" s="406">
        <f t="shared" ca="1" si="16"/>
        <v>0</v>
      </c>
      <c r="I95" s="406">
        <f t="shared" ca="1" si="16"/>
        <v>0</v>
      </c>
      <c r="J95" s="406">
        <f t="shared" ca="1" si="16"/>
        <v>0</v>
      </c>
      <c r="K95" s="406">
        <f t="shared" ca="1" si="16"/>
        <v>0</v>
      </c>
      <c r="L95" s="406">
        <f t="shared" ca="1" si="16"/>
        <v>0</v>
      </c>
      <c r="M95" s="406">
        <f t="shared" ca="1" si="16"/>
        <v>0</v>
      </c>
      <c r="N95" s="406">
        <f t="shared" ca="1" si="16"/>
        <v>0</v>
      </c>
      <c r="O95" s="406">
        <f t="shared" ca="1" si="16"/>
        <v>0</v>
      </c>
      <c r="P95" s="406">
        <f t="shared" ca="1" si="16"/>
        <v>0</v>
      </c>
      <c r="Q95" s="406">
        <f t="shared" ca="1" si="16"/>
        <v>0</v>
      </c>
      <c r="R95" s="406">
        <f t="shared" ca="1" si="16"/>
        <v>0</v>
      </c>
      <c r="S95" s="406">
        <f t="shared" ca="1" si="16"/>
        <v>0</v>
      </c>
      <c r="T95" s="406">
        <f t="shared" ca="1" si="16"/>
        <v>0</v>
      </c>
      <c r="U95" s="406">
        <f t="shared" ca="1" si="16"/>
        <v>0</v>
      </c>
      <c r="V95" s="406">
        <f t="shared" ca="1" si="16"/>
        <v>0</v>
      </c>
      <c r="W95" s="406">
        <f t="shared" ca="1" si="16"/>
        <v>0</v>
      </c>
      <c r="X95" s="406">
        <f t="shared" ca="1" si="16"/>
        <v>0</v>
      </c>
      <c r="Y95" s="406">
        <f t="shared" ca="1" si="16"/>
        <v>0</v>
      </c>
      <c r="Z95" s="406"/>
    </row>
    <row r="96" spans="1:26">
      <c r="A96" s="23"/>
      <c r="B96" s="23"/>
      <c r="C96" s="23" t="s">
        <v>642</v>
      </c>
      <c r="D96" s="23"/>
      <c r="E96" s="406">
        <f t="shared" ca="1" si="16"/>
        <v>0</v>
      </c>
      <c r="F96" s="406">
        <f t="shared" ca="1" si="16"/>
        <v>0</v>
      </c>
      <c r="G96" s="406">
        <f t="shared" ca="1" si="16"/>
        <v>0</v>
      </c>
      <c r="H96" s="406">
        <f t="shared" ca="1" si="16"/>
        <v>0</v>
      </c>
      <c r="I96" s="406">
        <f t="shared" ca="1" si="16"/>
        <v>0</v>
      </c>
      <c r="J96" s="406">
        <f t="shared" ca="1" si="16"/>
        <v>0</v>
      </c>
      <c r="K96" s="406">
        <f t="shared" ca="1" si="16"/>
        <v>0</v>
      </c>
      <c r="L96" s="406">
        <f t="shared" ca="1" si="16"/>
        <v>0</v>
      </c>
      <c r="M96" s="406">
        <f t="shared" ca="1" si="16"/>
        <v>0</v>
      </c>
      <c r="N96" s="406">
        <f t="shared" ca="1" si="16"/>
        <v>0</v>
      </c>
      <c r="O96" s="406">
        <f t="shared" ca="1" si="16"/>
        <v>0</v>
      </c>
      <c r="P96" s="406">
        <f t="shared" ca="1" si="16"/>
        <v>0</v>
      </c>
      <c r="Q96" s="406">
        <f t="shared" ca="1" si="16"/>
        <v>0</v>
      </c>
      <c r="R96" s="406">
        <f t="shared" ca="1" si="16"/>
        <v>0</v>
      </c>
      <c r="S96" s="406">
        <f t="shared" ca="1" si="16"/>
        <v>0</v>
      </c>
      <c r="T96" s="406">
        <f t="shared" ca="1" si="16"/>
        <v>0</v>
      </c>
      <c r="U96" s="406">
        <f t="shared" ca="1" si="16"/>
        <v>0</v>
      </c>
      <c r="V96" s="406">
        <f t="shared" ca="1" si="16"/>
        <v>0</v>
      </c>
      <c r="W96" s="406">
        <f t="shared" ca="1" si="16"/>
        <v>0</v>
      </c>
      <c r="X96" s="406">
        <f t="shared" ca="1" si="16"/>
        <v>0</v>
      </c>
      <c r="Y96" s="406">
        <f t="shared" ca="1" si="16"/>
        <v>0</v>
      </c>
      <c r="Z96" s="406"/>
    </row>
    <row r="97" spans="1:26">
      <c r="A97" s="23"/>
      <c r="B97" s="23"/>
      <c r="C97" s="23" t="s">
        <v>643</v>
      </c>
      <c r="D97" s="23"/>
      <c r="E97" s="406">
        <f t="shared" ca="1" si="16"/>
        <v>0</v>
      </c>
      <c r="F97" s="406">
        <f t="shared" ca="1" si="16"/>
        <v>0</v>
      </c>
      <c r="G97" s="406">
        <f t="shared" ca="1" si="16"/>
        <v>0</v>
      </c>
      <c r="H97" s="406">
        <f t="shared" ca="1" si="16"/>
        <v>0</v>
      </c>
      <c r="I97" s="406">
        <f t="shared" ca="1" si="16"/>
        <v>0</v>
      </c>
      <c r="J97" s="406">
        <f t="shared" ca="1" si="16"/>
        <v>0</v>
      </c>
      <c r="K97" s="406">
        <f t="shared" ca="1" si="16"/>
        <v>0</v>
      </c>
      <c r="L97" s="406">
        <f t="shared" ca="1" si="16"/>
        <v>0</v>
      </c>
      <c r="M97" s="406">
        <f t="shared" ca="1" si="16"/>
        <v>0</v>
      </c>
      <c r="N97" s="406">
        <f t="shared" ca="1" si="16"/>
        <v>0</v>
      </c>
      <c r="O97" s="406">
        <f t="shared" ca="1" si="16"/>
        <v>0</v>
      </c>
      <c r="P97" s="406">
        <f t="shared" ca="1" si="16"/>
        <v>0</v>
      </c>
      <c r="Q97" s="406">
        <f t="shared" ca="1" si="16"/>
        <v>0</v>
      </c>
      <c r="R97" s="406">
        <f t="shared" ca="1" si="16"/>
        <v>0</v>
      </c>
      <c r="S97" s="406">
        <f t="shared" ca="1" si="16"/>
        <v>0</v>
      </c>
      <c r="T97" s="406">
        <f t="shared" ca="1" si="16"/>
        <v>0</v>
      </c>
      <c r="U97" s="406">
        <f t="shared" ca="1" si="16"/>
        <v>0</v>
      </c>
      <c r="V97" s="406">
        <f t="shared" ca="1" si="16"/>
        <v>0</v>
      </c>
      <c r="W97" s="406">
        <f t="shared" ca="1" si="16"/>
        <v>0</v>
      </c>
      <c r="X97" s="406">
        <f t="shared" ca="1" si="16"/>
        <v>0</v>
      </c>
      <c r="Y97" s="406">
        <f t="shared" ca="1" si="16"/>
        <v>0</v>
      </c>
      <c r="Z97" s="406"/>
    </row>
    <row r="98" spans="1:26">
      <c r="A98" s="23"/>
      <c r="B98" s="23"/>
      <c r="C98" s="23" t="s">
        <v>644</v>
      </c>
      <c r="D98" s="23"/>
      <c r="E98" s="406">
        <f t="shared" ca="1" si="16"/>
        <v>0</v>
      </c>
      <c r="F98" s="406">
        <f t="shared" ca="1" si="16"/>
        <v>0</v>
      </c>
      <c r="G98" s="406">
        <f t="shared" ca="1" si="16"/>
        <v>0</v>
      </c>
      <c r="H98" s="406">
        <f t="shared" ca="1" si="16"/>
        <v>0</v>
      </c>
      <c r="I98" s="406">
        <f t="shared" ca="1" si="16"/>
        <v>0</v>
      </c>
      <c r="J98" s="406">
        <f t="shared" ca="1" si="16"/>
        <v>0</v>
      </c>
      <c r="K98" s="406">
        <f t="shared" ca="1" si="16"/>
        <v>0</v>
      </c>
      <c r="L98" s="406">
        <f t="shared" ca="1" si="16"/>
        <v>0</v>
      </c>
      <c r="M98" s="406">
        <f t="shared" ca="1" si="16"/>
        <v>0</v>
      </c>
      <c r="N98" s="406">
        <f t="shared" ca="1" si="16"/>
        <v>0</v>
      </c>
      <c r="O98" s="406">
        <f t="shared" ca="1" si="16"/>
        <v>0</v>
      </c>
      <c r="P98" s="406">
        <f t="shared" ca="1" si="16"/>
        <v>0</v>
      </c>
      <c r="Q98" s="406">
        <f t="shared" ca="1" si="16"/>
        <v>0</v>
      </c>
      <c r="R98" s="406">
        <f t="shared" ca="1" si="16"/>
        <v>0</v>
      </c>
      <c r="S98" s="406">
        <f t="shared" ca="1" si="16"/>
        <v>0</v>
      </c>
      <c r="T98" s="406">
        <f t="shared" ca="1" si="16"/>
        <v>0</v>
      </c>
      <c r="U98" s="406">
        <f t="shared" ca="1" si="16"/>
        <v>0</v>
      </c>
      <c r="V98" s="406">
        <f t="shared" ca="1" si="16"/>
        <v>0</v>
      </c>
      <c r="W98" s="406">
        <f t="shared" ca="1" si="16"/>
        <v>0</v>
      </c>
      <c r="X98" s="406">
        <f t="shared" ca="1" si="16"/>
        <v>0</v>
      </c>
      <c r="Y98" s="406">
        <f t="shared" ca="1" si="16"/>
        <v>0</v>
      </c>
      <c r="Z98" s="406"/>
    </row>
    <row r="99" spans="1:26">
      <c r="A99" s="23"/>
      <c r="B99" s="23"/>
      <c r="C99" s="23" t="s">
        <v>645</v>
      </c>
      <c r="D99" s="23"/>
      <c r="E99" s="406">
        <f t="shared" ca="1" si="16"/>
        <v>0</v>
      </c>
      <c r="F99" s="406">
        <f t="shared" ca="1" si="16"/>
        <v>0</v>
      </c>
      <c r="G99" s="406">
        <f t="shared" ca="1" si="16"/>
        <v>0</v>
      </c>
      <c r="H99" s="406">
        <f t="shared" ca="1" si="16"/>
        <v>0</v>
      </c>
      <c r="I99" s="406">
        <f t="shared" ca="1" si="16"/>
        <v>0</v>
      </c>
      <c r="J99" s="406">
        <f t="shared" ca="1" si="16"/>
        <v>0</v>
      </c>
      <c r="K99" s="406">
        <f t="shared" ca="1" si="16"/>
        <v>0</v>
      </c>
      <c r="L99" s="406">
        <f t="shared" ca="1" si="16"/>
        <v>0</v>
      </c>
      <c r="M99" s="406">
        <f t="shared" ca="1" si="16"/>
        <v>0</v>
      </c>
      <c r="N99" s="406">
        <f t="shared" ca="1" si="16"/>
        <v>0</v>
      </c>
      <c r="O99" s="406">
        <f t="shared" ca="1" si="16"/>
        <v>0</v>
      </c>
      <c r="P99" s="406">
        <f t="shared" ca="1" si="16"/>
        <v>0</v>
      </c>
      <c r="Q99" s="406">
        <f t="shared" ca="1" si="16"/>
        <v>0</v>
      </c>
      <c r="R99" s="406">
        <f t="shared" ca="1" si="16"/>
        <v>0</v>
      </c>
      <c r="S99" s="406">
        <f t="shared" ca="1" si="16"/>
        <v>0</v>
      </c>
      <c r="T99" s="406">
        <f t="shared" ca="1" si="16"/>
        <v>0</v>
      </c>
      <c r="U99" s="406">
        <f t="shared" ca="1" si="16"/>
        <v>0</v>
      </c>
      <c r="V99" s="406">
        <f t="shared" ca="1" si="16"/>
        <v>0</v>
      </c>
      <c r="W99" s="406">
        <f t="shared" ca="1" si="16"/>
        <v>0</v>
      </c>
      <c r="X99" s="406">
        <f t="shared" ca="1" si="16"/>
        <v>0</v>
      </c>
      <c r="Y99" s="406">
        <f t="shared" ca="1" si="16"/>
        <v>0</v>
      </c>
      <c r="Z99" s="406"/>
    </row>
    <row r="100" spans="1:26">
      <c r="A100" s="23"/>
      <c r="B100" s="23"/>
      <c r="C100" s="23" t="s">
        <v>646</v>
      </c>
      <c r="D100" s="23"/>
      <c r="E100" s="406">
        <f t="shared" ca="1" si="16"/>
        <v>0</v>
      </c>
      <c r="F100" s="406">
        <f t="shared" ca="1" si="16"/>
        <v>0</v>
      </c>
      <c r="G100" s="406">
        <f t="shared" ca="1" si="16"/>
        <v>0</v>
      </c>
      <c r="H100" s="406">
        <f t="shared" ca="1" si="16"/>
        <v>0</v>
      </c>
      <c r="I100" s="406">
        <f t="shared" ca="1" si="16"/>
        <v>0</v>
      </c>
      <c r="J100" s="406">
        <f t="shared" ca="1" si="16"/>
        <v>0</v>
      </c>
      <c r="K100" s="406">
        <f t="shared" ca="1" si="16"/>
        <v>0</v>
      </c>
      <c r="L100" s="406">
        <f t="shared" ca="1" si="16"/>
        <v>0</v>
      </c>
      <c r="M100" s="406">
        <f t="shared" ca="1" si="16"/>
        <v>0</v>
      </c>
      <c r="N100" s="406">
        <f t="shared" ca="1" si="16"/>
        <v>0</v>
      </c>
      <c r="O100" s="406">
        <f t="shared" ca="1" si="16"/>
        <v>0</v>
      </c>
      <c r="P100" s="406">
        <f t="shared" ca="1" si="16"/>
        <v>0</v>
      </c>
      <c r="Q100" s="406">
        <f t="shared" ca="1" si="16"/>
        <v>0</v>
      </c>
      <c r="R100" s="406">
        <f t="shared" ca="1" si="16"/>
        <v>0</v>
      </c>
      <c r="S100" s="406">
        <f t="shared" ca="1" si="16"/>
        <v>0</v>
      </c>
      <c r="T100" s="406">
        <f t="shared" ca="1" si="16"/>
        <v>0</v>
      </c>
      <c r="U100" s="406">
        <f t="shared" ca="1" si="16"/>
        <v>0</v>
      </c>
      <c r="V100" s="406">
        <f t="shared" ca="1" si="16"/>
        <v>0</v>
      </c>
      <c r="W100" s="406">
        <f t="shared" ca="1" si="16"/>
        <v>0</v>
      </c>
      <c r="X100" s="406">
        <f t="shared" ca="1" si="16"/>
        <v>0</v>
      </c>
      <c r="Y100" s="406">
        <f t="shared" ca="1" si="16"/>
        <v>0</v>
      </c>
      <c r="Z100" s="406"/>
    </row>
    <row r="101" spans="1:26">
      <c r="A101" s="23"/>
      <c r="B101" s="23"/>
      <c r="C101" s="23" t="s">
        <v>647</v>
      </c>
      <c r="D101" s="23"/>
      <c r="E101" s="406">
        <f t="shared" ca="1" si="16"/>
        <v>0</v>
      </c>
      <c r="F101" s="406">
        <f t="shared" ca="1" si="16"/>
        <v>0</v>
      </c>
      <c r="G101" s="406">
        <f t="shared" ca="1" si="16"/>
        <v>0</v>
      </c>
      <c r="H101" s="406">
        <f t="shared" ca="1" si="16"/>
        <v>0</v>
      </c>
      <c r="I101" s="406">
        <f t="shared" ca="1" si="16"/>
        <v>0</v>
      </c>
      <c r="J101" s="406">
        <f t="shared" ca="1" si="16"/>
        <v>0</v>
      </c>
      <c r="K101" s="406">
        <f t="shared" ca="1" si="16"/>
        <v>0</v>
      </c>
      <c r="L101" s="406">
        <f t="shared" ca="1" si="16"/>
        <v>0</v>
      </c>
      <c r="M101" s="406">
        <f t="shared" ca="1" si="16"/>
        <v>0</v>
      </c>
      <c r="N101" s="406">
        <f t="shared" ca="1" si="16"/>
        <v>0</v>
      </c>
      <c r="O101" s="406">
        <f t="shared" ca="1" si="16"/>
        <v>0</v>
      </c>
      <c r="P101" s="406">
        <f t="shared" ca="1" si="16"/>
        <v>0</v>
      </c>
      <c r="Q101" s="406">
        <f t="shared" ca="1" si="16"/>
        <v>0</v>
      </c>
      <c r="R101" s="406">
        <f t="shared" ca="1" si="16"/>
        <v>0</v>
      </c>
      <c r="S101" s="406">
        <f t="shared" ca="1" si="16"/>
        <v>0</v>
      </c>
      <c r="T101" s="406">
        <f t="shared" ca="1" si="16"/>
        <v>0</v>
      </c>
      <c r="U101" s="406">
        <f t="shared" ca="1" si="16"/>
        <v>0</v>
      </c>
      <c r="V101" s="406">
        <f t="shared" ca="1" si="16"/>
        <v>0</v>
      </c>
      <c r="W101" s="406">
        <f t="shared" ca="1" si="16"/>
        <v>0</v>
      </c>
      <c r="X101" s="406">
        <f t="shared" ca="1" si="16"/>
        <v>0</v>
      </c>
      <c r="Y101" s="406">
        <f t="shared" ca="1" si="16"/>
        <v>0</v>
      </c>
      <c r="Z101" s="406"/>
    </row>
    <row r="102" spans="1:26">
      <c r="A102" s="23"/>
      <c r="B102" s="23"/>
      <c r="C102" s="23" t="s">
        <v>648</v>
      </c>
      <c r="D102" s="23"/>
      <c r="E102" s="406">
        <f t="shared" ca="1" si="16"/>
        <v>0</v>
      </c>
      <c r="F102" s="406">
        <f t="shared" ca="1" si="16"/>
        <v>0</v>
      </c>
      <c r="G102" s="406">
        <f t="shared" ca="1" si="16"/>
        <v>0</v>
      </c>
      <c r="H102" s="406">
        <f t="shared" ca="1" si="16"/>
        <v>0</v>
      </c>
      <c r="I102" s="406">
        <f t="shared" ca="1" si="16"/>
        <v>0</v>
      </c>
      <c r="J102" s="406">
        <f t="shared" ca="1" si="16"/>
        <v>0</v>
      </c>
      <c r="K102" s="406">
        <f t="shared" ca="1" si="16"/>
        <v>0</v>
      </c>
      <c r="L102" s="406">
        <f t="shared" ca="1" si="16"/>
        <v>0</v>
      </c>
      <c r="M102" s="406">
        <f t="shared" ca="1" si="16"/>
        <v>0</v>
      </c>
      <c r="N102" s="406">
        <f t="shared" ca="1" si="16"/>
        <v>0</v>
      </c>
      <c r="O102" s="406">
        <f t="shared" ca="1" si="16"/>
        <v>0</v>
      </c>
      <c r="P102" s="406">
        <f t="shared" ca="1" si="16"/>
        <v>0</v>
      </c>
      <c r="Q102" s="406">
        <f t="shared" ca="1" si="16"/>
        <v>0</v>
      </c>
      <c r="R102" s="406">
        <f t="shared" ca="1" si="16"/>
        <v>0</v>
      </c>
      <c r="S102" s="406">
        <f t="shared" ca="1" si="16"/>
        <v>0</v>
      </c>
      <c r="T102" s="406">
        <f t="shared" ca="1" si="16"/>
        <v>0</v>
      </c>
      <c r="U102" s="406">
        <f t="shared" ca="1" si="16"/>
        <v>0</v>
      </c>
      <c r="V102" s="406">
        <f t="shared" ca="1" si="16"/>
        <v>0</v>
      </c>
      <c r="W102" s="406">
        <f t="shared" ca="1" si="16"/>
        <v>0</v>
      </c>
      <c r="X102" s="406">
        <f t="shared" ca="1" si="16"/>
        <v>0</v>
      </c>
      <c r="Y102" s="406">
        <f t="shared" ca="1" si="16"/>
        <v>0</v>
      </c>
      <c r="Z102" s="406"/>
    </row>
    <row r="103" spans="1:26">
      <c r="A103" s="23"/>
      <c r="B103" s="23"/>
      <c r="C103" s="23" t="s">
        <v>649</v>
      </c>
      <c r="D103" s="23"/>
      <c r="E103" s="406">
        <f t="shared" ca="1" si="16"/>
        <v>0</v>
      </c>
      <c r="F103" s="406">
        <f t="shared" ca="1" si="16"/>
        <v>0</v>
      </c>
      <c r="G103" s="406">
        <f t="shared" ca="1" si="16"/>
        <v>0</v>
      </c>
      <c r="H103" s="406">
        <f t="shared" ca="1" si="16"/>
        <v>0</v>
      </c>
      <c r="I103" s="406">
        <f t="shared" ca="1" si="16"/>
        <v>0</v>
      </c>
      <c r="J103" s="406">
        <f t="shared" ca="1" si="16"/>
        <v>0</v>
      </c>
      <c r="K103" s="406">
        <f t="shared" ca="1" si="16"/>
        <v>0</v>
      </c>
      <c r="L103" s="406">
        <f t="shared" ca="1" si="16"/>
        <v>0</v>
      </c>
      <c r="M103" s="406">
        <f t="shared" ca="1" si="16"/>
        <v>0</v>
      </c>
      <c r="N103" s="406">
        <f t="shared" ca="1" si="16"/>
        <v>0</v>
      </c>
      <c r="O103" s="406">
        <f t="shared" ca="1" si="16"/>
        <v>0</v>
      </c>
      <c r="P103" s="406">
        <f t="shared" ca="1" si="16"/>
        <v>0</v>
      </c>
      <c r="Q103" s="406">
        <f t="shared" ca="1" si="16"/>
        <v>0</v>
      </c>
      <c r="R103" s="406">
        <f t="shared" ca="1" si="16"/>
        <v>0</v>
      </c>
      <c r="S103" s="406">
        <f t="shared" ca="1" si="16"/>
        <v>0</v>
      </c>
      <c r="T103" s="406">
        <f t="shared" ca="1" si="16"/>
        <v>0</v>
      </c>
      <c r="U103" s="406">
        <f t="shared" ca="1" si="16"/>
        <v>0</v>
      </c>
      <c r="V103" s="406">
        <f t="shared" ca="1" si="16"/>
        <v>0</v>
      </c>
      <c r="W103" s="406">
        <f t="shared" ca="1" si="16"/>
        <v>0</v>
      </c>
      <c r="X103" s="406">
        <f t="shared" ca="1" si="16"/>
        <v>0</v>
      </c>
      <c r="Y103" s="406">
        <f t="shared" ca="1" si="16"/>
        <v>0</v>
      </c>
      <c r="Z103" s="406"/>
    </row>
    <row r="104" spans="1:26">
      <c r="A104" s="23"/>
      <c r="B104" s="23"/>
      <c r="C104" s="23" t="s">
        <v>650</v>
      </c>
      <c r="D104" s="23"/>
      <c r="E104" s="406">
        <f t="shared" ca="1" si="16"/>
        <v>0</v>
      </c>
      <c r="F104" s="406">
        <f t="shared" ca="1" si="16"/>
        <v>0</v>
      </c>
      <c r="G104" s="406">
        <f t="shared" ca="1" si="16"/>
        <v>0</v>
      </c>
      <c r="H104" s="406">
        <f t="shared" ref="H104:Y119" ca="1" si="17">H67-H66</f>
        <v>0</v>
      </c>
      <c r="I104" s="406">
        <f t="shared" ca="1" si="17"/>
        <v>0</v>
      </c>
      <c r="J104" s="406">
        <f t="shared" ca="1" si="17"/>
        <v>0</v>
      </c>
      <c r="K104" s="406">
        <f t="shared" ca="1" si="17"/>
        <v>0</v>
      </c>
      <c r="L104" s="406">
        <f t="shared" ca="1" si="17"/>
        <v>0</v>
      </c>
      <c r="M104" s="406">
        <f t="shared" ca="1" si="17"/>
        <v>0</v>
      </c>
      <c r="N104" s="406">
        <f t="shared" ca="1" si="17"/>
        <v>0</v>
      </c>
      <c r="O104" s="406">
        <f t="shared" ca="1" si="17"/>
        <v>0</v>
      </c>
      <c r="P104" s="406">
        <f t="shared" ca="1" si="17"/>
        <v>0</v>
      </c>
      <c r="Q104" s="406">
        <f t="shared" ca="1" si="17"/>
        <v>0</v>
      </c>
      <c r="R104" s="406">
        <f t="shared" ca="1" si="17"/>
        <v>0</v>
      </c>
      <c r="S104" s="406">
        <f t="shared" ca="1" si="17"/>
        <v>0</v>
      </c>
      <c r="T104" s="406">
        <f t="shared" ca="1" si="17"/>
        <v>0</v>
      </c>
      <c r="U104" s="406">
        <f t="shared" ca="1" si="17"/>
        <v>0</v>
      </c>
      <c r="V104" s="406">
        <f t="shared" ca="1" si="17"/>
        <v>0</v>
      </c>
      <c r="W104" s="406">
        <f t="shared" ca="1" si="17"/>
        <v>0</v>
      </c>
      <c r="X104" s="406">
        <f t="shared" ca="1" si="17"/>
        <v>0</v>
      </c>
      <c r="Y104" s="406">
        <f t="shared" ca="1" si="17"/>
        <v>0</v>
      </c>
      <c r="Z104" s="406"/>
    </row>
    <row r="105" spans="1:26">
      <c r="A105" s="23"/>
      <c r="B105" s="23"/>
      <c r="C105" s="23" t="s">
        <v>651</v>
      </c>
      <c r="D105" s="23"/>
      <c r="E105" s="406">
        <f t="shared" ref="E105:X117" ca="1" si="18">E68-E67</f>
        <v>0</v>
      </c>
      <c r="F105" s="406">
        <f t="shared" ca="1" si="18"/>
        <v>0</v>
      </c>
      <c r="G105" s="406">
        <f t="shared" ca="1" si="18"/>
        <v>0</v>
      </c>
      <c r="H105" s="406">
        <f t="shared" ca="1" si="18"/>
        <v>0</v>
      </c>
      <c r="I105" s="406">
        <f t="shared" ca="1" si="18"/>
        <v>0</v>
      </c>
      <c r="J105" s="406">
        <f t="shared" ca="1" si="18"/>
        <v>0</v>
      </c>
      <c r="K105" s="406">
        <f t="shared" ca="1" si="18"/>
        <v>0</v>
      </c>
      <c r="L105" s="406">
        <f t="shared" ca="1" si="18"/>
        <v>0</v>
      </c>
      <c r="M105" s="406">
        <f t="shared" ca="1" si="18"/>
        <v>0</v>
      </c>
      <c r="N105" s="406">
        <f t="shared" ca="1" si="18"/>
        <v>0</v>
      </c>
      <c r="O105" s="406">
        <f t="shared" ca="1" si="18"/>
        <v>0</v>
      </c>
      <c r="P105" s="406">
        <f t="shared" ca="1" si="18"/>
        <v>0</v>
      </c>
      <c r="Q105" s="406">
        <f t="shared" ca="1" si="18"/>
        <v>0</v>
      </c>
      <c r="R105" s="406">
        <f t="shared" ca="1" si="18"/>
        <v>0</v>
      </c>
      <c r="S105" s="406">
        <f t="shared" ca="1" si="18"/>
        <v>0</v>
      </c>
      <c r="T105" s="406">
        <f t="shared" ca="1" si="18"/>
        <v>0</v>
      </c>
      <c r="U105" s="406">
        <f t="shared" ca="1" si="18"/>
        <v>0</v>
      </c>
      <c r="V105" s="406">
        <f t="shared" ca="1" si="18"/>
        <v>0</v>
      </c>
      <c r="W105" s="406">
        <f t="shared" ca="1" si="18"/>
        <v>0</v>
      </c>
      <c r="X105" s="406">
        <f t="shared" ca="1" si="18"/>
        <v>0</v>
      </c>
      <c r="Y105" s="406">
        <f t="shared" ca="1" si="17"/>
        <v>0</v>
      </c>
      <c r="Z105" s="406"/>
    </row>
    <row r="106" spans="1:26">
      <c r="A106" s="23"/>
      <c r="B106" s="23"/>
      <c r="C106" s="23" t="s">
        <v>652</v>
      </c>
      <c r="D106" s="23"/>
      <c r="E106" s="406">
        <f t="shared" ca="1" si="18"/>
        <v>0</v>
      </c>
      <c r="F106" s="406">
        <f t="shared" ca="1" si="18"/>
        <v>0</v>
      </c>
      <c r="G106" s="406">
        <f t="shared" ca="1" si="18"/>
        <v>0</v>
      </c>
      <c r="H106" s="406">
        <f t="shared" ca="1" si="18"/>
        <v>0</v>
      </c>
      <c r="I106" s="406">
        <f t="shared" ca="1" si="18"/>
        <v>0</v>
      </c>
      <c r="J106" s="406">
        <f t="shared" ca="1" si="18"/>
        <v>0</v>
      </c>
      <c r="K106" s="406">
        <f t="shared" ca="1" si="18"/>
        <v>0</v>
      </c>
      <c r="L106" s="406">
        <f t="shared" ca="1" si="18"/>
        <v>0</v>
      </c>
      <c r="M106" s="406">
        <f t="shared" ca="1" si="18"/>
        <v>0</v>
      </c>
      <c r="N106" s="406">
        <f t="shared" ca="1" si="18"/>
        <v>0</v>
      </c>
      <c r="O106" s="406">
        <f t="shared" ca="1" si="18"/>
        <v>0</v>
      </c>
      <c r="P106" s="406">
        <f t="shared" ca="1" si="18"/>
        <v>0</v>
      </c>
      <c r="Q106" s="406">
        <f t="shared" ca="1" si="18"/>
        <v>0</v>
      </c>
      <c r="R106" s="406">
        <f t="shared" ca="1" si="18"/>
        <v>0</v>
      </c>
      <c r="S106" s="406">
        <f t="shared" ca="1" si="18"/>
        <v>0</v>
      </c>
      <c r="T106" s="406">
        <f t="shared" ca="1" si="18"/>
        <v>0</v>
      </c>
      <c r="U106" s="406">
        <f t="shared" ca="1" si="18"/>
        <v>0</v>
      </c>
      <c r="V106" s="406">
        <f t="shared" ca="1" si="18"/>
        <v>0</v>
      </c>
      <c r="W106" s="406">
        <f t="shared" ca="1" si="18"/>
        <v>0</v>
      </c>
      <c r="X106" s="406">
        <f t="shared" ca="1" si="18"/>
        <v>0</v>
      </c>
      <c r="Y106" s="406">
        <f t="shared" ca="1" si="17"/>
        <v>0</v>
      </c>
      <c r="Z106" s="406"/>
    </row>
    <row r="107" spans="1:26">
      <c r="A107" s="23"/>
      <c r="B107" s="23"/>
      <c r="C107" s="23" t="s">
        <v>653</v>
      </c>
      <c r="D107" s="23"/>
      <c r="E107" s="406">
        <f t="shared" ca="1" si="18"/>
        <v>0</v>
      </c>
      <c r="F107" s="406">
        <f t="shared" ca="1" si="18"/>
        <v>0</v>
      </c>
      <c r="G107" s="406">
        <f t="shared" ca="1" si="18"/>
        <v>0</v>
      </c>
      <c r="H107" s="406">
        <f t="shared" ca="1" si="18"/>
        <v>0</v>
      </c>
      <c r="I107" s="406">
        <f t="shared" ca="1" si="18"/>
        <v>0</v>
      </c>
      <c r="J107" s="406">
        <f t="shared" ca="1" si="18"/>
        <v>0</v>
      </c>
      <c r="K107" s="406">
        <f t="shared" ca="1" si="18"/>
        <v>0</v>
      </c>
      <c r="L107" s="406">
        <f t="shared" ca="1" si="18"/>
        <v>0</v>
      </c>
      <c r="M107" s="406">
        <f t="shared" ca="1" si="18"/>
        <v>0</v>
      </c>
      <c r="N107" s="406">
        <f t="shared" ca="1" si="18"/>
        <v>0</v>
      </c>
      <c r="O107" s="406">
        <f t="shared" ca="1" si="18"/>
        <v>0</v>
      </c>
      <c r="P107" s="406">
        <f t="shared" ca="1" si="18"/>
        <v>0</v>
      </c>
      <c r="Q107" s="406">
        <f t="shared" ca="1" si="18"/>
        <v>0</v>
      </c>
      <c r="R107" s="406">
        <f t="shared" ca="1" si="18"/>
        <v>0</v>
      </c>
      <c r="S107" s="406">
        <f t="shared" ca="1" si="18"/>
        <v>0</v>
      </c>
      <c r="T107" s="406">
        <f t="shared" ca="1" si="18"/>
        <v>0</v>
      </c>
      <c r="U107" s="406">
        <f t="shared" ca="1" si="18"/>
        <v>0</v>
      </c>
      <c r="V107" s="406">
        <f t="shared" ca="1" si="18"/>
        <v>0</v>
      </c>
      <c r="W107" s="406">
        <f t="shared" ca="1" si="18"/>
        <v>0</v>
      </c>
      <c r="X107" s="406">
        <f t="shared" ca="1" si="18"/>
        <v>0</v>
      </c>
      <c r="Y107" s="406">
        <f t="shared" ca="1" si="17"/>
        <v>0</v>
      </c>
      <c r="Z107" s="406"/>
    </row>
    <row r="108" spans="1:26">
      <c r="A108" s="23"/>
      <c r="B108" s="23"/>
      <c r="C108" s="23" t="s">
        <v>654</v>
      </c>
      <c r="D108" s="23"/>
      <c r="E108" s="406">
        <f t="shared" ca="1" si="18"/>
        <v>0</v>
      </c>
      <c r="F108" s="406">
        <f t="shared" ca="1" si="18"/>
        <v>0</v>
      </c>
      <c r="G108" s="406">
        <f t="shared" ca="1" si="18"/>
        <v>0</v>
      </c>
      <c r="H108" s="406">
        <f t="shared" ca="1" si="18"/>
        <v>0</v>
      </c>
      <c r="I108" s="406">
        <f t="shared" ca="1" si="18"/>
        <v>0</v>
      </c>
      <c r="J108" s="406">
        <f t="shared" ca="1" si="18"/>
        <v>0</v>
      </c>
      <c r="K108" s="406">
        <f t="shared" ca="1" si="18"/>
        <v>0</v>
      </c>
      <c r="L108" s="406">
        <f t="shared" ca="1" si="18"/>
        <v>0</v>
      </c>
      <c r="M108" s="406">
        <f t="shared" ca="1" si="18"/>
        <v>0</v>
      </c>
      <c r="N108" s="406">
        <f t="shared" ca="1" si="18"/>
        <v>0</v>
      </c>
      <c r="O108" s="406">
        <f t="shared" ca="1" si="18"/>
        <v>0</v>
      </c>
      <c r="P108" s="406">
        <f t="shared" ca="1" si="18"/>
        <v>0</v>
      </c>
      <c r="Q108" s="406">
        <f t="shared" ca="1" si="18"/>
        <v>0</v>
      </c>
      <c r="R108" s="406">
        <f t="shared" ca="1" si="18"/>
        <v>0</v>
      </c>
      <c r="S108" s="406">
        <f t="shared" ca="1" si="18"/>
        <v>0</v>
      </c>
      <c r="T108" s="406">
        <f t="shared" ca="1" si="18"/>
        <v>0</v>
      </c>
      <c r="U108" s="406">
        <f t="shared" ca="1" si="18"/>
        <v>0</v>
      </c>
      <c r="V108" s="406">
        <f t="shared" ca="1" si="18"/>
        <v>0</v>
      </c>
      <c r="W108" s="406">
        <f t="shared" ca="1" si="18"/>
        <v>0</v>
      </c>
      <c r="X108" s="406">
        <f t="shared" ca="1" si="18"/>
        <v>0</v>
      </c>
      <c r="Y108" s="406">
        <f t="shared" ca="1" si="17"/>
        <v>0</v>
      </c>
      <c r="Z108" s="406"/>
    </row>
    <row r="109" spans="1:26">
      <c r="A109" s="23"/>
      <c r="B109" s="23"/>
      <c r="C109" s="23" t="s">
        <v>655</v>
      </c>
      <c r="D109" s="23"/>
      <c r="E109" s="406">
        <f t="shared" ca="1" si="18"/>
        <v>0</v>
      </c>
      <c r="F109" s="406">
        <f t="shared" ca="1" si="18"/>
        <v>0</v>
      </c>
      <c r="G109" s="406">
        <f t="shared" ca="1" si="18"/>
        <v>0</v>
      </c>
      <c r="H109" s="406">
        <f t="shared" ca="1" si="18"/>
        <v>0</v>
      </c>
      <c r="I109" s="406">
        <f t="shared" ca="1" si="18"/>
        <v>0</v>
      </c>
      <c r="J109" s="406">
        <f t="shared" ca="1" si="18"/>
        <v>0</v>
      </c>
      <c r="K109" s="406">
        <f t="shared" ca="1" si="18"/>
        <v>0</v>
      </c>
      <c r="L109" s="406">
        <f t="shared" ca="1" si="18"/>
        <v>0</v>
      </c>
      <c r="M109" s="406">
        <f t="shared" ca="1" si="18"/>
        <v>0</v>
      </c>
      <c r="N109" s="406">
        <f t="shared" ca="1" si="18"/>
        <v>0</v>
      </c>
      <c r="O109" s="406">
        <f t="shared" ca="1" si="18"/>
        <v>0</v>
      </c>
      <c r="P109" s="406">
        <f t="shared" ca="1" si="18"/>
        <v>0</v>
      </c>
      <c r="Q109" s="406">
        <f t="shared" ca="1" si="18"/>
        <v>0</v>
      </c>
      <c r="R109" s="406">
        <f t="shared" ca="1" si="18"/>
        <v>0</v>
      </c>
      <c r="S109" s="406">
        <f t="shared" ca="1" si="18"/>
        <v>0</v>
      </c>
      <c r="T109" s="406">
        <f t="shared" ca="1" si="18"/>
        <v>0</v>
      </c>
      <c r="U109" s="406">
        <f t="shared" ca="1" si="18"/>
        <v>0</v>
      </c>
      <c r="V109" s="406">
        <f t="shared" ca="1" si="18"/>
        <v>0</v>
      </c>
      <c r="W109" s="406">
        <f t="shared" ca="1" si="18"/>
        <v>0</v>
      </c>
      <c r="X109" s="406">
        <f t="shared" ca="1" si="18"/>
        <v>0</v>
      </c>
      <c r="Y109" s="406">
        <f t="shared" ca="1" si="17"/>
        <v>0</v>
      </c>
      <c r="Z109" s="406"/>
    </row>
    <row r="110" spans="1:26">
      <c r="A110" s="23"/>
      <c r="B110" s="23"/>
      <c r="C110" s="23" t="s">
        <v>656</v>
      </c>
      <c r="D110" s="23"/>
      <c r="E110" s="406">
        <f t="shared" ca="1" si="18"/>
        <v>0</v>
      </c>
      <c r="F110" s="406">
        <f t="shared" ca="1" si="18"/>
        <v>0</v>
      </c>
      <c r="G110" s="406">
        <f t="shared" ca="1" si="18"/>
        <v>0</v>
      </c>
      <c r="H110" s="406">
        <f t="shared" ca="1" si="18"/>
        <v>0</v>
      </c>
      <c r="I110" s="406">
        <f t="shared" ca="1" si="18"/>
        <v>0</v>
      </c>
      <c r="J110" s="406">
        <f t="shared" ca="1" si="18"/>
        <v>0</v>
      </c>
      <c r="K110" s="406">
        <f t="shared" ca="1" si="18"/>
        <v>0</v>
      </c>
      <c r="L110" s="406">
        <f t="shared" ca="1" si="18"/>
        <v>0</v>
      </c>
      <c r="M110" s="406">
        <f t="shared" ca="1" si="18"/>
        <v>0</v>
      </c>
      <c r="N110" s="406">
        <f t="shared" ca="1" si="18"/>
        <v>0</v>
      </c>
      <c r="O110" s="406">
        <f t="shared" ca="1" si="18"/>
        <v>0</v>
      </c>
      <c r="P110" s="406">
        <f t="shared" ca="1" si="18"/>
        <v>0</v>
      </c>
      <c r="Q110" s="406">
        <f t="shared" ca="1" si="18"/>
        <v>0</v>
      </c>
      <c r="R110" s="406">
        <f t="shared" ca="1" si="18"/>
        <v>0</v>
      </c>
      <c r="S110" s="406">
        <f t="shared" ca="1" si="18"/>
        <v>0</v>
      </c>
      <c r="T110" s="406">
        <f t="shared" ca="1" si="18"/>
        <v>0</v>
      </c>
      <c r="U110" s="406">
        <f t="shared" ca="1" si="18"/>
        <v>0</v>
      </c>
      <c r="V110" s="406">
        <f t="shared" ca="1" si="18"/>
        <v>0</v>
      </c>
      <c r="W110" s="406">
        <f t="shared" ca="1" si="18"/>
        <v>0</v>
      </c>
      <c r="X110" s="406">
        <f t="shared" ca="1" si="18"/>
        <v>0</v>
      </c>
      <c r="Y110" s="406">
        <f t="shared" ca="1" si="17"/>
        <v>0</v>
      </c>
      <c r="Z110" s="406"/>
    </row>
    <row r="111" spans="1:26">
      <c r="A111" s="23"/>
      <c r="B111" s="23"/>
      <c r="C111" s="23" t="s">
        <v>657</v>
      </c>
      <c r="D111" s="23"/>
      <c r="E111" s="406">
        <f t="shared" ca="1" si="18"/>
        <v>0</v>
      </c>
      <c r="F111" s="406">
        <f t="shared" ca="1" si="18"/>
        <v>0</v>
      </c>
      <c r="G111" s="406">
        <f t="shared" ca="1" si="18"/>
        <v>0</v>
      </c>
      <c r="H111" s="406">
        <f t="shared" ca="1" si="18"/>
        <v>0</v>
      </c>
      <c r="I111" s="406">
        <f t="shared" ca="1" si="18"/>
        <v>0</v>
      </c>
      <c r="J111" s="406">
        <f t="shared" ca="1" si="18"/>
        <v>0</v>
      </c>
      <c r="K111" s="406">
        <f t="shared" ca="1" si="18"/>
        <v>0</v>
      </c>
      <c r="L111" s="406">
        <f t="shared" ca="1" si="18"/>
        <v>0</v>
      </c>
      <c r="M111" s="406">
        <f t="shared" ca="1" si="18"/>
        <v>0</v>
      </c>
      <c r="N111" s="406">
        <f t="shared" ca="1" si="18"/>
        <v>0</v>
      </c>
      <c r="O111" s="406">
        <f t="shared" ca="1" si="18"/>
        <v>0</v>
      </c>
      <c r="P111" s="406">
        <f t="shared" ca="1" si="18"/>
        <v>0</v>
      </c>
      <c r="Q111" s="406">
        <f t="shared" ca="1" si="18"/>
        <v>0</v>
      </c>
      <c r="R111" s="406">
        <f t="shared" ca="1" si="18"/>
        <v>0</v>
      </c>
      <c r="S111" s="406">
        <f t="shared" ca="1" si="18"/>
        <v>0</v>
      </c>
      <c r="T111" s="406">
        <f t="shared" ca="1" si="18"/>
        <v>0</v>
      </c>
      <c r="U111" s="406">
        <f t="shared" ca="1" si="18"/>
        <v>0</v>
      </c>
      <c r="V111" s="406">
        <f t="shared" ca="1" si="18"/>
        <v>0</v>
      </c>
      <c r="W111" s="406">
        <f t="shared" ca="1" si="18"/>
        <v>0</v>
      </c>
      <c r="X111" s="406">
        <f t="shared" ca="1" si="18"/>
        <v>0</v>
      </c>
      <c r="Y111" s="406">
        <f t="shared" ca="1" si="17"/>
        <v>0</v>
      </c>
      <c r="Z111" s="406"/>
    </row>
    <row r="112" spans="1:26">
      <c r="A112" s="23"/>
      <c r="B112" s="23"/>
      <c r="C112" s="23" t="s">
        <v>724</v>
      </c>
      <c r="D112" s="23"/>
      <c r="E112" s="406">
        <f t="shared" ca="1" si="18"/>
        <v>0</v>
      </c>
      <c r="F112" s="406">
        <f t="shared" ca="1" si="18"/>
        <v>0</v>
      </c>
      <c r="G112" s="406">
        <f t="shared" ca="1" si="18"/>
        <v>0</v>
      </c>
      <c r="H112" s="406">
        <f t="shared" ca="1" si="18"/>
        <v>0</v>
      </c>
      <c r="I112" s="406">
        <f t="shared" ca="1" si="18"/>
        <v>0</v>
      </c>
      <c r="J112" s="406">
        <f t="shared" ca="1" si="18"/>
        <v>0</v>
      </c>
      <c r="K112" s="406">
        <f t="shared" ca="1" si="18"/>
        <v>0</v>
      </c>
      <c r="L112" s="406">
        <f t="shared" ca="1" si="18"/>
        <v>0</v>
      </c>
      <c r="M112" s="406">
        <f t="shared" ca="1" si="18"/>
        <v>0</v>
      </c>
      <c r="N112" s="406">
        <f t="shared" ca="1" si="18"/>
        <v>0</v>
      </c>
      <c r="O112" s="406">
        <f t="shared" ca="1" si="18"/>
        <v>0</v>
      </c>
      <c r="P112" s="406">
        <f t="shared" ca="1" si="18"/>
        <v>0</v>
      </c>
      <c r="Q112" s="406">
        <f t="shared" ca="1" si="18"/>
        <v>0</v>
      </c>
      <c r="R112" s="406">
        <f t="shared" ca="1" si="18"/>
        <v>0</v>
      </c>
      <c r="S112" s="406">
        <f t="shared" ca="1" si="18"/>
        <v>0</v>
      </c>
      <c r="T112" s="406">
        <f t="shared" ca="1" si="18"/>
        <v>0</v>
      </c>
      <c r="U112" s="406">
        <f t="shared" ca="1" si="18"/>
        <v>0</v>
      </c>
      <c r="V112" s="406">
        <f t="shared" ca="1" si="18"/>
        <v>0</v>
      </c>
      <c r="W112" s="406">
        <f t="shared" ca="1" si="18"/>
        <v>0</v>
      </c>
      <c r="X112" s="406">
        <f t="shared" ca="1" si="18"/>
        <v>0</v>
      </c>
      <c r="Y112" s="406">
        <f t="shared" ca="1" si="17"/>
        <v>0</v>
      </c>
      <c r="Z112" s="406"/>
    </row>
    <row r="113" spans="1:26">
      <c r="A113" s="23"/>
      <c r="B113" s="23"/>
      <c r="C113" s="23" t="s">
        <v>727</v>
      </c>
      <c r="D113" s="23"/>
      <c r="E113" s="406">
        <f t="shared" ca="1" si="18"/>
        <v>0</v>
      </c>
      <c r="F113" s="406">
        <f t="shared" ca="1" si="18"/>
        <v>0</v>
      </c>
      <c r="G113" s="406">
        <f t="shared" ca="1" si="18"/>
        <v>0</v>
      </c>
      <c r="H113" s="406">
        <f t="shared" ca="1" si="18"/>
        <v>0</v>
      </c>
      <c r="I113" s="406">
        <f t="shared" ca="1" si="18"/>
        <v>0</v>
      </c>
      <c r="J113" s="406">
        <f t="shared" ca="1" si="18"/>
        <v>0</v>
      </c>
      <c r="K113" s="406">
        <f t="shared" ca="1" si="18"/>
        <v>0</v>
      </c>
      <c r="L113" s="406">
        <f t="shared" ca="1" si="18"/>
        <v>0</v>
      </c>
      <c r="M113" s="406">
        <f t="shared" ca="1" si="18"/>
        <v>0</v>
      </c>
      <c r="N113" s="406">
        <f t="shared" ca="1" si="18"/>
        <v>0</v>
      </c>
      <c r="O113" s="406">
        <f t="shared" ca="1" si="18"/>
        <v>0</v>
      </c>
      <c r="P113" s="406">
        <f t="shared" ca="1" si="18"/>
        <v>0</v>
      </c>
      <c r="Q113" s="406">
        <f t="shared" ca="1" si="18"/>
        <v>0</v>
      </c>
      <c r="R113" s="406">
        <f t="shared" ca="1" si="18"/>
        <v>0</v>
      </c>
      <c r="S113" s="406">
        <f t="shared" ca="1" si="18"/>
        <v>0</v>
      </c>
      <c r="T113" s="406">
        <f t="shared" ca="1" si="18"/>
        <v>0</v>
      </c>
      <c r="U113" s="406">
        <f t="shared" ca="1" si="18"/>
        <v>0</v>
      </c>
      <c r="V113" s="406">
        <f t="shared" ca="1" si="18"/>
        <v>0</v>
      </c>
      <c r="W113" s="406">
        <f t="shared" ca="1" si="18"/>
        <v>0</v>
      </c>
      <c r="X113" s="406">
        <f t="shared" ca="1" si="18"/>
        <v>0</v>
      </c>
      <c r="Y113" s="406">
        <f t="shared" ca="1" si="17"/>
        <v>0</v>
      </c>
      <c r="Z113" s="406"/>
    </row>
    <row r="114" spans="1:26">
      <c r="A114" s="23"/>
      <c r="B114" s="23"/>
      <c r="C114" s="23" t="s">
        <v>730</v>
      </c>
      <c r="D114" s="23"/>
      <c r="E114" s="406">
        <f t="shared" ca="1" si="18"/>
        <v>0</v>
      </c>
      <c r="F114" s="406">
        <f t="shared" ca="1" si="18"/>
        <v>0</v>
      </c>
      <c r="G114" s="406">
        <f t="shared" ca="1" si="18"/>
        <v>0</v>
      </c>
      <c r="H114" s="406">
        <f t="shared" ca="1" si="18"/>
        <v>0</v>
      </c>
      <c r="I114" s="406">
        <f t="shared" ca="1" si="18"/>
        <v>0</v>
      </c>
      <c r="J114" s="406">
        <f t="shared" ca="1" si="18"/>
        <v>0</v>
      </c>
      <c r="K114" s="406">
        <f t="shared" ca="1" si="18"/>
        <v>0</v>
      </c>
      <c r="L114" s="406">
        <f t="shared" ca="1" si="18"/>
        <v>0</v>
      </c>
      <c r="M114" s="406">
        <f t="shared" ca="1" si="18"/>
        <v>0</v>
      </c>
      <c r="N114" s="406">
        <f t="shared" ca="1" si="18"/>
        <v>0</v>
      </c>
      <c r="O114" s="406">
        <f t="shared" ca="1" si="18"/>
        <v>0</v>
      </c>
      <c r="P114" s="406">
        <f t="shared" ca="1" si="18"/>
        <v>0</v>
      </c>
      <c r="Q114" s="406">
        <f t="shared" ca="1" si="18"/>
        <v>0</v>
      </c>
      <c r="R114" s="406">
        <f t="shared" ca="1" si="18"/>
        <v>0</v>
      </c>
      <c r="S114" s="406">
        <f t="shared" ca="1" si="18"/>
        <v>0</v>
      </c>
      <c r="T114" s="406">
        <f t="shared" ca="1" si="18"/>
        <v>0</v>
      </c>
      <c r="U114" s="406">
        <f t="shared" ca="1" si="18"/>
        <v>0</v>
      </c>
      <c r="V114" s="406">
        <f t="shared" ca="1" si="18"/>
        <v>0</v>
      </c>
      <c r="W114" s="406">
        <f t="shared" ca="1" si="18"/>
        <v>0</v>
      </c>
      <c r="X114" s="406">
        <f t="shared" ca="1" si="18"/>
        <v>0</v>
      </c>
      <c r="Y114" s="406">
        <f t="shared" ca="1" si="17"/>
        <v>0</v>
      </c>
      <c r="Z114" s="406"/>
    </row>
    <row r="115" spans="1:26">
      <c r="A115" s="23"/>
      <c r="B115" s="23"/>
      <c r="C115" s="23" t="s">
        <v>733</v>
      </c>
      <c r="D115" s="23"/>
      <c r="E115" s="406">
        <f t="shared" ca="1" si="18"/>
        <v>0</v>
      </c>
      <c r="F115" s="406">
        <f t="shared" ca="1" si="18"/>
        <v>0</v>
      </c>
      <c r="G115" s="406">
        <f t="shared" ca="1" si="18"/>
        <v>0</v>
      </c>
      <c r="H115" s="406">
        <f t="shared" ca="1" si="18"/>
        <v>0</v>
      </c>
      <c r="I115" s="406">
        <f t="shared" ca="1" si="18"/>
        <v>0</v>
      </c>
      <c r="J115" s="406">
        <f t="shared" ca="1" si="18"/>
        <v>0</v>
      </c>
      <c r="K115" s="406">
        <f t="shared" ca="1" si="18"/>
        <v>0</v>
      </c>
      <c r="L115" s="406">
        <f t="shared" ca="1" si="18"/>
        <v>0</v>
      </c>
      <c r="M115" s="406">
        <f t="shared" ca="1" si="18"/>
        <v>0</v>
      </c>
      <c r="N115" s="406">
        <f t="shared" ca="1" si="18"/>
        <v>0</v>
      </c>
      <c r="O115" s="406">
        <f t="shared" ca="1" si="18"/>
        <v>0</v>
      </c>
      <c r="P115" s="406">
        <f t="shared" ca="1" si="18"/>
        <v>0</v>
      </c>
      <c r="Q115" s="406">
        <f t="shared" ca="1" si="18"/>
        <v>0</v>
      </c>
      <c r="R115" s="406">
        <f t="shared" ca="1" si="18"/>
        <v>0</v>
      </c>
      <c r="S115" s="406">
        <f t="shared" ca="1" si="18"/>
        <v>0</v>
      </c>
      <c r="T115" s="406">
        <f t="shared" ca="1" si="18"/>
        <v>0</v>
      </c>
      <c r="U115" s="406">
        <f t="shared" ca="1" si="18"/>
        <v>0</v>
      </c>
      <c r="V115" s="406">
        <f t="shared" ca="1" si="18"/>
        <v>0</v>
      </c>
      <c r="W115" s="406">
        <f t="shared" ca="1" si="18"/>
        <v>0</v>
      </c>
      <c r="X115" s="406">
        <f t="shared" ca="1" si="18"/>
        <v>0</v>
      </c>
      <c r="Y115" s="406">
        <f t="shared" ca="1" si="17"/>
        <v>0</v>
      </c>
      <c r="Z115" s="406"/>
    </row>
    <row r="116" spans="1:26">
      <c r="A116" s="23"/>
      <c r="B116" s="23"/>
      <c r="C116" s="23" t="s">
        <v>736</v>
      </c>
      <c r="D116" s="23"/>
      <c r="E116" s="406">
        <f t="shared" ca="1" si="18"/>
        <v>0</v>
      </c>
      <c r="F116" s="406">
        <f t="shared" ca="1" si="18"/>
        <v>0</v>
      </c>
      <c r="G116" s="406">
        <f t="shared" ca="1" si="18"/>
        <v>0</v>
      </c>
      <c r="H116" s="406">
        <f t="shared" ca="1" si="18"/>
        <v>0</v>
      </c>
      <c r="I116" s="406">
        <f t="shared" ca="1" si="18"/>
        <v>0</v>
      </c>
      <c r="J116" s="406">
        <f t="shared" ca="1" si="18"/>
        <v>0</v>
      </c>
      <c r="K116" s="406">
        <f t="shared" ca="1" si="18"/>
        <v>0</v>
      </c>
      <c r="L116" s="406">
        <f t="shared" ca="1" si="18"/>
        <v>0</v>
      </c>
      <c r="M116" s="406">
        <f t="shared" ca="1" si="18"/>
        <v>0</v>
      </c>
      <c r="N116" s="406">
        <f t="shared" ca="1" si="18"/>
        <v>0</v>
      </c>
      <c r="O116" s="406">
        <f t="shared" ca="1" si="18"/>
        <v>0</v>
      </c>
      <c r="P116" s="406">
        <f t="shared" ca="1" si="18"/>
        <v>0</v>
      </c>
      <c r="Q116" s="406">
        <f t="shared" ca="1" si="18"/>
        <v>0</v>
      </c>
      <c r="R116" s="406">
        <f t="shared" ca="1" si="18"/>
        <v>0</v>
      </c>
      <c r="S116" s="406">
        <f t="shared" ca="1" si="18"/>
        <v>0</v>
      </c>
      <c r="T116" s="406">
        <f t="shared" ca="1" si="18"/>
        <v>0</v>
      </c>
      <c r="U116" s="406">
        <f t="shared" ca="1" si="18"/>
        <v>0</v>
      </c>
      <c r="V116" s="406">
        <f t="shared" ca="1" si="18"/>
        <v>0</v>
      </c>
      <c r="W116" s="406">
        <f t="shared" ca="1" si="18"/>
        <v>0</v>
      </c>
      <c r="X116" s="406">
        <f t="shared" ca="1" si="18"/>
        <v>0</v>
      </c>
      <c r="Y116" s="406">
        <f t="shared" ca="1" si="17"/>
        <v>0</v>
      </c>
      <c r="Z116" s="406"/>
    </row>
    <row r="117" spans="1:26">
      <c r="A117" s="23"/>
      <c r="B117" s="23"/>
      <c r="C117" s="23" t="s">
        <v>739</v>
      </c>
      <c r="D117" s="23"/>
      <c r="E117" s="406">
        <f t="shared" ca="1" si="18"/>
        <v>0</v>
      </c>
      <c r="F117" s="406">
        <f t="shared" ca="1" si="18"/>
        <v>0</v>
      </c>
      <c r="G117" s="406">
        <f t="shared" ca="1" si="18"/>
        <v>0</v>
      </c>
      <c r="H117" s="406">
        <f t="shared" ca="1" si="18"/>
        <v>0</v>
      </c>
      <c r="I117" s="406">
        <f t="shared" ca="1" si="18"/>
        <v>0</v>
      </c>
      <c r="J117" s="406">
        <f t="shared" ca="1" si="18"/>
        <v>0</v>
      </c>
      <c r="K117" s="406">
        <f t="shared" ca="1" si="18"/>
        <v>0</v>
      </c>
      <c r="L117" s="406">
        <f t="shared" ca="1" si="18"/>
        <v>0</v>
      </c>
      <c r="M117" s="406">
        <f t="shared" ca="1" si="18"/>
        <v>0</v>
      </c>
      <c r="N117" s="406">
        <f t="shared" ca="1" si="18"/>
        <v>0</v>
      </c>
      <c r="O117" s="406">
        <f t="shared" ca="1" si="18"/>
        <v>0</v>
      </c>
      <c r="P117" s="406">
        <f t="shared" ca="1" si="18"/>
        <v>0</v>
      </c>
      <c r="Q117" s="406">
        <f t="shared" ca="1" si="18"/>
        <v>0</v>
      </c>
      <c r="R117" s="406">
        <f t="shared" ca="1" si="18"/>
        <v>0</v>
      </c>
      <c r="S117" s="406">
        <f t="shared" ca="1" si="18"/>
        <v>0</v>
      </c>
      <c r="T117" s="406">
        <f t="shared" ref="T117:X117" ca="1" si="19">T80-T79</f>
        <v>0</v>
      </c>
      <c r="U117" s="406">
        <f t="shared" ca="1" si="19"/>
        <v>0</v>
      </c>
      <c r="V117" s="406">
        <f t="shared" ca="1" si="19"/>
        <v>0</v>
      </c>
      <c r="W117" s="406">
        <f t="shared" ca="1" si="19"/>
        <v>0</v>
      </c>
      <c r="X117" s="406">
        <f t="shared" ca="1" si="19"/>
        <v>0</v>
      </c>
      <c r="Y117" s="406">
        <f t="shared" ca="1" si="17"/>
        <v>0</v>
      </c>
      <c r="Z117" s="406"/>
    </row>
    <row r="118" spans="1:26">
      <c r="A118" s="23"/>
      <c r="B118" s="23"/>
      <c r="C118" s="23" t="s">
        <v>742</v>
      </c>
      <c r="D118" s="23"/>
      <c r="E118" s="406">
        <f t="shared" ref="E118:X122" ca="1" si="20">E81-E80</f>
        <v>0</v>
      </c>
      <c r="F118" s="406">
        <f t="shared" ca="1" si="20"/>
        <v>0</v>
      </c>
      <c r="G118" s="406">
        <f t="shared" ca="1" si="20"/>
        <v>0</v>
      </c>
      <c r="H118" s="406">
        <f t="shared" ca="1" si="20"/>
        <v>0</v>
      </c>
      <c r="I118" s="406">
        <f t="shared" ca="1" si="20"/>
        <v>0</v>
      </c>
      <c r="J118" s="406">
        <f t="shared" ca="1" si="20"/>
        <v>0</v>
      </c>
      <c r="K118" s="406">
        <f t="shared" ca="1" si="20"/>
        <v>0</v>
      </c>
      <c r="L118" s="406">
        <f t="shared" ca="1" si="20"/>
        <v>0</v>
      </c>
      <c r="M118" s="406">
        <f t="shared" ca="1" si="20"/>
        <v>0</v>
      </c>
      <c r="N118" s="406">
        <f t="shared" ca="1" si="20"/>
        <v>0</v>
      </c>
      <c r="O118" s="406">
        <f t="shared" ca="1" si="20"/>
        <v>0</v>
      </c>
      <c r="P118" s="406">
        <f t="shared" ca="1" si="20"/>
        <v>0</v>
      </c>
      <c r="Q118" s="406">
        <f t="shared" ca="1" si="20"/>
        <v>0</v>
      </c>
      <c r="R118" s="406">
        <f t="shared" ca="1" si="20"/>
        <v>0</v>
      </c>
      <c r="S118" s="406">
        <f t="shared" ca="1" si="20"/>
        <v>0</v>
      </c>
      <c r="T118" s="406">
        <f t="shared" ca="1" si="20"/>
        <v>0</v>
      </c>
      <c r="U118" s="406">
        <f t="shared" ca="1" si="20"/>
        <v>0</v>
      </c>
      <c r="V118" s="406">
        <f t="shared" ca="1" si="20"/>
        <v>0</v>
      </c>
      <c r="W118" s="406">
        <f t="shared" ca="1" si="20"/>
        <v>0</v>
      </c>
      <c r="X118" s="406">
        <f t="shared" ca="1" si="20"/>
        <v>0</v>
      </c>
      <c r="Y118" s="406">
        <f t="shared" ca="1" si="17"/>
        <v>0</v>
      </c>
      <c r="Z118" s="406"/>
    </row>
    <row r="119" spans="1:26">
      <c r="A119" s="23"/>
      <c r="B119" s="23"/>
      <c r="C119" s="23" t="s">
        <v>745</v>
      </c>
      <c r="D119" s="23"/>
      <c r="E119" s="406">
        <f t="shared" ca="1" si="20"/>
        <v>0</v>
      </c>
      <c r="F119" s="406">
        <f t="shared" ca="1" si="20"/>
        <v>0</v>
      </c>
      <c r="G119" s="406">
        <f t="shared" ca="1" si="20"/>
        <v>0</v>
      </c>
      <c r="H119" s="406">
        <f t="shared" ca="1" si="20"/>
        <v>0</v>
      </c>
      <c r="I119" s="406">
        <f t="shared" ca="1" si="20"/>
        <v>0</v>
      </c>
      <c r="J119" s="406">
        <f t="shared" ca="1" si="20"/>
        <v>0</v>
      </c>
      <c r="K119" s="406">
        <f t="shared" ca="1" si="20"/>
        <v>0</v>
      </c>
      <c r="L119" s="406">
        <f t="shared" ca="1" si="20"/>
        <v>0</v>
      </c>
      <c r="M119" s="406">
        <f t="shared" ca="1" si="20"/>
        <v>0</v>
      </c>
      <c r="N119" s="406">
        <f t="shared" ca="1" si="20"/>
        <v>0</v>
      </c>
      <c r="O119" s="406">
        <f t="shared" ca="1" si="20"/>
        <v>0</v>
      </c>
      <c r="P119" s="406">
        <f t="shared" ca="1" si="20"/>
        <v>0</v>
      </c>
      <c r="Q119" s="406">
        <f t="shared" ca="1" si="20"/>
        <v>0</v>
      </c>
      <c r="R119" s="406">
        <f t="shared" ca="1" si="20"/>
        <v>0</v>
      </c>
      <c r="S119" s="406">
        <f t="shared" ca="1" si="20"/>
        <v>0</v>
      </c>
      <c r="T119" s="406">
        <f t="shared" ca="1" si="20"/>
        <v>0</v>
      </c>
      <c r="U119" s="406">
        <f t="shared" ca="1" si="20"/>
        <v>0</v>
      </c>
      <c r="V119" s="406">
        <f t="shared" ca="1" si="20"/>
        <v>0</v>
      </c>
      <c r="W119" s="406">
        <f t="shared" ca="1" si="20"/>
        <v>0</v>
      </c>
      <c r="X119" s="406">
        <f t="shared" ca="1" si="20"/>
        <v>0</v>
      </c>
      <c r="Y119" s="406">
        <f t="shared" ca="1" si="17"/>
        <v>0</v>
      </c>
      <c r="Z119" s="406"/>
    </row>
    <row r="120" spans="1:26">
      <c r="A120" s="23"/>
      <c r="B120" s="23"/>
      <c r="C120" s="23" t="s">
        <v>748</v>
      </c>
      <c r="D120" s="23"/>
      <c r="E120" s="406">
        <f t="shared" ca="1" si="20"/>
        <v>0</v>
      </c>
      <c r="F120" s="406">
        <f t="shared" ca="1" si="20"/>
        <v>0</v>
      </c>
      <c r="G120" s="406">
        <f t="shared" ca="1" si="20"/>
        <v>0</v>
      </c>
      <c r="H120" s="406">
        <f t="shared" ca="1" si="20"/>
        <v>0</v>
      </c>
      <c r="I120" s="406">
        <f t="shared" ca="1" si="20"/>
        <v>0</v>
      </c>
      <c r="J120" s="406">
        <f t="shared" ca="1" si="20"/>
        <v>0</v>
      </c>
      <c r="K120" s="406">
        <f t="shared" ca="1" si="20"/>
        <v>0</v>
      </c>
      <c r="L120" s="406">
        <f t="shared" ca="1" si="20"/>
        <v>0</v>
      </c>
      <c r="M120" s="406">
        <f t="shared" ca="1" si="20"/>
        <v>0</v>
      </c>
      <c r="N120" s="406">
        <f t="shared" ca="1" si="20"/>
        <v>0</v>
      </c>
      <c r="O120" s="406">
        <f t="shared" ca="1" si="20"/>
        <v>0</v>
      </c>
      <c r="P120" s="406">
        <f t="shared" ca="1" si="20"/>
        <v>0</v>
      </c>
      <c r="Q120" s="406">
        <f t="shared" ca="1" si="20"/>
        <v>0</v>
      </c>
      <c r="R120" s="406">
        <f t="shared" ca="1" si="20"/>
        <v>0</v>
      </c>
      <c r="S120" s="406">
        <f t="shared" ca="1" si="20"/>
        <v>0</v>
      </c>
      <c r="T120" s="406">
        <f t="shared" ca="1" si="20"/>
        <v>0</v>
      </c>
      <c r="U120" s="406">
        <f t="shared" ca="1" si="20"/>
        <v>0</v>
      </c>
      <c r="V120" s="406">
        <f t="shared" ca="1" si="20"/>
        <v>0</v>
      </c>
      <c r="W120" s="406">
        <f t="shared" ca="1" si="20"/>
        <v>0</v>
      </c>
      <c r="X120" s="406">
        <f t="shared" ca="1" si="20"/>
        <v>0</v>
      </c>
      <c r="Y120" s="406">
        <f t="shared" ref="Y120:Y122" ca="1" si="21">Y83-Y82</f>
        <v>0</v>
      </c>
      <c r="Z120" s="406"/>
    </row>
    <row r="121" spans="1:26">
      <c r="A121" s="23"/>
      <c r="B121" s="23"/>
      <c r="C121" s="23" t="s">
        <v>751</v>
      </c>
      <c r="D121" s="23"/>
      <c r="E121" s="406">
        <f t="shared" ca="1" si="20"/>
        <v>0</v>
      </c>
      <c r="F121" s="406">
        <f t="shared" ca="1" si="20"/>
        <v>0</v>
      </c>
      <c r="G121" s="406">
        <f t="shared" ca="1" si="20"/>
        <v>0</v>
      </c>
      <c r="H121" s="406">
        <f t="shared" ca="1" si="20"/>
        <v>0</v>
      </c>
      <c r="I121" s="406">
        <f t="shared" ca="1" si="20"/>
        <v>0</v>
      </c>
      <c r="J121" s="406">
        <f t="shared" ca="1" si="20"/>
        <v>0</v>
      </c>
      <c r="K121" s="406">
        <f t="shared" ca="1" si="20"/>
        <v>0</v>
      </c>
      <c r="L121" s="406">
        <f t="shared" ca="1" si="20"/>
        <v>0</v>
      </c>
      <c r="M121" s="406">
        <f t="shared" ca="1" si="20"/>
        <v>0</v>
      </c>
      <c r="N121" s="406">
        <f t="shared" ca="1" si="20"/>
        <v>0</v>
      </c>
      <c r="O121" s="406">
        <f t="shared" ca="1" si="20"/>
        <v>0</v>
      </c>
      <c r="P121" s="406">
        <f t="shared" ca="1" si="20"/>
        <v>0</v>
      </c>
      <c r="Q121" s="406">
        <f t="shared" ca="1" si="20"/>
        <v>0</v>
      </c>
      <c r="R121" s="406">
        <f t="shared" ca="1" si="20"/>
        <v>0</v>
      </c>
      <c r="S121" s="406">
        <f t="shared" ca="1" si="20"/>
        <v>0</v>
      </c>
      <c r="T121" s="406">
        <f t="shared" ca="1" si="20"/>
        <v>0</v>
      </c>
      <c r="U121" s="406">
        <f t="shared" ca="1" si="20"/>
        <v>0</v>
      </c>
      <c r="V121" s="406">
        <f t="shared" ca="1" si="20"/>
        <v>0</v>
      </c>
      <c r="W121" s="406">
        <f t="shared" ca="1" si="20"/>
        <v>0</v>
      </c>
      <c r="X121" s="406">
        <f t="shared" ca="1" si="20"/>
        <v>0</v>
      </c>
      <c r="Y121" s="406">
        <f t="shared" ca="1" si="21"/>
        <v>0</v>
      </c>
      <c r="Z121" s="406"/>
    </row>
    <row r="122" spans="1:26">
      <c r="A122" s="23"/>
      <c r="B122" s="23"/>
      <c r="C122" s="23" t="s">
        <v>754</v>
      </c>
      <c r="D122" s="23"/>
      <c r="E122" s="406">
        <f t="shared" ca="1" si="20"/>
        <v>0</v>
      </c>
      <c r="F122" s="406">
        <f t="shared" ca="1" si="20"/>
        <v>0</v>
      </c>
      <c r="G122" s="406">
        <f t="shared" ca="1" si="20"/>
        <v>0</v>
      </c>
      <c r="H122" s="406">
        <f t="shared" ca="1" si="20"/>
        <v>0</v>
      </c>
      <c r="I122" s="406">
        <f t="shared" ca="1" si="20"/>
        <v>0</v>
      </c>
      <c r="J122" s="406">
        <f t="shared" ca="1" si="20"/>
        <v>0</v>
      </c>
      <c r="K122" s="406">
        <f t="shared" ca="1" si="20"/>
        <v>0</v>
      </c>
      <c r="L122" s="406">
        <f t="shared" ca="1" si="20"/>
        <v>0</v>
      </c>
      <c r="M122" s="406">
        <f t="shared" ca="1" si="20"/>
        <v>0</v>
      </c>
      <c r="N122" s="406">
        <f t="shared" ca="1" si="20"/>
        <v>0</v>
      </c>
      <c r="O122" s="406">
        <f t="shared" ca="1" si="20"/>
        <v>0</v>
      </c>
      <c r="P122" s="406">
        <f t="shared" ca="1" si="20"/>
        <v>0</v>
      </c>
      <c r="Q122" s="406">
        <f t="shared" ca="1" si="20"/>
        <v>0</v>
      </c>
      <c r="R122" s="406">
        <f t="shared" ca="1" si="20"/>
        <v>0</v>
      </c>
      <c r="S122" s="406">
        <f t="shared" ca="1" si="20"/>
        <v>0</v>
      </c>
      <c r="T122" s="406">
        <f t="shared" ca="1" si="20"/>
        <v>0</v>
      </c>
      <c r="U122" s="406">
        <f t="shared" ca="1" si="20"/>
        <v>0</v>
      </c>
      <c r="V122" s="406">
        <f t="shared" ca="1" si="20"/>
        <v>0</v>
      </c>
      <c r="W122" s="406">
        <f t="shared" ca="1" si="20"/>
        <v>0</v>
      </c>
      <c r="X122" s="406">
        <f t="shared" ca="1" si="20"/>
        <v>0</v>
      </c>
      <c r="Y122" s="406">
        <f t="shared" ca="1" si="21"/>
        <v>0</v>
      </c>
      <c r="Z122" s="406"/>
    </row>
    <row r="123" spans="1:26">
      <c r="A123" s="23"/>
      <c r="B123" s="23"/>
      <c r="C123" s="23"/>
      <c r="D123" s="23"/>
      <c r="E123" s="346"/>
      <c r="F123" s="23"/>
      <c r="G123" s="23"/>
      <c r="H123" s="23"/>
      <c r="I123" s="23"/>
      <c r="J123" s="23"/>
      <c r="K123" s="23"/>
      <c r="L123" s="23"/>
      <c r="M123" s="23"/>
      <c r="N123" s="23"/>
      <c r="O123" s="23"/>
      <c r="P123" s="23"/>
      <c r="Q123" s="23"/>
      <c r="R123" s="23"/>
      <c r="S123" s="23"/>
      <c r="T123" s="23"/>
      <c r="U123" s="23"/>
      <c r="V123" s="23"/>
      <c r="W123" s="23"/>
      <c r="X123" s="23"/>
      <c r="Y123" s="23"/>
      <c r="Z123" s="23"/>
    </row>
    <row r="124" spans="1:26" ht="15">
      <c r="A124" s="23"/>
      <c r="B124" s="23"/>
      <c r="C124" s="407" t="s">
        <v>779</v>
      </c>
      <c r="D124" s="408"/>
      <c r="E124" s="408">
        <f t="shared" ref="E124:X124" ca="1" si="22">SUM(E91:E122)</f>
        <v>1.6831957315839687</v>
      </c>
      <c r="F124" s="408">
        <f t="shared" ca="1" si="22"/>
        <v>3.9768636662838421</v>
      </c>
      <c r="G124" s="408">
        <f t="shared" ca="1" si="22"/>
        <v>6.9347675862674567</v>
      </c>
      <c r="H124" s="408">
        <f t="shared" ca="1" si="22"/>
        <v>10.133421381261021</v>
      </c>
      <c r="I124" s="408">
        <f t="shared" ca="1" si="22"/>
        <v>13.94825943179718</v>
      </c>
      <c r="J124" s="408">
        <f t="shared" ca="1" si="22"/>
        <v>18.687550470892312</v>
      </c>
      <c r="K124" s="408">
        <f t="shared" ca="1" si="22"/>
        <v>24.295991080106194</v>
      </c>
      <c r="L124" s="408">
        <f t="shared" ca="1" si="22"/>
        <v>29.73518575313528</v>
      </c>
      <c r="M124" s="408">
        <f t="shared" ca="1" si="22"/>
        <v>35.241014032816615</v>
      </c>
      <c r="N124" s="408">
        <f t="shared" ca="1" si="22"/>
        <v>40.475790338397665</v>
      </c>
      <c r="O124" s="408">
        <f t="shared" ca="1" si="22"/>
        <v>45.167496256788809</v>
      </c>
      <c r="P124" s="408">
        <f t="shared" ca="1" si="22"/>
        <v>48.549379095738082</v>
      </c>
      <c r="Q124" s="408">
        <f t="shared" ca="1" si="22"/>
        <v>51.270143405784083</v>
      </c>
      <c r="R124" s="408">
        <f t="shared" ca="1" si="22"/>
        <v>53.549049244429291</v>
      </c>
      <c r="S124" s="408">
        <f t="shared" ca="1" si="22"/>
        <v>55.638081327133634</v>
      </c>
      <c r="T124" s="408">
        <f t="shared" ca="1" si="22"/>
        <v>57.390939783071083</v>
      </c>
      <c r="U124" s="408">
        <f t="shared" ca="1" si="22"/>
        <v>59.277962728156815</v>
      </c>
      <c r="V124" s="408">
        <f t="shared" ca="1" si="22"/>
        <v>61.361418148435924</v>
      </c>
      <c r="W124" s="408">
        <f t="shared" ca="1" si="22"/>
        <v>63.667809559820718</v>
      </c>
      <c r="X124" s="408">
        <f t="shared" ca="1" si="22"/>
        <v>66.025248425198669</v>
      </c>
      <c r="Y124" s="379" t="s">
        <v>668</v>
      </c>
      <c r="Z124" s="408"/>
    </row>
    <row r="125" spans="1:26" ht="15">
      <c r="A125" s="23"/>
      <c r="B125" s="23"/>
      <c r="C125" s="407" t="s">
        <v>780</v>
      </c>
      <c r="D125" s="408"/>
      <c r="E125" s="412">
        <f t="shared" ref="E125:X125" ca="1" si="23">IF((D125+E124)&lt;$Y$83,(D125+E124),$Y$83)</f>
        <v>1.6831957315839687</v>
      </c>
      <c r="F125" s="412">
        <f t="shared" ca="1" si="23"/>
        <v>5.6600593978678111</v>
      </c>
      <c r="G125" s="412">
        <f t="shared" ca="1" si="23"/>
        <v>12.594826984135267</v>
      </c>
      <c r="H125" s="412">
        <f t="shared" ca="1" si="23"/>
        <v>22.72824836539629</v>
      </c>
      <c r="I125" s="412">
        <f t="shared" ca="1" si="23"/>
        <v>36.676507797193466</v>
      </c>
      <c r="J125" s="412">
        <f t="shared" ca="1" si="23"/>
        <v>55.364058268085778</v>
      </c>
      <c r="K125" s="412">
        <f t="shared" ca="1" si="23"/>
        <v>79.660049348191976</v>
      </c>
      <c r="L125" s="412">
        <f t="shared" ca="1" si="23"/>
        <v>109.39523510132726</v>
      </c>
      <c r="M125" s="412">
        <f t="shared" ca="1" si="23"/>
        <v>144.63624913414387</v>
      </c>
      <c r="N125" s="412">
        <f t="shared" ca="1" si="23"/>
        <v>185.11203947254154</v>
      </c>
      <c r="O125" s="412">
        <f t="shared" ca="1" si="23"/>
        <v>230.27953572933035</v>
      </c>
      <c r="P125" s="412">
        <f t="shared" ca="1" si="23"/>
        <v>261.31837015129264</v>
      </c>
      <c r="Q125" s="412">
        <f t="shared" ca="1" si="23"/>
        <v>261.31837015129264</v>
      </c>
      <c r="R125" s="412">
        <f t="shared" ca="1" si="23"/>
        <v>261.31837015129264</v>
      </c>
      <c r="S125" s="412">
        <f t="shared" ca="1" si="23"/>
        <v>261.31837015129264</v>
      </c>
      <c r="T125" s="412">
        <f t="shared" ca="1" si="23"/>
        <v>261.31837015129264</v>
      </c>
      <c r="U125" s="412">
        <f t="shared" ca="1" si="23"/>
        <v>261.31837015129264</v>
      </c>
      <c r="V125" s="412">
        <f t="shared" ca="1" si="23"/>
        <v>261.31837015129264</v>
      </c>
      <c r="W125" s="412">
        <f t="shared" ca="1" si="23"/>
        <v>261.31837015129264</v>
      </c>
      <c r="X125" s="412">
        <f t="shared" ca="1" si="23"/>
        <v>261.31837015129264</v>
      </c>
      <c r="Y125" s="412">
        <f ca="1">SUM(Y91:Y122)</f>
        <v>261.31837015129264</v>
      </c>
      <c r="Z125" s="408"/>
    </row>
    <row r="130" spans="5:25">
      <c r="E130" s="409"/>
      <c r="F130" s="409"/>
      <c r="G130" s="409"/>
      <c r="H130" s="409"/>
      <c r="I130" s="409"/>
      <c r="J130" s="409"/>
      <c r="K130" s="409"/>
      <c r="L130" s="409"/>
      <c r="M130" s="409"/>
      <c r="N130" s="409"/>
      <c r="O130" s="409"/>
      <c r="P130" s="409"/>
      <c r="Q130" s="409"/>
      <c r="R130" s="409"/>
      <c r="S130" s="409"/>
      <c r="T130" s="409"/>
      <c r="U130" s="409"/>
      <c r="V130" s="409"/>
      <c r="W130" s="409"/>
      <c r="X130" s="409"/>
      <c r="Y130" s="409"/>
    </row>
    <row r="131" spans="5:25">
      <c r="E131" s="409"/>
      <c r="F131" s="409"/>
      <c r="G131" s="409"/>
      <c r="H131" s="409"/>
      <c r="I131" s="409"/>
      <c r="J131" s="409"/>
      <c r="K131" s="409"/>
      <c r="L131" s="409"/>
      <c r="M131" s="409"/>
      <c r="N131" s="409"/>
      <c r="O131" s="409"/>
      <c r="P131" s="409"/>
      <c r="Q131" s="409"/>
      <c r="R131" s="409"/>
      <c r="S131" s="409"/>
      <c r="T131" s="409"/>
      <c r="U131" s="409"/>
      <c r="V131" s="409"/>
      <c r="W131" s="409"/>
      <c r="X131" s="409"/>
      <c r="Y131" s="409"/>
    </row>
    <row r="132" spans="5:25">
      <c r="E132" s="409"/>
      <c r="F132" s="409"/>
      <c r="G132" s="409"/>
      <c r="H132" s="409"/>
      <c r="I132" s="409"/>
      <c r="J132" s="409"/>
      <c r="K132" s="409"/>
      <c r="L132" s="409"/>
      <c r="M132" s="409"/>
      <c r="N132" s="409"/>
      <c r="O132" s="409"/>
      <c r="P132" s="409"/>
      <c r="Q132" s="409"/>
      <c r="R132" s="409"/>
      <c r="S132" s="409"/>
      <c r="T132" s="409"/>
      <c r="U132" s="409"/>
      <c r="V132" s="409"/>
      <c r="W132" s="409"/>
      <c r="X132" s="409"/>
      <c r="Y132" s="409"/>
    </row>
    <row r="133" spans="5:25">
      <c r="E133" s="409"/>
      <c r="F133" s="409"/>
      <c r="G133" s="409"/>
      <c r="H133" s="409"/>
      <c r="I133" s="409"/>
      <c r="J133" s="409"/>
      <c r="K133" s="409"/>
      <c r="L133" s="409"/>
      <c r="M133" s="409"/>
      <c r="N133" s="409"/>
      <c r="O133" s="409"/>
      <c r="P133" s="409"/>
      <c r="Q133" s="409"/>
      <c r="R133" s="409"/>
      <c r="S133" s="409"/>
      <c r="T133" s="409"/>
      <c r="U133" s="409"/>
      <c r="V133" s="409"/>
      <c r="W133" s="409"/>
      <c r="X133" s="409"/>
      <c r="Y133" s="409"/>
    </row>
    <row r="136" spans="5:25">
      <c r="E136" s="382"/>
      <c r="F136" s="382"/>
      <c r="G136" s="382"/>
      <c r="H136" s="382"/>
      <c r="I136" s="382"/>
      <c r="J136" s="382"/>
      <c r="K136" s="382"/>
      <c r="L136" s="382"/>
      <c r="M136" s="382"/>
      <c r="N136" s="382"/>
      <c r="O136" s="382"/>
      <c r="P136" s="382"/>
      <c r="Q136" s="382"/>
      <c r="R136" s="382"/>
      <c r="S136" s="382"/>
      <c r="T136" s="382"/>
      <c r="U136" s="382"/>
      <c r="V136" s="382"/>
      <c r="W136" s="382"/>
      <c r="X136" s="382"/>
      <c r="Y136" s="382"/>
    </row>
    <row r="137" spans="5:25">
      <c r="E137" s="382"/>
      <c r="F137" s="382"/>
      <c r="G137" s="382"/>
      <c r="H137" s="382"/>
      <c r="I137" s="382"/>
      <c r="J137" s="382"/>
      <c r="K137" s="382"/>
      <c r="L137" s="382"/>
      <c r="M137" s="382"/>
      <c r="N137" s="382"/>
      <c r="O137" s="382"/>
      <c r="P137" s="382"/>
      <c r="Q137" s="382"/>
      <c r="R137" s="382"/>
      <c r="S137" s="382"/>
      <c r="T137" s="382"/>
      <c r="U137" s="382"/>
      <c r="V137" s="382"/>
      <c r="W137" s="382"/>
      <c r="X137" s="382"/>
      <c r="Y137" s="382"/>
    </row>
    <row r="139" spans="5:25">
      <c r="E139" s="382"/>
      <c r="F139" s="382"/>
      <c r="G139" s="382"/>
      <c r="H139" s="382"/>
      <c r="I139" s="382"/>
      <c r="J139" s="382"/>
      <c r="K139" s="382"/>
      <c r="L139" s="382"/>
      <c r="M139" s="382"/>
      <c r="N139" s="382"/>
      <c r="O139" s="382"/>
      <c r="P139" s="382"/>
      <c r="Q139" s="382"/>
      <c r="R139" s="382"/>
      <c r="S139" s="382"/>
      <c r="T139" s="382"/>
      <c r="U139" s="382"/>
      <c r="V139" s="382"/>
      <c r="W139" s="382"/>
      <c r="X139" s="382"/>
    </row>
  </sheetData>
  <mergeCells count="1">
    <mergeCell ref="B1:S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A7"/>
  <sheetViews>
    <sheetView workbookViewId="0">
      <selection sqref="A1:EA7"/>
    </sheetView>
  </sheetViews>
  <sheetFormatPr defaultRowHeight="12.75"/>
  <cols>
    <col min="1" max="1" width="21" customWidth="1"/>
  </cols>
  <sheetData>
    <row r="1" spans="1:131" ht="13.5" thickBot="1">
      <c r="A1" s="308" t="s">
        <v>447</v>
      </c>
      <c r="B1" s="309"/>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row>
    <row r="2" spans="1:131" ht="13.5" thickBot="1">
      <c r="A2" s="310"/>
      <c r="B2" s="311"/>
      <c r="C2" s="61"/>
      <c r="D2" s="61"/>
      <c r="E2" s="61"/>
      <c r="F2" s="61"/>
      <c r="G2" s="61"/>
      <c r="H2" s="61"/>
      <c r="I2" s="61"/>
      <c r="J2" s="61"/>
      <c r="K2" s="61"/>
      <c r="L2" s="61"/>
      <c r="M2" s="61"/>
      <c r="N2" s="61"/>
      <c r="O2" s="58" t="s">
        <v>58</v>
      </c>
      <c r="P2" s="59"/>
      <c r="Q2" s="59"/>
      <c r="R2" s="59"/>
      <c r="S2" s="59"/>
      <c r="T2" s="59"/>
      <c r="U2" s="59"/>
      <c r="V2" s="59"/>
      <c r="W2" s="59"/>
      <c r="X2" s="59"/>
      <c r="Y2" s="59"/>
      <c r="Z2" s="60"/>
      <c r="AA2" s="61"/>
      <c r="AB2" s="58" t="s">
        <v>59</v>
      </c>
      <c r="AC2" s="59"/>
      <c r="AD2" s="59"/>
      <c r="AE2" s="59"/>
      <c r="AF2" s="59"/>
      <c r="AG2" s="59"/>
      <c r="AH2" s="59"/>
      <c r="AI2" s="59"/>
      <c r="AJ2" s="59"/>
      <c r="AK2" s="59"/>
      <c r="AL2" s="59"/>
      <c r="AM2" s="60"/>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row>
    <row r="3" spans="1:131" ht="204">
      <c r="A3" s="312" t="s">
        <v>182</v>
      </c>
      <c r="B3" s="313" t="s">
        <v>183</v>
      </c>
      <c r="C3" s="63" t="s">
        <v>45</v>
      </c>
      <c r="D3" s="63" t="s">
        <v>448</v>
      </c>
      <c r="E3" s="63" t="s">
        <v>449</v>
      </c>
      <c r="F3" s="63" t="s">
        <v>450</v>
      </c>
      <c r="G3" s="63" t="s">
        <v>451</v>
      </c>
      <c r="H3" s="63" t="s">
        <v>452</v>
      </c>
      <c r="I3" s="63" t="s">
        <v>453</v>
      </c>
      <c r="J3" s="63" t="s">
        <v>454</v>
      </c>
      <c r="K3" s="63" t="s">
        <v>455</v>
      </c>
      <c r="L3" s="63" t="s">
        <v>456</v>
      </c>
      <c r="M3" s="63" t="s">
        <v>457</v>
      </c>
      <c r="N3" s="63" t="s">
        <v>60</v>
      </c>
      <c r="O3" s="63" t="s">
        <v>61</v>
      </c>
      <c r="P3" s="63" t="s">
        <v>62</v>
      </c>
      <c r="Q3" s="63" t="s">
        <v>63</v>
      </c>
      <c r="R3" s="63" t="s">
        <v>64</v>
      </c>
      <c r="S3" s="63" t="s">
        <v>65</v>
      </c>
      <c r="T3" s="63" t="s">
        <v>66</v>
      </c>
      <c r="U3" s="63" t="s">
        <v>67</v>
      </c>
      <c r="V3" s="63" t="s">
        <v>68</v>
      </c>
      <c r="W3" s="63" t="s">
        <v>69</v>
      </c>
      <c r="X3" s="63" t="s">
        <v>70</v>
      </c>
      <c r="Y3" s="63" t="s">
        <v>71</v>
      </c>
      <c r="Z3" s="63" t="s">
        <v>72</v>
      </c>
      <c r="AA3" s="63"/>
      <c r="AB3" s="63" t="s">
        <v>61</v>
      </c>
      <c r="AC3" s="63" t="s">
        <v>62</v>
      </c>
      <c r="AD3" s="63" t="s">
        <v>63</v>
      </c>
      <c r="AE3" s="63" t="s">
        <v>64</v>
      </c>
      <c r="AF3" s="63" t="s">
        <v>65</v>
      </c>
      <c r="AG3" s="63" t="s">
        <v>66</v>
      </c>
      <c r="AH3" s="63" t="s">
        <v>67</v>
      </c>
      <c r="AI3" s="63" t="s">
        <v>68</v>
      </c>
      <c r="AJ3" s="63" t="s">
        <v>69</v>
      </c>
      <c r="AK3" s="63" t="s">
        <v>70</v>
      </c>
      <c r="AL3" s="63" t="s">
        <v>71</v>
      </c>
      <c r="AM3" s="63" t="s">
        <v>72</v>
      </c>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row>
    <row r="4" spans="1:131">
      <c r="A4" s="23" t="s">
        <v>436</v>
      </c>
      <c r="B4" s="23"/>
      <c r="C4" s="314">
        <v>480.12368554724708</v>
      </c>
      <c r="D4" s="314">
        <v>30.961500281902097</v>
      </c>
      <c r="E4" s="314">
        <v>6.1923000563804198</v>
      </c>
      <c r="F4" s="314">
        <v>37.153800338282515</v>
      </c>
      <c r="G4" s="314">
        <v>113.60797903388479</v>
      </c>
      <c r="H4" s="314">
        <v>288.24152050354127</v>
      </c>
      <c r="I4" s="314">
        <v>677.88218069763798</v>
      </c>
      <c r="J4" s="314">
        <v>-3.0490787161369473</v>
      </c>
      <c r="K4" s="314">
        <v>10.280201045728052</v>
      </c>
      <c r="L4" s="335">
        <v>2.5371591234588386</v>
      </c>
      <c r="M4" s="314">
        <v>4.5612124987638927</v>
      </c>
      <c r="N4" s="314">
        <v>6.0301720851307701E-2</v>
      </c>
      <c r="O4" s="314">
        <v>23.18777878353416</v>
      </c>
      <c r="P4" s="314">
        <v>21.787338263540963</v>
      </c>
      <c r="Q4" s="314">
        <v>24.711881303785237</v>
      </c>
      <c r="R4" s="314">
        <v>22.516200591859871</v>
      </c>
      <c r="S4" s="314">
        <v>23.094089227391606</v>
      </c>
      <c r="T4" s="314">
        <v>23.020487421620441</v>
      </c>
      <c r="U4" s="314">
        <v>22.042053048682074</v>
      </c>
      <c r="V4" s="314">
        <v>25.144410875221443</v>
      </c>
      <c r="W4" s="314">
        <v>21.657202026036494</v>
      </c>
      <c r="X4" s="314">
        <v>24.604778562596838</v>
      </c>
      <c r="Y4" s="314">
        <v>21.263385367509667</v>
      </c>
      <c r="Z4" s="314">
        <v>21.649837301680186</v>
      </c>
      <c r="AA4" s="314"/>
      <c r="AB4" s="314">
        <v>18.667876436645539</v>
      </c>
      <c r="AC4" s="314">
        <v>16.791839683540591</v>
      </c>
      <c r="AD4" s="314">
        <v>16.701348352437719</v>
      </c>
      <c r="AE4" s="314">
        <v>16.782391422992305</v>
      </c>
      <c r="AF4" s="314">
        <v>16.999189637069172</v>
      </c>
      <c r="AG4" s="314">
        <v>15.758792827661212</v>
      </c>
      <c r="AH4" s="314">
        <v>17.717879101971459</v>
      </c>
      <c r="AI4" s="314">
        <v>16.8850967445313</v>
      </c>
      <c r="AJ4" s="314">
        <v>17.659203695336348</v>
      </c>
      <c r="AK4" s="314">
        <v>16.56611635869692</v>
      </c>
      <c r="AL4" s="314">
        <v>17.423041895507691</v>
      </c>
      <c r="AM4" s="43">
        <v>17.491466617397801</v>
      </c>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row>
    <row r="5" spans="1:131">
      <c r="A5" s="23" t="s">
        <v>444</v>
      </c>
      <c r="B5" s="23"/>
      <c r="C5" s="314">
        <v>52.405790292175645</v>
      </c>
      <c r="D5" s="314">
        <v>6.2711987883631313</v>
      </c>
      <c r="E5" s="314">
        <v>1.2542397576726263</v>
      </c>
      <c r="F5" s="314">
        <v>7.5254385460357573</v>
      </c>
      <c r="G5" s="314">
        <v>20.020972750863134</v>
      </c>
      <c r="H5" s="314">
        <v>31.461736072839415</v>
      </c>
      <c r="I5" s="314">
        <v>1257.9304938583425</v>
      </c>
      <c r="J5" s="314">
        <v>0.44362825631266162</v>
      </c>
      <c r="K5" s="314">
        <v>20.980098599086904</v>
      </c>
      <c r="L5" s="335">
        <v>1.5714389337792316</v>
      </c>
      <c r="M5" s="314">
        <v>0.49785909940231166</v>
      </c>
      <c r="N5" s="314">
        <v>6.5819692556699921E-3</v>
      </c>
      <c r="O5" s="314">
        <v>2.5309600606064464</v>
      </c>
      <c r="P5" s="314">
        <v>2.3781011319248142</v>
      </c>
      <c r="Q5" s="314">
        <v>2.697316771313222</v>
      </c>
      <c r="R5" s="314">
        <v>2.4576568953240119</v>
      </c>
      <c r="S5" s="314">
        <v>2.5207337889610941</v>
      </c>
      <c r="T5" s="314">
        <v>2.5127001074026167</v>
      </c>
      <c r="U5" s="314">
        <v>2.4059034045813008</v>
      </c>
      <c r="V5" s="314">
        <v>2.7445276353013512</v>
      </c>
      <c r="W5" s="314">
        <v>2.3638966829934969</v>
      </c>
      <c r="X5" s="314">
        <v>2.6856264424179943</v>
      </c>
      <c r="Y5" s="314">
        <v>2.320911356833637</v>
      </c>
      <c r="Z5" s="314">
        <v>2.3630928188814058</v>
      </c>
      <c r="AA5" s="314"/>
      <c r="AB5" s="314">
        <v>2.037609989234372</v>
      </c>
      <c r="AC5" s="314">
        <v>1.8328394444286691</v>
      </c>
      <c r="AD5" s="314">
        <v>1.8229622609782592</v>
      </c>
      <c r="AE5" s="314">
        <v>1.8318081610826806</v>
      </c>
      <c r="AF5" s="314">
        <v>1.8554718171043172</v>
      </c>
      <c r="AG5" s="314">
        <v>1.7200817561061279</v>
      </c>
      <c r="AH5" s="314">
        <v>1.9339172063167578</v>
      </c>
      <c r="AI5" s="314">
        <v>1.8430185089669517</v>
      </c>
      <c r="AJ5" s="314">
        <v>1.9275127502401472</v>
      </c>
      <c r="AK5" s="314">
        <v>1.8082016071756972</v>
      </c>
      <c r="AL5" s="314">
        <v>1.9017355471372905</v>
      </c>
      <c r="AM5" s="43">
        <v>1.9092041468629766</v>
      </c>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row>
    <row r="6" spans="1:131">
      <c r="A6" s="23" t="s">
        <v>442</v>
      </c>
      <c r="B6" s="23"/>
      <c r="C6" s="314">
        <v>221.72389652201252</v>
      </c>
      <c r="D6" s="314">
        <v>43.365883450568482</v>
      </c>
      <c r="E6" s="314">
        <v>8.6731766901136975</v>
      </c>
      <c r="F6" s="314">
        <v>52.039060140682182</v>
      </c>
      <c r="G6" s="314">
        <v>103.32037595037009</v>
      </c>
      <c r="H6" s="314">
        <v>133.11160225855079</v>
      </c>
      <c r="I6" s="314">
        <v>2055.9902382336059</v>
      </c>
      <c r="J6" s="314">
        <v>5.2490707864740731</v>
      </c>
      <c r="K6" s="314">
        <v>27.157230174928788</v>
      </c>
      <c r="L6" s="335">
        <v>1.2883383459859932</v>
      </c>
      <c r="M6" s="314">
        <v>2.1063943282408943</v>
      </c>
      <c r="N6" s="314">
        <v>2.7847683662794227E-2</v>
      </c>
      <c r="O6" s="314">
        <v>10.708250432835005</v>
      </c>
      <c r="P6" s="314">
        <v>10.061518896176306</v>
      </c>
      <c r="Q6" s="314">
        <v>11.412089796860361</v>
      </c>
      <c r="R6" s="314">
        <v>10.398111737412158</v>
      </c>
      <c r="S6" s="314">
        <v>10.664984053615099</v>
      </c>
      <c r="T6" s="314">
        <v>10.630994313767046</v>
      </c>
      <c r="U6" s="314">
        <v>10.179147658021048</v>
      </c>
      <c r="V6" s="314">
        <v>11.611834456052758</v>
      </c>
      <c r="W6" s="314">
        <v>10.00142122858194</v>
      </c>
      <c r="X6" s="314">
        <v>11.362629131162496</v>
      </c>
      <c r="Y6" s="314">
        <v>9.8195544166075983</v>
      </c>
      <c r="Z6" s="314">
        <v>9.9980201562536006</v>
      </c>
      <c r="AA6" s="314"/>
      <c r="AB6" s="314">
        <v>8.620933371797161</v>
      </c>
      <c r="AC6" s="314">
        <v>7.7545687423521104</v>
      </c>
      <c r="AD6" s="314">
        <v>7.7127793219640655</v>
      </c>
      <c r="AE6" s="314">
        <v>7.7502054809526397</v>
      </c>
      <c r="AF6" s="314">
        <v>7.8503241508519306</v>
      </c>
      <c r="AG6" s="314">
        <v>7.2775017259346315</v>
      </c>
      <c r="AH6" s="314">
        <v>8.1822191048903417</v>
      </c>
      <c r="AI6" s="314">
        <v>7.7976353928079893</v>
      </c>
      <c r="AJ6" s="314">
        <v>8.1551224625442718</v>
      </c>
      <c r="AK6" s="314">
        <v>7.6503284046499678</v>
      </c>
      <c r="AL6" s="314">
        <v>8.0460615766852897</v>
      </c>
      <c r="AM6" s="43">
        <v>8.0776605092366349</v>
      </c>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row>
    <row r="7" spans="1:131">
      <c r="A7" s="23"/>
      <c r="B7" s="2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4"/>
  <dimension ref="A1:EA126"/>
  <sheetViews>
    <sheetView topLeftCell="A27" workbookViewId="0">
      <selection activeCell="A32" sqref="A32:EA126"/>
    </sheetView>
  </sheetViews>
  <sheetFormatPr defaultRowHeight="12.75"/>
  <cols>
    <col min="1" max="1" width="29"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4" t="s">
        <v>14</v>
      </c>
      <c r="B1" s="15"/>
      <c r="C1" s="15"/>
      <c r="D1" s="15"/>
      <c r="E1" s="15"/>
      <c r="F1" s="15"/>
      <c r="G1" s="15"/>
      <c r="H1" s="16"/>
      <c r="I1" s="17"/>
      <c r="J1" s="17"/>
      <c r="K1" s="17"/>
      <c r="L1" s="17"/>
      <c r="M1" s="17"/>
      <c r="N1" s="18"/>
      <c r="O1" s="19" t="e">
        <v>#REF!</v>
      </c>
      <c r="P1" s="18"/>
      <c r="Q1" s="18"/>
      <c r="R1" s="18"/>
      <c r="S1" s="16"/>
      <c r="T1" s="16"/>
      <c r="U1" s="16"/>
      <c r="V1" s="18"/>
      <c r="W1" s="16"/>
      <c r="X1" s="16"/>
      <c r="Y1" s="16"/>
      <c r="Z1" s="16"/>
      <c r="AA1" s="16"/>
      <c r="AB1" s="16"/>
      <c r="AC1" s="16"/>
      <c r="AD1" s="16"/>
      <c r="AE1" s="16"/>
      <c r="AF1" s="16"/>
      <c r="AG1" s="16"/>
      <c r="AH1" s="16"/>
      <c r="AI1" s="16"/>
      <c r="AJ1" s="16"/>
      <c r="AK1" s="16"/>
      <c r="AL1" s="16"/>
      <c r="AM1" s="16"/>
      <c r="AN1" s="16"/>
      <c r="AO1" s="16"/>
      <c r="AP1" s="20"/>
      <c r="AQ1" s="16"/>
      <c r="AR1" s="16"/>
      <c r="AS1" s="16"/>
      <c r="AT1" s="16"/>
      <c r="AU1" s="16"/>
      <c r="AV1" s="20"/>
      <c r="AW1" s="16"/>
      <c r="AX1" s="16"/>
      <c r="AY1" s="16"/>
      <c r="AZ1" s="16"/>
      <c r="BA1" s="16"/>
      <c r="BB1" s="16"/>
      <c r="BC1" s="16"/>
      <c r="BD1" s="16"/>
      <c r="BE1" s="16"/>
      <c r="BF1" s="16"/>
      <c r="BG1" s="16"/>
      <c r="BH1" s="16"/>
      <c r="BI1" s="16"/>
      <c r="BJ1" s="16"/>
      <c r="BK1" s="16"/>
      <c r="BL1" s="16"/>
      <c r="BM1" s="21"/>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20"/>
      <c r="CQ1" s="16"/>
      <c r="CR1" s="16"/>
      <c r="CS1" s="16"/>
      <c r="CT1" s="16"/>
      <c r="CU1" s="16"/>
      <c r="CV1" s="16"/>
      <c r="CW1" s="16"/>
      <c r="CX1" s="16"/>
      <c r="CY1" s="16"/>
      <c r="CZ1" s="16"/>
      <c r="DA1" s="16"/>
    </row>
    <row r="2" spans="1:105">
      <c r="A2" s="22" t="s">
        <v>15</v>
      </c>
      <c r="B2" s="16" t="str">
        <f>'7PSourceSummary'!D2</f>
        <v>Data Centers</v>
      </c>
      <c r="C2" s="16"/>
      <c r="D2" s="16"/>
      <c r="E2" s="16"/>
      <c r="F2" s="16"/>
      <c r="G2" s="16"/>
      <c r="H2" s="16"/>
      <c r="I2" s="17"/>
      <c r="J2" s="17"/>
      <c r="K2" s="17"/>
      <c r="L2" s="17"/>
      <c r="M2" s="17"/>
      <c r="N2" s="18"/>
      <c r="O2" s="18"/>
      <c r="P2" s="18"/>
      <c r="Q2" s="18"/>
      <c r="R2" s="18"/>
      <c r="S2" s="16"/>
      <c r="T2" s="16"/>
      <c r="U2" s="16"/>
      <c r="V2" s="18"/>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20"/>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row>
    <row r="3" spans="1:105">
      <c r="A3" s="22" t="s">
        <v>16</v>
      </c>
      <c r="B3" s="23"/>
      <c r="C3" s="22">
        <v>2012</v>
      </c>
      <c r="D3" s="23"/>
      <c r="E3" s="23"/>
      <c r="F3" s="23"/>
      <c r="G3" s="23"/>
      <c r="H3" s="23"/>
      <c r="I3" s="23"/>
      <c r="J3" s="24"/>
      <c r="K3" s="25"/>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5"/>
      <c r="CP3" s="25"/>
      <c r="CQ3" s="23"/>
      <c r="CR3" s="23"/>
      <c r="CS3" s="23"/>
      <c r="CT3" s="23"/>
      <c r="CU3" s="23"/>
      <c r="CV3" s="23"/>
      <c r="CW3" s="23"/>
      <c r="CX3" s="23"/>
      <c r="CY3" s="23"/>
      <c r="CZ3" s="23"/>
      <c r="DA3" s="23"/>
    </row>
    <row r="4" spans="1:105">
      <c r="A4" s="23"/>
      <c r="B4" s="305" t="s">
        <v>445</v>
      </c>
      <c r="C4" s="306" t="s">
        <v>660</v>
      </c>
      <c r="D4" s="23"/>
      <c r="E4" s="354" t="s">
        <v>661</v>
      </c>
      <c r="F4" s="353">
        <v>1000</v>
      </c>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row>
    <row r="5" spans="1:105">
      <c r="A5" s="26">
        <v>1</v>
      </c>
      <c r="B5" s="26">
        <v>2</v>
      </c>
      <c r="C5" s="26">
        <v>3</v>
      </c>
      <c r="D5" s="26">
        <v>4</v>
      </c>
      <c r="E5" s="26">
        <v>5</v>
      </c>
      <c r="F5" s="26">
        <v>6</v>
      </c>
      <c r="G5" s="26">
        <v>7</v>
      </c>
      <c r="H5" s="26">
        <v>8</v>
      </c>
      <c r="I5" s="26">
        <v>9</v>
      </c>
      <c r="J5" s="26">
        <v>10</v>
      </c>
      <c r="K5" s="26">
        <v>11</v>
      </c>
      <c r="L5" s="26">
        <v>12</v>
      </c>
      <c r="M5" s="26">
        <v>13</v>
      </c>
      <c r="N5" s="26">
        <v>14</v>
      </c>
      <c r="O5" s="26">
        <v>15</v>
      </c>
      <c r="P5" s="26">
        <v>16</v>
      </c>
      <c r="Q5" s="26">
        <v>17</v>
      </c>
      <c r="R5" s="26">
        <v>18</v>
      </c>
      <c r="S5" s="26">
        <v>19</v>
      </c>
      <c r="T5" s="26">
        <v>20</v>
      </c>
      <c r="U5" s="26">
        <v>21</v>
      </c>
      <c r="V5" s="26">
        <v>22</v>
      </c>
      <c r="W5" s="26">
        <v>23</v>
      </c>
      <c r="X5" s="26">
        <v>24</v>
      </c>
      <c r="Y5" s="26">
        <v>25</v>
      </c>
      <c r="Z5" s="26">
        <v>26</v>
      </c>
      <c r="AA5" s="26">
        <v>27</v>
      </c>
      <c r="AB5" s="26">
        <v>28</v>
      </c>
      <c r="AC5" s="26">
        <v>29</v>
      </c>
      <c r="AD5" s="26">
        <v>30</v>
      </c>
      <c r="AE5" s="26">
        <v>31</v>
      </c>
      <c r="AF5" s="26">
        <v>32</v>
      </c>
      <c r="AG5" s="26">
        <v>33</v>
      </c>
      <c r="AH5" s="26">
        <v>34</v>
      </c>
      <c r="AI5" s="26">
        <v>35</v>
      </c>
      <c r="AJ5" s="26">
        <v>36</v>
      </c>
      <c r="AK5" s="26">
        <v>37</v>
      </c>
      <c r="AL5" s="26">
        <v>38</v>
      </c>
      <c r="AM5" s="26">
        <v>39</v>
      </c>
      <c r="AN5" s="26">
        <v>40</v>
      </c>
      <c r="AO5" s="26">
        <v>41</v>
      </c>
      <c r="AP5" s="26">
        <v>42</v>
      </c>
      <c r="AQ5" s="26">
        <v>43</v>
      </c>
      <c r="AR5" s="26">
        <v>44</v>
      </c>
      <c r="AS5" s="26">
        <v>45</v>
      </c>
      <c r="AT5" s="26">
        <v>46</v>
      </c>
      <c r="AU5" s="26">
        <v>47</v>
      </c>
      <c r="AV5" s="26">
        <v>48</v>
      </c>
      <c r="AW5" s="26">
        <v>49</v>
      </c>
      <c r="AX5" s="26">
        <v>50</v>
      </c>
      <c r="AY5" s="26">
        <v>51</v>
      </c>
      <c r="AZ5" s="26">
        <v>52</v>
      </c>
      <c r="BA5" s="26">
        <v>53</v>
      </c>
      <c r="BB5" s="26">
        <v>54</v>
      </c>
      <c r="BC5" s="26">
        <v>55</v>
      </c>
      <c r="BD5" s="26">
        <v>56</v>
      </c>
      <c r="BE5" s="26">
        <v>57</v>
      </c>
      <c r="BF5" s="26">
        <v>58</v>
      </c>
      <c r="BG5" s="26">
        <v>59</v>
      </c>
      <c r="BH5" s="26">
        <v>60</v>
      </c>
      <c r="BI5" s="26">
        <v>61</v>
      </c>
      <c r="BJ5" s="26">
        <v>62</v>
      </c>
      <c r="BK5" s="26">
        <v>63</v>
      </c>
      <c r="BL5" s="26">
        <v>64</v>
      </c>
      <c r="BM5" s="26">
        <v>65</v>
      </c>
      <c r="BN5" s="26">
        <v>66</v>
      </c>
      <c r="BO5" s="26">
        <v>67</v>
      </c>
      <c r="BP5" s="26">
        <v>68</v>
      </c>
      <c r="BQ5" s="26">
        <v>69</v>
      </c>
      <c r="BR5" s="26">
        <v>70</v>
      </c>
      <c r="BS5" s="26">
        <v>71</v>
      </c>
      <c r="BT5" s="26">
        <v>72</v>
      </c>
      <c r="BU5" s="26">
        <v>73</v>
      </c>
      <c r="BV5" s="26">
        <v>74</v>
      </c>
      <c r="BW5" s="26">
        <v>75</v>
      </c>
      <c r="BX5" s="26">
        <v>76</v>
      </c>
      <c r="BY5" s="26">
        <v>77</v>
      </c>
      <c r="BZ5" s="26">
        <v>78</v>
      </c>
      <c r="CA5" s="26">
        <v>79</v>
      </c>
      <c r="CB5" s="26">
        <v>80</v>
      </c>
      <c r="CC5" s="26">
        <v>81</v>
      </c>
      <c r="CD5" s="26">
        <v>82</v>
      </c>
      <c r="CE5" s="26">
        <v>83</v>
      </c>
      <c r="CF5" s="26">
        <v>84</v>
      </c>
      <c r="CG5" s="26">
        <v>85</v>
      </c>
      <c r="CH5" s="26">
        <v>86</v>
      </c>
      <c r="CI5" s="26">
        <v>87</v>
      </c>
      <c r="CJ5" s="26">
        <v>88</v>
      </c>
      <c r="CK5" s="26">
        <v>89</v>
      </c>
      <c r="CL5" s="26">
        <v>90</v>
      </c>
      <c r="CM5" s="26">
        <v>91</v>
      </c>
      <c r="CN5" s="26">
        <v>92</v>
      </c>
      <c r="CO5" s="26">
        <v>93</v>
      </c>
      <c r="CP5" s="26">
        <v>94</v>
      </c>
      <c r="CQ5" s="26">
        <v>95</v>
      </c>
      <c r="CR5" s="26">
        <v>96</v>
      </c>
      <c r="CS5" s="26">
        <v>97</v>
      </c>
      <c r="CT5" s="26">
        <v>98</v>
      </c>
      <c r="CU5" s="26">
        <v>99</v>
      </c>
      <c r="CV5" s="26">
        <v>100</v>
      </c>
      <c r="CW5" s="26">
        <v>101</v>
      </c>
      <c r="CX5" s="26">
        <v>102</v>
      </c>
      <c r="CY5" s="26">
        <v>103</v>
      </c>
      <c r="CZ5" s="26">
        <v>104</v>
      </c>
      <c r="DA5" s="26">
        <v>105</v>
      </c>
    </row>
    <row r="6" spans="1:105">
      <c r="A6" s="27" t="s">
        <v>17</v>
      </c>
      <c r="B6" s="28"/>
      <c r="C6" s="28"/>
      <c r="D6" s="28"/>
      <c r="E6" s="28"/>
      <c r="F6" s="28"/>
      <c r="G6" s="29"/>
      <c r="H6" s="30"/>
      <c r="I6" s="435" t="s">
        <v>18</v>
      </c>
      <c r="J6" s="436"/>
      <c r="K6" s="436"/>
      <c r="L6" s="436"/>
      <c r="M6" s="436"/>
      <c r="N6" s="437"/>
      <c r="O6" s="438" t="s">
        <v>19</v>
      </c>
      <c r="P6" s="439"/>
      <c r="Q6" s="31" t="s">
        <v>20</v>
      </c>
      <c r="R6" s="440" t="s">
        <v>21</v>
      </c>
      <c r="S6" s="440"/>
      <c r="T6" s="440"/>
      <c r="U6" s="32"/>
      <c r="V6" s="32"/>
      <c r="W6" s="32"/>
      <c r="X6" s="33"/>
      <c r="Y6" s="34"/>
      <c r="Z6" s="32"/>
      <c r="AA6" s="32"/>
      <c r="AB6" s="32"/>
      <c r="AC6" s="32"/>
      <c r="AD6" s="32"/>
      <c r="AE6" s="35"/>
      <c r="AF6" s="35"/>
      <c r="AG6" s="35"/>
      <c r="AH6" s="35"/>
      <c r="AI6" s="35"/>
      <c r="AJ6" s="35"/>
      <c r="AK6" s="35"/>
      <c r="AL6" s="35"/>
      <c r="AM6" s="35"/>
      <c r="AN6" s="35"/>
      <c r="AO6" s="35"/>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row>
    <row r="7" spans="1:105" ht="25.5">
      <c r="A7" s="36" t="s">
        <v>22</v>
      </c>
      <c r="B7" s="36" t="s">
        <v>23</v>
      </c>
      <c r="C7" s="36" t="s">
        <v>24</v>
      </c>
      <c r="D7" s="36" t="s">
        <v>25</v>
      </c>
      <c r="E7" s="36" t="s">
        <v>26</v>
      </c>
      <c r="F7" s="37" t="s">
        <v>27</v>
      </c>
      <c r="G7" s="36" t="s">
        <v>28</v>
      </c>
      <c r="H7" s="38" t="s">
        <v>29</v>
      </c>
      <c r="I7" s="38" t="s">
        <v>30</v>
      </c>
      <c r="J7" s="38" t="s">
        <v>31</v>
      </c>
      <c r="K7" s="38" t="s">
        <v>32</v>
      </c>
      <c r="L7" s="38" t="s">
        <v>33</v>
      </c>
      <c r="M7" s="38" t="s">
        <v>34</v>
      </c>
      <c r="N7" s="38" t="s">
        <v>35</v>
      </c>
      <c r="O7" s="39" t="s">
        <v>36</v>
      </c>
      <c r="P7" s="38" t="s">
        <v>28</v>
      </c>
      <c r="Q7" s="40" t="s">
        <v>37</v>
      </c>
      <c r="R7" s="41" t="s">
        <v>38</v>
      </c>
      <c r="S7" s="41" t="s">
        <v>39</v>
      </c>
      <c r="T7" s="41" t="s">
        <v>40</v>
      </c>
      <c r="U7" s="42"/>
      <c r="V7" s="42"/>
      <c r="W7" s="42"/>
      <c r="X7" s="42"/>
      <c r="Y7" s="42"/>
      <c r="Z7" s="42"/>
      <c r="AA7" s="42"/>
      <c r="AB7" s="42"/>
      <c r="AC7" s="42"/>
      <c r="AD7" s="42"/>
      <c r="AE7" s="35"/>
      <c r="AF7" s="35"/>
      <c r="AG7" s="35"/>
      <c r="AH7" s="35"/>
      <c r="AI7" s="35"/>
      <c r="AJ7" s="35"/>
      <c r="AK7" s="35"/>
      <c r="AL7" s="35"/>
      <c r="AM7" s="35"/>
      <c r="AN7" s="35"/>
      <c r="AO7" s="35"/>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row>
    <row r="8" spans="1:105">
      <c r="A8" s="43" t="s">
        <v>436</v>
      </c>
      <c r="B8" s="43" t="str">
        <f>CostData!B4</f>
        <v>Decommissioning of unused servers</v>
      </c>
      <c r="C8" s="352">
        <f>CostData!O4*$F$4</f>
        <v>67.107537765569887</v>
      </c>
      <c r="D8" s="44">
        <f>CostData!K4</f>
        <v>5</v>
      </c>
      <c r="E8" s="307">
        <f>CostData!P4*$F$4</f>
        <v>2.0776493692220441</v>
      </c>
      <c r="F8" s="45"/>
      <c r="G8" s="46" t="s">
        <v>446</v>
      </c>
      <c r="H8" s="44"/>
      <c r="I8" s="44"/>
      <c r="J8" s="44"/>
      <c r="K8" s="44"/>
      <c r="L8" s="44"/>
      <c r="M8" s="44"/>
      <c r="N8" s="44"/>
      <c r="O8" s="23"/>
      <c r="P8" s="47"/>
      <c r="Q8" s="48" t="s">
        <v>41</v>
      </c>
      <c r="R8" s="44"/>
      <c r="S8" s="44"/>
      <c r="T8" s="44"/>
      <c r="U8" s="42"/>
      <c r="V8" s="42"/>
      <c r="W8" s="42"/>
      <c r="X8" s="42"/>
      <c r="Y8" s="42"/>
      <c r="Z8" s="42"/>
      <c r="AA8" s="42"/>
      <c r="AB8" s="42"/>
      <c r="AC8" s="42"/>
      <c r="AD8" s="42"/>
      <c r="AE8" s="35"/>
      <c r="AF8" s="35"/>
      <c r="AG8" s="35"/>
      <c r="AH8" s="35"/>
      <c r="AI8" s="35"/>
      <c r="AJ8" s="35"/>
      <c r="AK8" s="35"/>
      <c r="AL8" s="35"/>
      <c r="AM8" s="35"/>
      <c r="AN8" s="35"/>
      <c r="AO8" s="35"/>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row>
    <row r="9" spans="1:105">
      <c r="A9" s="43" t="s">
        <v>436</v>
      </c>
      <c r="B9" s="43" t="str">
        <f>CostData!B5</f>
        <v>Server virtualization/consolidation</v>
      </c>
      <c r="C9" s="352">
        <f>CostData!O5*$F$4</f>
        <v>301.0710296663359</v>
      </c>
      <c r="D9" s="44">
        <f>CostData!K5</f>
        <v>5</v>
      </c>
      <c r="E9" s="307">
        <f>CostData!P5*$F$4</f>
        <v>24.856424209252697</v>
      </c>
      <c r="F9" s="45"/>
      <c r="G9" s="46" t="s">
        <v>446</v>
      </c>
      <c r="H9" s="23"/>
      <c r="I9" s="23"/>
      <c r="J9" s="23"/>
      <c r="K9" s="23"/>
      <c r="L9" s="23"/>
      <c r="M9" s="23"/>
      <c r="N9" s="23"/>
      <c r="O9" s="23"/>
      <c r="P9" s="47"/>
      <c r="Q9" s="49" t="s">
        <v>41</v>
      </c>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row>
    <row r="10" spans="1:105">
      <c r="A10" s="43" t="s">
        <v>436</v>
      </c>
      <c r="B10" s="43" t="str">
        <f>CostData!B6</f>
        <v>Server power management</v>
      </c>
      <c r="C10" s="352">
        <f>CostData!O6*$F$4</f>
        <v>23.377042893183265</v>
      </c>
      <c r="D10" s="44">
        <f>CostData!K6</f>
        <v>5</v>
      </c>
      <c r="E10" s="307">
        <f>CostData!P6*$F$4</f>
        <v>0</v>
      </c>
      <c r="F10" s="45"/>
      <c r="G10" s="46" t="s">
        <v>446</v>
      </c>
      <c r="H10" s="23"/>
      <c r="I10" s="23"/>
      <c r="J10" s="23"/>
      <c r="K10" s="23"/>
      <c r="L10" s="23"/>
      <c r="M10" s="23"/>
      <c r="N10" s="23"/>
      <c r="O10" s="23"/>
      <c r="P10" s="47"/>
      <c r="Q10" s="49" t="s">
        <v>41</v>
      </c>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row>
    <row r="11" spans="1:105">
      <c r="A11" s="43" t="s">
        <v>436</v>
      </c>
      <c r="B11" s="43" t="str">
        <f>CostData!B7</f>
        <v>Energy efficient data storage management</v>
      </c>
      <c r="C11" s="352">
        <f>CostData!O7*$F$4</f>
        <v>55.750646503700921</v>
      </c>
      <c r="D11" s="23">
        <f>CostData!K7</f>
        <v>5</v>
      </c>
      <c r="E11" s="307">
        <f>CostData!P7*$F$4</f>
        <v>4.0274267034273539</v>
      </c>
      <c r="F11" s="23"/>
      <c r="G11" s="46" t="s">
        <v>446</v>
      </c>
      <c r="H11" s="23"/>
      <c r="I11" s="23"/>
      <c r="J11" s="23"/>
      <c r="K11" s="23"/>
      <c r="L11" s="23"/>
      <c r="M11" s="23"/>
      <c r="N11" s="23"/>
      <c r="O11" s="23"/>
      <c r="P11" s="23"/>
      <c r="Q11" s="48" t="s">
        <v>41</v>
      </c>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row>
    <row r="12" spans="1:105">
      <c r="A12" s="299" t="s">
        <v>442</v>
      </c>
      <c r="B12" s="43" t="str">
        <f>CostData!B8</f>
        <v>Energy efficient servers</v>
      </c>
      <c r="C12" s="352">
        <f>CostData!O8*$F$4</f>
        <v>77.580902667584397</v>
      </c>
      <c r="D12" s="23">
        <f>CostData!K8</f>
        <v>5</v>
      </c>
      <c r="E12" s="307">
        <f>CostData!P8*$F$4</f>
        <v>10.007936444118387</v>
      </c>
      <c r="F12" s="23"/>
      <c r="G12" s="46" t="s">
        <v>446</v>
      </c>
      <c r="H12" s="23"/>
      <c r="I12" s="23"/>
      <c r="J12" s="23"/>
      <c r="K12" s="23"/>
      <c r="L12" s="23"/>
      <c r="M12" s="23"/>
      <c r="N12" s="23"/>
      <c r="O12" s="23"/>
      <c r="P12" s="23"/>
      <c r="Q12" s="49" t="s">
        <v>41</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row>
    <row r="13" spans="1:105">
      <c r="A13" s="299" t="s">
        <v>442</v>
      </c>
      <c r="B13" s="43" t="str">
        <f>CostData!B9</f>
        <v>Massive array of idle disks (MAID)</v>
      </c>
      <c r="C13" s="352">
        <f>CostData!O9*$F$4</f>
        <v>23.28691658097679</v>
      </c>
      <c r="D13" s="23">
        <f>CostData!K9</f>
        <v>5</v>
      </c>
      <c r="E13" s="307">
        <f>CostData!P9*$F$4</f>
        <v>3.0040122389460056</v>
      </c>
      <c r="F13" s="23"/>
      <c r="G13" s="46" t="s">
        <v>446</v>
      </c>
      <c r="H13" s="23"/>
      <c r="I13" s="23"/>
      <c r="J13" s="23"/>
      <c r="K13" s="23"/>
      <c r="L13" s="23"/>
      <c r="M13" s="23"/>
      <c r="N13" s="23"/>
      <c r="O13" s="23"/>
      <c r="P13" s="23"/>
      <c r="Q13" s="49" t="s">
        <v>41</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row>
    <row r="14" spans="1:105">
      <c r="A14" s="299" t="s">
        <v>442</v>
      </c>
      <c r="B14" s="43" t="str">
        <f>CostData!B10</f>
        <v>Efficient network topology</v>
      </c>
      <c r="C14" s="352">
        <f>CostData!O10*$F$4</f>
        <v>26.180739304642962</v>
      </c>
      <c r="D14">
        <f>CostData!K10</f>
        <v>5</v>
      </c>
      <c r="E14" s="307">
        <f>CostData!P10*$F$4</f>
        <v>0</v>
      </c>
      <c r="G14" s="46" t="s">
        <v>446</v>
      </c>
      <c r="Q14" s="48" t="s">
        <v>41</v>
      </c>
    </row>
    <row r="15" spans="1:105">
      <c r="A15" s="299" t="s">
        <v>442</v>
      </c>
      <c r="B15" s="43" t="str">
        <f>CostData!B11</f>
        <v>Energy efficient transformers</v>
      </c>
      <c r="C15" s="352">
        <f>CostData!O11*$F$4</f>
        <v>4.8055102286204185</v>
      </c>
      <c r="D15">
        <f>CostData!K11</f>
        <v>5</v>
      </c>
      <c r="E15" s="307">
        <f>CostData!P11*$F$4</f>
        <v>1.4877859667808815</v>
      </c>
      <c r="G15" s="46" t="s">
        <v>446</v>
      </c>
      <c r="Q15" s="49" t="s">
        <v>41</v>
      </c>
    </row>
    <row r="16" spans="1:105">
      <c r="A16" s="299" t="s">
        <v>442</v>
      </c>
      <c r="B16" s="43" t="str">
        <f>CostData!B12</f>
        <v>Energy efficient power supplies (UPS)</v>
      </c>
      <c r="C16" s="352">
        <f>CostData!O12*$F$4</f>
        <v>44.297091890530545</v>
      </c>
      <c r="D16">
        <f>CostData!K12</f>
        <v>15</v>
      </c>
      <c r="E16" s="307">
        <f>CostData!P12*$F$4</f>
        <v>17.600120549945597</v>
      </c>
      <c r="G16" s="46" t="s">
        <v>446</v>
      </c>
      <c r="Q16" s="49" t="s">
        <v>41</v>
      </c>
    </row>
    <row r="17" spans="1:131">
      <c r="A17" s="299" t="s">
        <v>442</v>
      </c>
      <c r="B17" s="43" t="str">
        <f>CostData!B13</f>
        <v>Energy efficient lighting</v>
      </c>
      <c r="C17" s="352">
        <f>CostData!O13*$F$4</f>
        <v>10.546926640602512</v>
      </c>
      <c r="D17">
        <f>CostData!K13</f>
        <v>10</v>
      </c>
      <c r="E17" s="307">
        <f>CostData!P13*$F$4</f>
        <v>5.4422141465508966</v>
      </c>
      <c r="G17" s="46" t="s">
        <v>446</v>
      </c>
      <c r="Q17" s="48" t="s">
        <v>41</v>
      </c>
    </row>
    <row r="18" spans="1:131">
      <c r="A18" s="299" t="s">
        <v>442</v>
      </c>
      <c r="B18" s="43" t="str">
        <f>CostData!B14</f>
        <v>Hot or cold aisle configuration</v>
      </c>
      <c r="C18" s="352">
        <f>CostData!O14*$F$4</f>
        <v>1.324702047218288</v>
      </c>
      <c r="D18">
        <f>CostData!K14</f>
        <v>10</v>
      </c>
      <c r="E18" s="307">
        <f>CostData!P14*$F$4</f>
        <v>0.21873480203668372</v>
      </c>
      <c r="G18" s="46" t="s">
        <v>446</v>
      </c>
      <c r="Q18" s="49" t="s">
        <v>41</v>
      </c>
    </row>
    <row r="19" spans="1:131">
      <c r="A19" s="299" t="s">
        <v>442</v>
      </c>
      <c r="B19" s="43" t="str">
        <f>CostData!B15</f>
        <v>Hot or cold aisle configuration plus containment (e.g., strip curtains or rigid enclosures)</v>
      </c>
      <c r="C19" s="352">
        <f>CostData!O15*$F$4</f>
        <v>2.649404094436576</v>
      </c>
      <c r="D19">
        <f>CostData!K15</f>
        <v>10</v>
      </c>
      <c r="E19" s="307">
        <f>CostData!P15*$F$4</f>
        <v>0.54683700509170929</v>
      </c>
      <c r="G19" s="46" t="s">
        <v>446</v>
      </c>
      <c r="Q19" s="49" t="s">
        <v>41</v>
      </c>
    </row>
    <row r="20" spans="1:131">
      <c r="A20" s="299" t="s">
        <v>442</v>
      </c>
      <c r="B20" s="43" t="str">
        <f>CostData!B16</f>
        <v>Variable speed drives on pumps/fans</v>
      </c>
      <c r="C20" s="352">
        <f>CostData!O16*$F$4</f>
        <v>2.649404094436576</v>
      </c>
      <c r="D20">
        <f>CostData!K16</f>
        <v>10</v>
      </c>
      <c r="E20" s="307">
        <f>CostData!P16*$F$4</f>
        <v>0.39645682869148918</v>
      </c>
      <c r="G20" s="46" t="s">
        <v>446</v>
      </c>
      <c r="Q20" s="48" t="s">
        <v>41</v>
      </c>
    </row>
    <row r="21" spans="1:131">
      <c r="A21" s="299" t="s">
        <v>442</v>
      </c>
      <c r="B21" s="43" t="str">
        <f>CostData!B17</f>
        <v>Premium efficiency motors</v>
      </c>
      <c r="C21" s="352">
        <f>CostData!O17*$F$4</f>
        <v>2.649404094436576</v>
      </c>
      <c r="D21">
        <f>CostData!K17</f>
        <v>10</v>
      </c>
      <c r="E21" s="307">
        <f>CostData!P17*$F$4</f>
        <v>0.71088810661922208</v>
      </c>
      <c r="G21" s="46" t="s">
        <v>446</v>
      </c>
      <c r="Q21" s="49" t="s">
        <v>41</v>
      </c>
    </row>
    <row r="22" spans="1:131">
      <c r="A22" s="299" t="s">
        <v>442</v>
      </c>
      <c r="B22" s="43" t="str">
        <f>CostData!B18</f>
        <v>Air-side economizer</v>
      </c>
      <c r="C22" s="352">
        <f>CostData!O18*$F$4</f>
        <v>2.649404094436576</v>
      </c>
      <c r="D22">
        <f>CostData!K18</f>
        <v>10</v>
      </c>
      <c r="E22" s="307">
        <f>CostData!P18*$F$4</f>
        <v>1.0526612348015403</v>
      </c>
      <c r="G22" s="46" t="s">
        <v>446</v>
      </c>
      <c r="Q22" s="49" t="s">
        <v>41</v>
      </c>
    </row>
    <row r="23" spans="1:131">
      <c r="A23" s="299" t="s">
        <v>442</v>
      </c>
      <c r="B23" s="43" t="str">
        <f>CostData!B19</f>
        <v>In-row cooling</v>
      </c>
      <c r="C23" s="352">
        <f>CostData!O19*$F$4</f>
        <v>2.649404094436576</v>
      </c>
      <c r="D23">
        <f>CostData!K19</f>
        <v>10</v>
      </c>
      <c r="E23" s="307">
        <f>CostData!P19*$F$4</f>
        <v>0.68354625636463662</v>
      </c>
      <c r="G23" s="46" t="s">
        <v>446</v>
      </c>
      <c r="Q23" s="48" t="s">
        <v>41</v>
      </c>
    </row>
    <row r="24" spans="1:131">
      <c r="A24" s="299" t="s">
        <v>442</v>
      </c>
      <c r="B24" s="43" t="str">
        <f>CostData!B20</f>
        <v>Water-side economizer</v>
      </c>
      <c r="C24" s="352">
        <f>CostData!O20*$F$4</f>
        <v>2.649404094436576</v>
      </c>
      <c r="D24">
        <f>CostData!K20</f>
        <v>10</v>
      </c>
      <c r="E24" s="307">
        <f>CostData!P20*$F$4</f>
        <v>1.2577251117109312</v>
      </c>
      <c r="G24" s="46" t="s">
        <v>446</v>
      </c>
      <c r="Q24" s="49" t="s">
        <v>41</v>
      </c>
    </row>
    <row r="25" spans="1:131">
      <c r="A25" s="299" t="s">
        <v>442</v>
      </c>
      <c r="B25" s="43" t="str">
        <f>CostData!B21</f>
        <v>Install misters, foggers, or ultrasonic humidifiers</v>
      </c>
      <c r="C25" s="352">
        <f>CostData!O21*$F$4</f>
        <v>2.649404094436576</v>
      </c>
      <c r="D25">
        <f>CostData!K21</f>
        <v>10</v>
      </c>
      <c r="E25" s="307">
        <f>CostData!P21*$F$4</f>
        <v>0.95696475891049126</v>
      </c>
      <c r="G25" s="46" t="s">
        <v>446</v>
      </c>
      <c r="Q25" s="49" t="s">
        <v>41</v>
      </c>
    </row>
    <row r="26" spans="1:131">
      <c r="A26" s="304" t="s">
        <v>444</v>
      </c>
      <c r="B26" s="43" t="str">
        <f>CostData!B22</f>
        <v>Solid state storage</v>
      </c>
      <c r="C26" s="352">
        <f>CostData!O22*$F$4</f>
        <v>12.859961600951934</v>
      </c>
      <c r="D26">
        <f>CostData!K22</f>
        <v>5</v>
      </c>
      <c r="E26" s="307">
        <f>CostData!P22*$F$4</f>
        <v>3.3178700930455993</v>
      </c>
      <c r="G26" s="46" t="s">
        <v>446</v>
      </c>
      <c r="Q26" s="48" t="s">
        <v>41</v>
      </c>
    </row>
    <row r="27" spans="1:131">
      <c r="A27" s="304" t="s">
        <v>444</v>
      </c>
      <c r="B27" s="43" t="str">
        <f>CostData!B23</f>
        <v>Efficient network topology</v>
      </c>
      <c r="C27" s="352">
        <f>CostData!O23*$F$4</f>
        <v>21.962753280526037</v>
      </c>
      <c r="D27">
        <f>CostData!K23</f>
        <v>5</v>
      </c>
      <c r="E27" s="307">
        <f>CostData!P23*$F$4</f>
        <v>0</v>
      </c>
      <c r="G27" s="46" t="s">
        <v>446</v>
      </c>
      <c r="Q27" s="49" t="s">
        <v>41</v>
      </c>
    </row>
    <row r="28" spans="1:131">
      <c r="A28" s="304" t="s">
        <v>444</v>
      </c>
      <c r="B28" s="43" t="str">
        <f>CostData!B24</f>
        <v>Direct current (as opposed to AC) to the racks</v>
      </c>
      <c r="C28" s="352">
        <f>CostData!O24*$F$4</f>
        <v>2.0042042770896136</v>
      </c>
      <c r="D28">
        <f>CostData!K24</f>
        <v>5</v>
      </c>
      <c r="E28" s="307">
        <f>CostData!P24*$F$4</f>
        <v>1.0962195713969349</v>
      </c>
      <c r="G28" s="46" t="s">
        <v>446</v>
      </c>
      <c r="Q28" s="49" t="s">
        <v>41</v>
      </c>
    </row>
    <row r="29" spans="1:131">
      <c r="A29" s="304" t="s">
        <v>444</v>
      </c>
      <c r="B29" s="43" t="str">
        <f>CostData!B25</f>
        <v>Direct liquid cooling of chips</v>
      </c>
      <c r="C29" s="352">
        <f>CostData!O25*$F$4</f>
        <v>11.996828965895331</v>
      </c>
      <c r="D29">
        <f>CostData!K25</f>
        <v>10</v>
      </c>
      <c r="E29" s="307">
        <f>CostData!P25*$F$4</f>
        <v>1.857109123920597</v>
      </c>
      <c r="G29" s="46" t="s">
        <v>446</v>
      </c>
      <c r="Q29" s="48" t="s">
        <v>41</v>
      </c>
    </row>
    <row r="32" spans="1:13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row>
    <row r="33" spans="1:131">
      <c r="A33" s="316" t="s">
        <v>458</v>
      </c>
      <c r="B33" s="317"/>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row>
    <row r="34" spans="1:131">
      <c r="A34" s="23" t="s">
        <v>459</v>
      </c>
      <c r="B34" s="23" t="s">
        <v>460</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row>
    <row r="35" spans="1:131">
      <c r="A35" s="23" t="s">
        <v>461</v>
      </c>
      <c r="B35" s="23" t="s">
        <v>811</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row>
    <row r="36" spans="1:13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row>
    <row r="37" spans="1:131" ht="13.5" thickBot="1">
      <c r="A37" s="308" t="s">
        <v>462</v>
      </c>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09"/>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row>
    <row r="38" spans="1:131">
      <c r="A38" s="23"/>
      <c r="B38" s="319" t="s">
        <v>463</v>
      </c>
      <c r="C38" s="320"/>
      <c r="D38" s="320" t="s">
        <v>463</v>
      </c>
      <c r="E38" s="321"/>
      <c r="F38" s="23"/>
      <c r="G38" s="319" t="s">
        <v>464</v>
      </c>
      <c r="H38" s="320"/>
      <c r="I38" s="320"/>
      <c r="J38" s="320"/>
      <c r="K38" s="320"/>
      <c r="L38" s="320"/>
      <c r="M38" s="320"/>
      <c r="N38" s="320"/>
      <c r="O38" s="321"/>
      <c r="P38" s="23"/>
      <c r="Q38" s="319" t="s">
        <v>465</v>
      </c>
      <c r="R38" s="320"/>
      <c r="S38" s="320"/>
      <c r="T38" s="320"/>
      <c r="U38" s="321"/>
      <c r="V38" s="23"/>
      <c r="W38" s="319" t="s">
        <v>466</v>
      </c>
      <c r="X38" s="321"/>
      <c r="Y38" s="23"/>
      <c r="Z38" s="319" t="s">
        <v>467</v>
      </c>
      <c r="AA38" s="320"/>
      <c r="AB38" s="321"/>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row>
    <row r="39" spans="1:131">
      <c r="A39" s="23"/>
      <c r="B39" s="322" t="s">
        <v>468</v>
      </c>
      <c r="C39" s="323" t="s">
        <v>469</v>
      </c>
      <c r="D39" s="323" t="s">
        <v>468</v>
      </c>
      <c r="E39" s="324" t="s">
        <v>469</v>
      </c>
      <c r="F39" s="23"/>
      <c r="G39" s="322" t="s">
        <v>470</v>
      </c>
      <c r="H39" s="323" t="s">
        <v>803</v>
      </c>
      <c r="I39" s="323"/>
      <c r="J39" s="323"/>
      <c r="K39" s="323" t="s">
        <v>471</v>
      </c>
      <c r="L39" s="323"/>
      <c r="M39" s="323"/>
      <c r="N39" s="323"/>
      <c r="O39" s="324"/>
      <c r="P39" s="23"/>
      <c r="Q39" s="322"/>
      <c r="R39" s="323" t="s">
        <v>472</v>
      </c>
      <c r="S39" s="323" t="s">
        <v>473</v>
      </c>
      <c r="T39" s="323" t="s">
        <v>474</v>
      </c>
      <c r="U39" s="324" t="s">
        <v>475</v>
      </c>
      <c r="V39" s="23"/>
      <c r="W39" s="322" t="s">
        <v>476</v>
      </c>
      <c r="X39" s="324">
        <v>20</v>
      </c>
      <c r="Y39" s="23"/>
      <c r="Z39" s="322"/>
      <c r="AA39" s="323" t="s">
        <v>469</v>
      </c>
      <c r="AB39" s="324" t="s">
        <v>477</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row>
    <row r="40" spans="1:131">
      <c r="A40" s="23"/>
      <c r="B40" s="322" t="s">
        <v>478</v>
      </c>
      <c r="C40" s="323" t="s">
        <v>479</v>
      </c>
      <c r="D40" s="323" t="s">
        <v>478</v>
      </c>
      <c r="E40" s="324" t="s">
        <v>479</v>
      </c>
      <c r="F40" s="23"/>
      <c r="G40" s="322" t="s">
        <v>480</v>
      </c>
      <c r="H40" s="323" t="s">
        <v>481</v>
      </c>
      <c r="I40" s="323"/>
      <c r="J40" s="323"/>
      <c r="K40" s="323" t="s">
        <v>482</v>
      </c>
      <c r="L40" s="323"/>
      <c r="M40" s="323"/>
      <c r="N40" s="323"/>
      <c r="O40" s="324"/>
      <c r="P40" s="23"/>
      <c r="Q40" s="322" t="s">
        <v>483</v>
      </c>
      <c r="R40" s="323">
        <v>6.8012888465852586E-2</v>
      </c>
      <c r="S40" s="323">
        <v>4.387844424080023E-2</v>
      </c>
      <c r="T40" s="323">
        <v>5.3289007766645871E-2</v>
      </c>
      <c r="U40" s="324">
        <v>5.447903102274565E-2</v>
      </c>
      <c r="V40" s="23"/>
      <c r="W40" s="322" t="s">
        <v>484</v>
      </c>
      <c r="X40" s="324">
        <v>2016</v>
      </c>
      <c r="Y40" s="23"/>
      <c r="Z40" s="322" t="s">
        <v>485</v>
      </c>
      <c r="AA40" s="323">
        <v>4.03890184699085E-3</v>
      </c>
      <c r="AB40" s="324">
        <v>0.01</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row>
    <row r="41" spans="1:131">
      <c r="A41" s="23"/>
      <c r="B41" s="322" t="s">
        <v>486</v>
      </c>
      <c r="C41" s="323" t="s">
        <v>487</v>
      </c>
      <c r="D41" s="323" t="s">
        <v>486</v>
      </c>
      <c r="E41" s="324" t="s">
        <v>487</v>
      </c>
      <c r="F41" s="23"/>
      <c r="G41" s="322" t="s">
        <v>488</v>
      </c>
      <c r="H41" s="323" t="s">
        <v>489</v>
      </c>
      <c r="I41" s="323"/>
      <c r="J41" s="323"/>
      <c r="K41" s="323" t="s">
        <v>490</v>
      </c>
      <c r="L41" s="323"/>
      <c r="M41" s="323"/>
      <c r="N41" s="323"/>
      <c r="O41" s="324"/>
      <c r="P41" s="23"/>
      <c r="Q41" s="322" t="s">
        <v>491</v>
      </c>
      <c r="R41" s="323">
        <v>12</v>
      </c>
      <c r="S41" s="323">
        <v>12</v>
      </c>
      <c r="T41" s="323">
        <v>1</v>
      </c>
      <c r="U41" s="324">
        <v>1</v>
      </c>
      <c r="V41" s="23"/>
      <c r="W41" s="322" t="s">
        <v>492</v>
      </c>
      <c r="X41" s="324">
        <v>2016</v>
      </c>
      <c r="Y41" s="23"/>
      <c r="Z41" s="322" t="s">
        <v>493</v>
      </c>
      <c r="AA41" s="323">
        <v>26</v>
      </c>
      <c r="AB41" s="324">
        <v>0</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row>
    <row r="42" spans="1:131" ht="13.5" thickBot="1">
      <c r="A42" s="23"/>
      <c r="B42" s="325" t="s">
        <v>494</v>
      </c>
      <c r="C42" s="326" t="s">
        <v>487</v>
      </c>
      <c r="D42" s="326" t="s">
        <v>494</v>
      </c>
      <c r="E42" s="327" t="s">
        <v>487</v>
      </c>
      <c r="F42" s="23"/>
      <c r="G42" s="322" t="s">
        <v>495</v>
      </c>
      <c r="H42" s="323" t="s">
        <v>496</v>
      </c>
      <c r="I42" s="323"/>
      <c r="J42" s="323"/>
      <c r="K42" s="323" t="s">
        <v>482</v>
      </c>
      <c r="L42" s="323"/>
      <c r="M42" s="323"/>
      <c r="N42" s="323"/>
      <c r="O42" s="324"/>
      <c r="P42" s="23"/>
      <c r="Q42" s="322"/>
      <c r="R42" s="323" t="s">
        <v>472</v>
      </c>
      <c r="S42" s="323" t="s">
        <v>473</v>
      </c>
      <c r="T42" s="323" t="s">
        <v>474</v>
      </c>
      <c r="U42" s="324" t="s">
        <v>475</v>
      </c>
      <c r="V42" s="23"/>
      <c r="W42" s="322" t="s">
        <v>497</v>
      </c>
      <c r="X42" s="324">
        <v>2012</v>
      </c>
      <c r="Y42" s="23"/>
      <c r="Z42" s="322" t="s">
        <v>498</v>
      </c>
      <c r="AA42" s="323">
        <v>0.9</v>
      </c>
      <c r="AB42" s="324" t="s">
        <v>499</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row>
    <row r="43" spans="1:131">
      <c r="A43" s="23"/>
      <c r="B43" s="23"/>
      <c r="C43" s="23"/>
      <c r="D43" s="23"/>
      <c r="E43" s="23"/>
      <c r="F43" s="23"/>
      <c r="G43" s="322" t="s">
        <v>500</v>
      </c>
      <c r="H43" s="323" t="s">
        <v>489</v>
      </c>
      <c r="I43" s="323"/>
      <c r="J43" s="323"/>
      <c r="K43" s="323"/>
      <c r="L43" s="323"/>
      <c r="M43" s="323"/>
      <c r="N43" s="323"/>
      <c r="O43" s="324"/>
      <c r="P43" s="23"/>
      <c r="Q43" s="322" t="s">
        <v>501</v>
      </c>
      <c r="R43" s="323">
        <v>0.35</v>
      </c>
      <c r="S43" s="323">
        <v>0.19500000000000001</v>
      </c>
      <c r="T43" s="323">
        <v>0.45499999999999996</v>
      </c>
      <c r="U43" s="324">
        <v>0</v>
      </c>
      <c r="V43" s="23"/>
      <c r="W43" s="322" t="s">
        <v>174</v>
      </c>
      <c r="X43" s="324">
        <v>0.04</v>
      </c>
      <c r="Y43" s="23"/>
      <c r="Z43" s="322" t="s">
        <v>502</v>
      </c>
      <c r="AA43" s="323">
        <v>4.7399348199455904E-2</v>
      </c>
      <c r="AB43" s="324">
        <v>0</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row>
    <row r="44" spans="1:131">
      <c r="A44" s="23"/>
      <c r="B44" s="23" t="s">
        <v>503</v>
      </c>
      <c r="C44" s="23" t="s">
        <v>469</v>
      </c>
      <c r="D44" s="23"/>
      <c r="E44" s="23"/>
      <c r="F44" s="23"/>
      <c r="G44" s="322" t="s">
        <v>504</v>
      </c>
      <c r="H44" s="323" t="s">
        <v>505</v>
      </c>
      <c r="I44" s="323"/>
      <c r="J44" s="323"/>
      <c r="K44" s="323" t="s">
        <v>506</v>
      </c>
      <c r="L44" s="323"/>
      <c r="M44" s="323"/>
      <c r="N44" s="323"/>
      <c r="O44" s="324"/>
      <c r="P44" s="23"/>
      <c r="Q44" s="322" t="s">
        <v>507</v>
      </c>
      <c r="R44" s="323">
        <v>1</v>
      </c>
      <c r="S44" s="323">
        <v>0</v>
      </c>
      <c r="T44" s="323">
        <v>0</v>
      </c>
      <c r="U44" s="324">
        <v>0</v>
      </c>
      <c r="V44" s="23"/>
      <c r="W44" s="322" t="s">
        <v>508</v>
      </c>
      <c r="X44" s="324">
        <v>0</v>
      </c>
      <c r="Y44" s="23"/>
      <c r="Z44" s="322" t="s">
        <v>509</v>
      </c>
      <c r="AA44" s="323">
        <v>31</v>
      </c>
      <c r="AB44" s="324">
        <v>0</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row>
    <row r="45" spans="1:131">
      <c r="A45" s="23"/>
      <c r="B45" s="23" t="s">
        <v>510</v>
      </c>
      <c r="C45" s="23" t="s">
        <v>511</v>
      </c>
      <c r="D45" s="23"/>
      <c r="E45" s="23"/>
      <c r="F45" s="23"/>
      <c r="G45" s="322" t="s">
        <v>512</v>
      </c>
      <c r="H45" s="323" t="s">
        <v>506</v>
      </c>
      <c r="I45" s="323"/>
      <c r="J45" s="323"/>
      <c r="K45" s="323" t="s">
        <v>513</v>
      </c>
      <c r="L45" s="323"/>
      <c r="M45" s="323"/>
      <c r="N45" s="323"/>
      <c r="O45" s="324"/>
      <c r="P45" s="23"/>
      <c r="Q45" s="322" t="s">
        <v>514</v>
      </c>
      <c r="R45" s="323">
        <v>1</v>
      </c>
      <c r="S45" s="323">
        <v>0</v>
      </c>
      <c r="T45" s="323">
        <v>0</v>
      </c>
      <c r="U45" s="324">
        <v>0</v>
      </c>
      <c r="V45" s="23"/>
      <c r="W45" s="322" t="s">
        <v>515</v>
      </c>
      <c r="X45" s="324">
        <v>0.2</v>
      </c>
      <c r="Y45" s="23"/>
      <c r="Z45" s="322" t="s">
        <v>516</v>
      </c>
      <c r="AA45" s="323">
        <v>0.7</v>
      </c>
      <c r="AB45" s="324" t="s">
        <v>499</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row>
    <row r="46" spans="1:131">
      <c r="A46" s="23"/>
      <c r="B46" s="23" t="s">
        <v>517</v>
      </c>
      <c r="C46" s="23" t="s">
        <v>518</v>
      </c>
      <c r="D46" s="23"/>
      <c r="E46" s="23"/>
      <c r="F46" s="23"/>
      <c r="G46" s="322" t="s">
        <v>519</v>
      </c>
      <c r="H46" s="323" t="s">
        <v>513</v>
      </c>
      <c r="I46" s="323"/>
      <c r="J46" s="323"/>
      <c r="K46" s="323" t="s">
        <v>520</v>
      </c>
      <c r="L46" s="323"/>
      <c r="M46" s="323"/>
      <c r="N46" s="323"/>
      <c r="O46" s="324"/>
      <c r="P46" s="23"/>
      <c r="Q46" s="322" t="s">
        <v>521</v>
      </c>
      <c r="R46" s="323"/>
      <c r="S46" s="323">
        <v>0.3</v>
      </c>
      <c r="T46" s="323">
        <v>0.7</v>
      </c>
      <c r="U46" s="324">
        <v>0</v>
      </c>
      <c r="V46" s="23"/>
      <c r="W46" s="322" t="s">
        <v>522</v>
      </c>
      <c r="X46" s="324">
        <v>0</v>
      </c>
      <c r="Y46" s="23"/>
      <c r="Z46" s="322" t="s">
        <v>523</v>
      </c>
      <c r="AA46" s="323">
        <v>0</v>
      </c>
      <c r="AB46" s="324">
        <v>0</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row>
    <row r="47" spans="1:131" ht="13.5" thickBot="1">
      <c r="A47" s="23"/>
      <c r="B47" s="23" t="s">
        <v>524</v>
      </c>
      <c r="C47" s="23" t="s">
        <v>525</v>
      </c>
      <c r="D47" s="23"/>
      <c r="E47" s="23"/>
      <c r="F47" s="23"/>
      <c r="G47" s="325" t="s">
        <v>526</v>
      </c>
      <c r="H47" s="326" t="s">
        <v>520</v>
      </c>
      <c r="I47" s="326"/>
      <c r="J47" s="326"/>
      <c r="K47" s="326"/>
      <c r="L47" s="326"/>
      <c r="M47" s="326"/>
      <c r="N47" s="326"/>
      <c r="O47" s="327"/>
      <c r="P47" s="23"/>
      <c r="Q47" s="325" t="s">
        <v>527</v>
      </c>
      <c r="R47" s="326"/>
      <c r="S47" s="326">
        <v>20</v>
      </c>
      <c r="T47" s="326"/>
      <c r="U47" s="327"/>
      <c r="V47" s="23"/>
      <c r="W47" s="325" t="s">
        <v>528</v>
      </c>
      <c r="X47" s="327">
        <v>2018</v>
      </c>
      <c r="Y47" s="23"/>
      <c r="Z47" s="325" t="s">
        <v>529</v>
      </c>
      <c r="AA47" s="326">
        <v>0</v>
      </c>
      <c r="AB47" s="327">
        <v>0</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row>
    <row r="48" spans="1:13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row>
    <row r="49" spans="1:13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row>
    <row r="50" spans="1:13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row>
    <row r="51" spans="1:13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row>
    <row r="52" spans="1:13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row>
    <row r="53" spans="1:13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row>
    <row r="54" spans="1:13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row>
    <row r="55" spans="1:131" ht="13.5" thickBot="1">
      <c r="A55" s="308" t="s">
        <v>530</v>
      </c>
      <c r="B55" s="309"/>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row>
    <row r="56" spans="1:131" ht="26.25" thickBot="1">
      <c r="A56" s="328" t="s">
        <v>531</v>
      </c>
      <c r="B56" s="329"/>
      <c r="C56" s="330" t="s">
        <v>532</v>
      </c>
      <c r="D56" s="331"/>
      <c r="E56" s="331"/>
      <c r="F56" s="331"/>
      <c r="G56" s="331"/>
      <c r="H56" s="331"/>
      <c r="I56" s="331"/>
      <c r="J56" s="331"/>
      <c r="K56" s="332"/>
      <c r="L56" s="330" t="s">
        <v>533</v>
      </c>
      <c r="M56" s="331"/>
      <c r="N56" s="331"/>
      <c r="O56" s="331"/>
      <c r="P56" s="331"/>
      <c r="Q56" s="332"/>
      <c r="R56" s="330" t="s">
        <v>534</v>
      </c>
      <c r="S56" s="331"/>
      <c r="T56" s="331"/>
      <c r="U56" s="332"/>
      <c r="V56" s="330" t="s">
        <v>535</v>
      </c>
      <c r="W56" s="331"/>
      <c r="X56" s="331"/>
      <c r="Y56" s="332"/>
      <c r="Z56" s="330" t="s">
        <v>536</v>
      </c>
      <c r="AA56" s="331"/>
      <c r="AB56" s="331"/>
      <c r="AC56" s="332"/>
      <c r="AD56" s="330" t="s">
        <v>537</v>
      </c>
      <c r="AE56" s="331"/>
      <c r="AF56" s="331"/>
      <c r="AG56" s="332"/>
      <c r="AH56" s="330" t="s">
        <v>538</v>
      </c>
      <c r="AI56" s="331"/>
      <c r="AJ56" s="331"/>
      <c r="AK56" s="331"/>
      <c r="AL56" s="332"/>
      <c r="AM56" s="330" t="s">
        <v>539</v>
      </c>
      <c r="AN56" s="331"/>
      <c r="AO56" s="331"/>
      <c r="AP56" s="331"/>
      <c r="AQ56" s="331"/>
      <c r="AR56" s="331"/>
      <c r="AS56" s="332"/>
      <c r="AT56" s="330" t="s">
        <v>540</v>
      </c>
      <c r="AU56" s="331"/>
      <c r="AV56" s="331"/>
      <c r="AW56" s="331"/>
      <c r="AX56" s="331"/>
      <c r="AY56" s="331"/>
      <c r="AZ56" s="332"/>
      <c r="BA56" s="330" t="s">
        <v>541</v>
      </c>
      <c r="BB56" s="331"/>
      <c r="BC56" s="331"/>
      <c r="BD56" s="331"/>
      <c r="BE56" s="331"/>
      <c r="BF56" s="332"/>
      <c r="BG56" s="330" t="s">
        <v>542</v>
      </c>
      <c r="BH56" s="332"/>
      <c r="BI56" s="330" t="s">
        <v>543</v>
      </c>
      <c r="BJ56" s="331"/>
      <c r="BK56" s="331"/>
      <c r="BL56" s="331"/>
      <c r="BM56" s="332"/>
      <c r="BN56" s="330" t="s">
        <v>544</v>
      </c>
      <c r="BO56" s="331"/>
      <c r="BP56" s="331"/>
      <c r="BQ56" s="331"/>
      <c r="BR56" s="331"/>
      <c r="BS56" s="331"/>
      <c r="BT56" s="331"/>
      <c r="BU56" s="331"/>
      <c r="BV56" s="331"/>
      <c r="BW56" s="331"/>
      <c r="BX56" s="331"/>
      <c r="BY56" s="331"/>
      <c r="BZ56" s="331"/>
      <c r="CA56" s="331"/>
      <c r="CB56" s="331"/>
      <c r="CC56" s="332"/>
      <c r="CD56" s="330" t="s">
        <v>545</v>
      </c>
      <c r="CE56" s="332"/>
      <c r="CF56" s="330" t="s">
        <v>546</v>
      </c>
      <c r="CG56" s="331"/>
      <c r="CH56" s="331"/>
      <c r="CI56" s="331"/>
      <c r="CJ56" s="331"/>
      <c r="CK56" s="332"/>
      <c r="CL56" s="333"/>
      <c r="CM56" s="330" t="s">
        <v>19</v>
      </c>
      <c r="CN56" s="331"/>
      <c r="CO56" s="331"/>
      <c r="CP56" s="332"/>
      <c r="CQ56" s="330" t="s">
        <v>547</v>
      </c>
      <c r="CR56" s="331"/>
      <c r="CS56" s="331"/>
      <c r="CT56" s="331"/>
      <c r="CU56" s="332"/>
      <c r="CV56" s="330" t="s">
        <v>548</v>
      </c>
      <c r="CW56" s="332"/>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row>
    <row r="57" spans="1:131" ht="127.5">
      <c r="A57" s="312" t="s">
        <v>182</v>
      </c>
      <c r="B57" s="313" t="s">
        <v>183</v>
      </c>
      <c r="C57" s="63" t="s">
        <v>11</v>
      </c>
      <c r="D57" s="63" t="s">
        <v>549</v>
      </c>
      <c r="E57" s="63" t="s">
        <v>550</v>
      </c>
      <c r="F57" s="63" t="s">
        <v>551</v>
      </c>
      <c r="G57" s="63" t="s">
        <v>552</v>
      </c>
      <c r="H57" s="63" t="s">
        <v>553</v>
      </c>
      <c r="I57" s="63" t="s">
        <v>554</v>
      </c>
      <c r="J57" s="63" t="s">
        <v>555</v>
      </c>
      <c r="K57" s="63" t="s">
        <v>556</v>
      </c>
      <c r="L57" s="63" t="s">
        <v>557</v>
      </c>
      <c r="M57" s="63" t="s">
        <v>558</v>
      </c>
      <c r="N57" s="63" t="s">
        <v>559</v>
      </c>
      <c r="O57" s="63" t="s">
        <v>560</v>
      </c>
      <c r="P57" s="63" t="s">
        <v>561</v>
      </c>
      <c r="Q57" s="63" t="s">
        <v>562</v>
      </c>
      <c r="R57" s="63" t="s">
        <v>563</v>
      </c>
      <c r="S57" s="63" t="s">
        <v>564</v>
      </c>
      <c r="T57" s="63" t="s">
        <v>565</v>
      </c>
      <c r="U57" s="63" t="s">
        <v>472</v>
      </c>
      <c r="V57" s="63" t="s">
        <v>563</v>
      </c>
      <c r="W57" s="63" t="s">
        <v>564</v>
      </c>
      <c r="X57" s="63" t="s">
        <v>565</v>
      </c>
      <c r="Y57" s="63" t="s">
        <v>472</v>
      </c>
      <c r="Z57" s="63" t="s">
        <v>563</v>
      </c>
      <c r="AA57" s="63" t="s">
        <v>564</v>
      </c>
      <c r="AB57" s="63" t="s">
        <v>565</v>
      </c>
      <c r="AC57" s="63" t="s">
        <v>472</v>
      </c>
      <c r="AD57" s="63" t="s">
        <v>563</v>
      </c>
      <c r="AE57" s="63" t="s">
        <v>564</v>
      </c>
      <c r="AF57" s="63" t="s">
        <v>565</v>
      </c>
      <c r="AG57" s="63" t="s">
        <v>472</v>
      </c>
      <c r="AH57" s="63" t="s">
        <v>563</v>
      </c>
      <c r="AI57" s="63" t="s">
        <v>564</v>
      </c>
      <c r="AJ57" s="63" t="s">
        <v>565</v>
      </c>
      <c r="AK57" s="63" t="s">
        <v>472</v>
      </c>
      <c r="AL57" s="63" t="s">
        <v>196</v>
      </c>
      <c r="AM57" s="63" t="s">
        <v>566</v>
      </c>
      <c r="AN57" s="63" t="s">
        <v>567</v>
      </c>
      <c r="AO57" s="63" t="s">
        <v>568</v>
      </c>
      <c r="AP57" s="63" t="s">
        <v>569</v>
      </c>
      <c r="AQ57" s="63" t="s">
        <v>570</v>
      </c>
      <c r="AR57" s="63" t="s">
        <v>571</v>
      </c>
      <c r="AS57" s="63" t="s">
        <v>572</v>
      </c>
      <c r="AT57" s="63" t="s">
        <v>573</v>
      </c>
      <c r="AU57" s="63" t="s">
        <v>574</v>
      </c>
      <c r="AV57" s="63" t="s">
        <v>575</v>
      </c>
      <c r="AW57" s="63" t="s">
        <v>576</v>
      </c>
      <c r="AX57" s="63" t="s">
        <v>577</v>
      </c>
      <c r="AY57" s="63" t="s">
        <v>578</v>
      </c>
      <c r="AZ57" s="63" t="s">
        <v>579</v>
      </c>
      <c r="BA57" s="63" t="s">
        <v>580</v>
      </c>
      <c r="BB57" s="63" t="s">
        <v>581</v>
      </c>
      <c r="BC57" s="63" t="s">
        <v>582</v>
      </c>
      <c r="BD57" s="63" t="s">
        <v>583</v>
      </c>
      <c r="BE57" s="63" t="s">
        <v>584</v>
      </c>
      <c r="BF57" s="63" t="s">
        <v>585</v>
      </c>
      <c r="BG57" s="63" t="s">
        <v>586</v>
      </c>
      <c r="BH57" s="63" t="s">
        <v>587</v>
      </c>
      <c r="BI57" s="63" t="s">
        <v>588</v>
      </c>
      <c r="BJ57" s="63" t="s">
        <v>589</v>
      </c>
      <c r="BK57" s="63" t="s">
        <v>590</v>
      </c>
      <c r="BL57" s="63" t="s">
        <v>591</v>
      </c>
      <c r="BM57" s="63" t="s">
        <v>592</v>
      </c>
      <c r="BN57" s="63" t="s">
        <v>593</v>
      </c>
      <c r="BO57" s="63" t="s">
        <v>594</v>
      </c>
      <c r="BP57" s="63" t="s">
        <v>595</v>
      </c>
      <c r="BQ57" s="63" t="s">
        <v>596</v>
      </c>
      <c r="BR57" s="63" t="s">
        <v>597</v>
      </c>
      <c r="BS57" s="63" t="s">
        <v>598</v>
      </c>
      <c r="BT57" s="63" t="s">
        <v>599</v>
      </c>
      <c r="BU57" s="63" t="s">
        <v>600</v>
      </c>
      <c r="BV57" s="63" t="s">
        <v>601</v>
      </c>
      <c r="BW57" s="63" t="s">
        <v>602</v>
      </c>
      <c r="BX57" s="63" t="s">
        <v>603</v>
      </c>
      <c r="BY57" s="63" t="s">
        <v>604</v>
      </c>
      <c r="BZ57" s="63" t="s">
        <v>605</v>
      </c>
      <c r="CA57" s="63" t="s">
        <v>606</v>
      </c>
      <c r="CB57" s="63" t="s">
        <v>607</v>
      </c>
      <c r="CC57" s="63" t="s">
        <v>608</v>
      </c>
      <c r="CD57" s="63" t="s">
        <v>456</v>
      </c>
      <c r="CE57" s="63" t="s">
        <v>455</v>
      </c>
      <c r="CF57" s="63" t="s">
        <v>609</v>
      </c>
      <c r="CG57" s="63" t="s">
        <v>610</v>
      </c>
      <c r="CH57" s="63" t="s">
        <v>611</v>
      </c>
      <c r="CI57" s="63" t="s">
        <v>612</v>
      </c>
      <c r="CJ57" s="63" t="s">
        <v>613</v>
      </c>
      <c r="CK57" s="63" t="s">
        <v>614</v>
      </c>
      <c r="CL57" s="63"/>
      <c r="CM57" s="63" t="s">
        <v>615</v>
      </c>
      <c r="CN57" s="63" t="s">
        <v>616</v>
      </c>
      <c r="CO57" s="63" t="s">
        <v>617</v>
      </c>
      <c r="CP57" s="63" t="s">
        <v>618</v>
      </c>
      <c r="CQ57" s="63" t="s">
        <v>619</v>
      </c>
      <c r="CR57" s="63" t="s">
        <v>620</v>
      </c>
      <c r="CS57" s="63" t="s">
        <v>621</v>
      </c>
      <c r="CT57" s="63" t="s">
        <v>622</v>
      </c>
      <c r="CU57" s="63" t="s">
        <v>623</v>
      </c>
      <c r="CV57" s="63" t="s">
        <v>624</v>
      </c>
      <c r="CW57" s="334" t="s">
        <v>625</v>
      </c>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row>
    <row r="58" spans="1:131">
      <c r="A58" s="23" t="s">
        <v>436</v>
      </c>
      <c r="B58" s="23" t="s">
        <v>74</v>
      </c>
      <c r="C58" s="43">
        <v>5</v>
      </c>
      <c r="D58" s="43">
        <v>67.107537765569887</v>
      </c>
      <c r="E58" s="43">
        <v>0</v>
      </c>
      <c r="F58" s="43">
        <v>2.0776493692220441</v>
      </c>
      <c r="G58" s="43">
        <v>0</v>
      </c>
      <c r="H58" s="43">
        <v>0</v>
      </c>
      <c r="I58" s="43" t="s">
        <v>446</v>
      </c>
      <c r="J58" s="43"/>
      <c r="K58" s="43"/>
      <c r="L58" s="43">
        <v>72.031003072552394</v>
      </c>
      <c r="M58" s="43">
        <v>9.0468218308578027E-3</v>
      </c>
      <c r="N58" s="43">
        <v>8.9815259278718217E-3</v>
      </c>
      <c r="O58" s="43">
        <v>0</v>
      </c>
      <c r="P58" s="43">
        <v>0</v>
      </c>
      <c r="Q58" s="43">
        <v>0</v>
      </c>
      <c r="R58" s="43">
        <v>0.41431103850648754</v>
      </c>
      <c r="S58" s="43">
        <v>0.95740979363526202</v>
      </c>
      <c r="T58" s="43">
        <v>0</v>
      </c>
      <c r="U58" s="43">
        <v>5.8363316084765797</v>
      </c>
      <c r="V58" s="43" t="s">
        <v>626</v>
      </c>
      <c r="W58" s="43" t="s">
        <v>626</v>
      </c>
      <c r="X58" s="43" t="s">
        <v>626</v>
      </c>
      <c r="Y58" s="43" t="s">
        <v>626</v>
      </c>
      <c r="Z58" s="43">
        <v>0</v>
      </c>
      <c r="AA58" s="43">
        <v>0</v>
      </c>
      <c r="AB58" s="43">
        <v>0</v>
      </c>
      <c r="AC58" s="43">
        <v>0</v>
      </c>
      <c r="AD58" s="43">
        <v>0</v>
      </c>
      <c r="AE58" s="43">
        <v>0</v>
      </c>
      <c r="AF58" s="43">
        <v>0</v>
      </c>
      <c r="AG58" s="43">
        <v>0</v>
      </c>
      <c r="AH58" s="43">
        <v>0.41431103850648754</v>
      </c>
      <c r="AI58" s="43">
        <v>0.95740979363526202</v>
      </c>
      <c r="AJ58" s="43">
        <v>0</v>
      </c>
      <c r="AK58" s="43">
        <v>5.8363316084765797</v>
      </c>
      <c r="AL58" s="43">
        <v>7.2080524406183297</v>
      </c>
      <c r="AM58" s="43">
        <v>36.263103849135881</v>
      </c>
      <c r="AN58" s="43">
        <v>3.1966807877195245</v>
      </c>
      <c r="AO58" s="43">
        <v>0</v>
      </c>
      <c r="AP58" s="43">
        <v>0</v>
      </c>
      <c r="AQ58" s="43">
        <v>39.459784636855403</v>
      </c>
      <c r="AR58" s="43">
        <v>0.41431103850648754</v>
      </c>
      <c r="AS58" s="335">
        <v>95.241934125386621</v>
      </c>
      <c r="AT58" s="43">
        <v>36.263103849135881</v>
      </c>
      <c r="AU58" s="43">
        <v>3.7839179215025687</v>
      </c>
      <c r="AV58" s="43">
        <v>0</v>
      </c>
      <c r="AW58" s="43">
        <v>0</v>
      </c>
      <c r="AX58" s="43">
        <v>40.047021770638452</v>
      </c>
      <c r="AY58" s="43">
        <v>0.95740979363526202</v>
      </c>
      <c r="AZ58" s="335">
        <v>41.828506494153217</v>
      </c>
      <c r="BA58" s="43">
        <v>36.263103849135881</v>
      </c>
      <c r="BB58" s="43">
        <v>6.9805987092220931</v>
      </c>
      <c r="BC58" s="43">
        <v>0</v>
      </c>
      <c r="BD58" s="43">
        <v>0</v>
      </c>
      <c r="BE58" s="43">
        <v>43.243702558357974</v>
      </c>
      <c r="BF58" s="43">
        <v>1.3717208321417496</v>
      </c>
      <c r="BG58" s="43">
        <v>-5.7296307696756257</v>
      </c>
      <c r="BH58" s="335">
        <v>31.525148226289602</v>
      </c>
      <c r="BI58" s="43">
        <v>0.42323069363719529</v>
      </c>
      <c r="BJ58" s="43">
        <v>0.97802175997044061</v>
      </c>
      <c r="BK58" s="43">
        <v>0</v>
      </c>
      <c r="BL58" s="43">
        <v>5.9619813265331372</v>
      </c>
      <c r="BM58" s="43">
        <v>7.3632337801407743</v>
      </c>
      <c r="BN58" s="43">
        <v>36.263103849135881</v>
      </c>
      <c r="BO58" s="43">
        <v>0</v>
      </c>
      <c r="BP58" s="43">
        <v>6.9805987092220931</v>
      </c>
      <c r="BQ58" s="43">
        <v>0</v>
      </c>
      <c r="BR58" s="43">
        <v>0</v>
      </c>
      <c r="BS58" s="43">
        <v>0</v>
      </c>
      <c r="BT58" s="43">
        <v>0</v>
      </c>
      <c r="BU58" s="43">
        <v>0</v>
      </c>
      <c r="BV58" s="43">
        <v>0</v>
      </c>
      <c r="BW58" s="43">
        <v>0</v>
      </c>
      <c r="BX58" s="43">
        <v>7.2080524406183297</v>
      </c>
      <c r="BY58" s="43"/>
      <c r="BZ58" s="43">
        <v>0</v>
      </c>
      <c r="CA58" s="43">
        <v>0</v>
      </c>
      <c r="CB58" s="43">
        <v>43.243702558357974</v>
      </c>
      <c r="CC58" s="43">
        <v>7.2080524406183297</v>
      </c>
      <c r="CD58" s="335">
        <v>5.9993601481967564</v>
      </c>
      <c r="CE58" s="43">
        <v>0.23235055685751632</v>
      </c>
      <c r="CF58" s="43">
        <v>0.68430015307106795</v>
      </c>
      <c r="CG58" s="43">
        <v>0</v>
      </c>
      <c r="CH58" s="43">
        <v>0.68430015307106795</v>
      </c>
      <c r="CI58" s="43">
        <v>3.4214726459462379E-2</v>
      </c>
      <c r="CJ58" s="43">
        <v>0</v>
      </c>
      <c r="CK58" s="43">
        <v>3.4214726459462379E-2</v>
      </c>
      <c r="CL58" s="43"/>
      <c r="CM58" s="43">
        <v>0</v>
      </c>
      <c r="CN58" s="43"/>
      <c r="CO58" s="43">
        <v>0</v>
      </c>
      <c r="CP58" s="43">
        <v>0</v>
      </c>
      <c r="CQ58" s="43">
        <v>0</v>
      </c>
      <c r="CR58" s="43">
        <v>0</v>
      </c>
      <c r="CS58" s="43">
        <v>0</v>
      </c>
      <c r="CT58" s="43">
        <v>0</v>
      </c>
      <c r="CU58" s="43">
        <v>0</v>
      </c>
      <c r="CV58" s="43">
        <v>9999</v>
      </c>
      <c r="CW58" s="335">
        <v>9999</v>
      </c>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row>
    <row r="59" spans="1:131">
      <c r="A59" s="23" t="s">
        <v>436</v>
      </c>
      <c r="B59" s="23" t="s">
        <v>75</v>
      </c>
      <c r="C59" s="43">
        <v>5</v>
      </c>
      <c r="D59" s="43">
        <v>301.0710296663359</v>
      </c>
      <c r="E59" s="43">
        <v>0</v>
      </c>
      <c r="F59" s="43">
        <v>24.856424209252697</v>
      </c>
      <c r="G59" s="43">
        <v>0</v>
      </c>
      <c r="H59" s="43">
        <v>0</v>
      </c>
      <c r="I59" s="43" t="s">
        <v>446</v>
      </c>
      <c r="J59" s="43"/>
      <c r="K59" s="43"/>
      <c r="L59" s="43">
        <v>323.15964770918447</v>
      </c>
      <c r="M59" s="43">
        <v>4.0587630756759516E-2</v>
      </c>
      <c r="N59" s="43">
        <v>4.029468743921958E-2</v>
      </c>
      <c r="O59" s="43">
        <v>0</v>
      </c>
      <c r="P59" s="43">
        <v>0</v>
      </c>
      <c r="Q59" s="43">
        <v>0</v>
      </c>
      <c r="R59" s="43">
        <v>4.9567030319217809</v>
      </c>
      <c r="S59" s="43">
        <v>11.454186796495891</v>
      </c>
      <c r="T59" s="43">
        <v>0</v>
      </c>
      <c r="U59" s="43">
        <v>69.824262185531438</v>
      </c>
      <c r="V59" s="43" t="s">
        <v>626</v>
      </c>
      <c r="W59" s="43" t="s">
        <v>626</v>
      </c>
      <c r="X59" s="43" t="s">
        <v>626</v>
      </c>
      <c r="Y59" s="43" t="s">
        <v>626</v>
      </c>
      <c r="Z59" s="43">
        <v>0</v>
      </c>
      <c r="AA59" s="43">
        <v>0</v>
      </c>
      <c r="AB59" s="43">
        <v>0</v>
      </c>
      <c r="AC59" s="43">
        <v>0</v>
      </c>
      <c r="AD59" s="43">
        <v>0</v>
      </c>
      <c r="AE59" s="43">
        <v>0</v>
      </c>
      <c r="AF59" s="43">
        <v>0</v>
      </c>
      <c r="AG59" s="43">
        <v>0</v>
      </c>
      <c r="AH59" s="43">
        <v>4.9567030319217809</v>
      </c>
      <c r="AI59" s="43">
        <v>11.454186796495891</v>
      </c>
      <c r="AJ59" s="43">
        <v>0</v>
      </c>
      <c r="AK59" s="43">
        <v>69.824262185531438</v>
      </c>
      <c r="AL59" s="43">
        <v>86.235152013949119</v>
      </c>
      <c r="AM59" s="43">
        <v>162.69066603063587</v>
      </c>
      <c r="AN59" s="43">
        <v>14.341577836388646</v>
      </c>
      <c r="AO59" s="43">
        <v>0</v>
      </c>
      <c r="AP59" s="43">
        <v>0</v>
      </c>
      <c r="AQ59" s="43">
        <v>177.0322438670245</v>
      </c>
      <c r="AR59" s="43">
        <v>4.9567030319217809</v>
      </c>
      <c r="AS59" s="335">
        <v>35.715725297020008</v>
      </c>
      <c r="AT59" s="43">
        <v>162.69066603063587</v>
      </c>
      <c r="AU59" s="43">
        <v>16.976156520291394</v>
      </c>
      <c r="AV59" s="43">
        <v>0</v>
      </c>
      <c r="AW59" s="43">
        <v>0</v>
      </c>
      <c r="AX59" s="43">
        <v>179.66682255092726</v>
      </c>
      <c r="AY59" s="43">
        <v>11.454186796495891</v>
      </c>
      <c r="AZ59" s="335">
        <v>15.685689935307465</v>
      </c>
      <c r="BA59" s="43">
        <v>162.69066603063587</v>
      </c>
      <c r="BB59" s="43">
        <v>31.317734356680042</v>
      </c>
      <c r="BC59" s="43">
        <v>0</v>
      </c>
      <c r="BD59" s="43">
        <v>0</v>
      </c>
      <c r="BE59" s="43">
        <v>194.0084003873159</v>
      </c>
      <c r="BF59" s="43">
        <v>16.410889828417673</v>
      </c>
      <c r="BG59" s="43">
        <v>-3.3942100136628954</v>
      </c>
      <c r="BH59" s="335">
        <v>11.821930584858606</v>
      </c>
      <c r="BI59" s="43">
        <v>1.1286151830325206</v>
      </c>
      <c r="BJ59" s="43">
        <v>2.6080580265878415</v>
      </c>
      <c r="BK59" s="43">
        <v>0</v>
      </c>
      <c r="BL59" s="43">
        <v>15.898616870755035</v>
      </c>
      <c r="BM59" s="43">
        <v>19.635290080375398</v>
      </c>
      <c r="BN59" s="43">
        <v>162.69066603063587</v>
      </c>
      <c r="BO59" s="43">
        <v>0</v>
      </c>
      <c r="BP59" s="43">
        <v>31.317734356680042</v>
      </c>
      <c r="BQ59" s="43">
        <v>0</v>
      </c>
      <c r="BR59" s="43">
        <v>0</v>
      </c>
      <c r="BS59" s="43">
        <v>0</v>
      </c>
      <c r="BT59" s="43">
        <v>0</v>
      </c>
      <c r="BU59" s="43">
        <v>0</v>
      </c>
      <c r="BV59" s="43">
        <v>0</v>
      </c>
      <c r="BW59" s="43">
        <v>0</v>
      </c>
      <c r="BX59" s="43">
        <v>86.235152013949119</v>
      </c>
      <c r="BY59" s="43"/>
      <c r="BZ59" s="43">
        <v>0</v>
      </c>
      <c r="CA59" s="43">
        <v>0</v>
      </c>
      <c r="CB59" s="43">
        <v>194.0084003873159</v>
      </c>
      <c r="CC59" s="43">
        <v>86.235152013949119</v>
      </c>
      <c r="CD59" s="335">
        <v>2.2497600555737844</v>
      </c>
      <c r="CE59" s="43">
        <v>12.504406857092141</v>
      </c>
      <c r="CF59" s="43">
        <v>3.0700418842015611</v>
      </c>
      <c r="CG59" s="43">
        <v>0</v>
      </c>
      <c r="CH59" s="43">
        <v>3.0700418842015611</v>
      </c>
      <c r="CI59" s="43">
        <v>0.15350083266186262</v>
      </c>
      <c r="CJ59" s="43">
        <v>0</v>
      </c>
      <c r="CK59" s="43">
        <v>0.15350083266186262</v>
      </c>
      <c r="CL59" s="43"/>
      <c r="CM59" s="43">
        <v>0</v>
      </c>
      <c r="CN59" s="43"/>
      <c r="CO59" s="43">
        <v>0</v>
      </c>
      <c r="CP59" s="43">
        <v>0</v>
      </c>
      <c r="CQ59" s="43">
        <v>0</v>
      </c>
      <c r="CR59" s="43">
        <v>0</v>
      </c>
      <c r="CS59" s="43">
        <v>0</v>
      </c>
      <c r="CT59" s="43">
        <v>0</v>
      </c>
      <c r="CU59" s="43">
        <v>0</v>
      </c>
      <c r="CV59" s="43">
        <v>9999</v>
      </c>
      <c r="CW59" s="335">
        <v>9999</v>
      </c>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row>
    <row r="60" spans="1:131">
      <c r="A60" s="23" t="s">
        <v>436</v>
      </c>
      <c r="B60" s="23" t="s">
        <v>76</v>
      </c>
      <c r="C60" s="43">
        <v>5</v>
      </c>
      <c r="D60" s="43">
        <v>23.377042893183265</v>
      </c>
      <c r="E60" s="43">
        <v>0</v>
      </c>
      <c r="F60" s="43">
        <v>0</v>
      </c>
      <c r="G60" s="43">
        <v>0</v>
      </c>
      <c r="H60" s="43">
        <v>0</v>
      </c>
      <c r="I60" s="43" t="s">
        <v>446</v>
      </c>
      <c r="J60" s="43"/>
      <c r="K60" s="43"/>
      <c r="L60" s="43">
        <v>25.092141725545446</v>
      </c>
      <c r="M60" s="43">
        <v>3.151478194979393E-3</v>
      </c>
      <c r="N60" s="43">
        <v>3.1287322386281892E-3</v>
      </c>
      <c r="O60" s="43">
        <v>0</v>
      </c>
      <c r="P60" s="43">
        <v>0</v>
      </c>
      <c r="Q60" s="43">
        <v>0</v>
      </c>
      <c r="R60" s="43">
        <v>0</v>
      </c>
      <c r="S60" s="43">
        <v>0</v>
      </c>
      <c r="T60" s="43">
        <v>0</v>
      </c>
      <c r="U60" s="43">
        <v>0</v>
      </c>
      <c r="V60" s="43" t="s">
        <v>626</v>
      </c>
      <c r="W60" s="43" t="s">
        <v>626</v>
      </c>
      <c r="X60" s="43" t="s">
        <v>626</v>
      </c>
      <c r="Y60" s="43" t="s">
        <v>626</v>
      </c>
      <c r="Z60" s="43">
        <v>0</v>
      </c>
      <c r="AA60" s="43">
        <v>0</v>
      </c>
      <c r="AB60" s="43">
        <v>0</v>
      </c>
      <c r="AC60" s="43">
        <v>0</v>
      </c>
      <c r="AD60" s="43">
        <v>0</v>
      </c>
      <c r="AE60" s="43">
        <v>0</v>
      </c>
      <c r="AF60" s="43">
        <v>0</v>
      </c>
      <c r="AG60" s="43">
        <v>0</v>
      </c>
      <c r="AH60" s="43">
        <v>0</v>
      </c>
      <c r="AI60" s="43">
        <v>0</v>
      </c>
      <c r="AJ60" s="43">
        <v>0</v>
      </c>
      <c r="AK60" s="43">
        <v>0</v>
      </c>
      <c r="AL60" s="43">
        <v>0</v>
      </c>
      <c r="AM60" s="43">
        <v>12.632323615904465</v>
      </c>
      <c r="AN60" s="43">
        <v>1.1135700456093109</v>
      </c>
      <c r="AO60" s="43">
        <v>0</v>
      </c>
      <c r="AP60" s="43">
        <v>0</v>
      </c>
      <c r="AQ60" s="43">
        <v>13.745893661513776</v>
      </c>
      <c r="AR60" s="43">
        <v>0</v>
      </c>
      <c r="AS60" s="335">
        <v>9999</v>
      </c>
      <c r="AT60" s="43">
        <v>12.632323615904465</v>
      </c>
      <c r="AU60" s="43">
        <v>1.3181352572383302</v>
      </c>
      <c r="AV60" s="43">
        <v>0</v>
      </c>
      <c r="AW60" s="43">
        <v>0</v>
      </c>
      <c r="AX60" s="43">
        <v>13.950458873142795</v>
      </c>
      <c r="AY60" s="43">
        <v>0</v>
      </c>
      <c r="AZ60" s="335">
        <v>9999</v>
      </c>
      <c r="BA60" s="43">
        <v>12.632323615904465</v>
      </c>
      <c r="BB60" s="43">
        <v>2.4317053028476412</v>
      </c>
      <c r="BC60" s="43">
        <v>0</v>
      </c>
      <c r="BD60" s="43">
        <v>0</v>
      </c>
      <c r="BE60" s="43">
        <v>15.064028918752106</v>
      </c>
      <c r="BF60" s="43">
        <v>0</v>
      </c>
      <c r="BG60" s="43">
        <v>-7.130883223283262</v>
      </c>
      <c r="BH60" s="335">
        <v>9999</v>
      </c>
      <c r="BI60" s="43">
        <v>0</v>
      </c>
      <c r="BJ60" s="43">
        <v>0</v>
      </c>
      <c r="BK60" s="43">
        <v>0</v>
      </c>
      <c r="BL60" s="43">
        <v>0</v>
      </c>
      <c r="BM60" s="43">
        <v>0</v>
      </c>
      <c r="BN60" s="43">
        <v>12.632323615904465</v>
      </c>
      <c r="BO60" s="43">
        <v>0</v>
      </c>
      <c r="BP60" s="43">
        <v>2.4317053028476412</v>
      </c>
      <c r="BQ60" s="43">
        <v>0</v>
      </c>
      <c r="BR60" s="43">
        <v>0</v>
      </c>
      <c r="BS60" s="43">
        <v>0</v>
      </c>
      <c r="BT60" s="43">
        <v>0</v>
      </c>
      <c r="BU60" s="43">
        <v>0</v>
      </c>
      <c r="BV60" s="43">
        <v>0</v>
      </c>
      <c r="BW60" s="43">
        <v>0</v>
      </c>
      <c r="BX60" s="43">
        <v>0</v>
      </c>
      <c r="BY60" s="43"/>
      <c r="BZ60" s="43">
        <v>0</v>
      </c>
      <c r="CA60" s="43">
        <v>0</v>
      </c>
      <c r="CB60" s="43">
        <v>15.064028918752106</v>
      </c>
      <c r="CC60" s="43">
        <v>0</v>
      </c>
      <c r="CD60" s="335">
        <v>9999</v>
      </c>
      <c r="CE60" s="43">
        <v>-7.130883223283262</v>
      </c>
      <c r="CF60" s="43">
        <v>0.23837730548298544</v>
      </c>
      <c r="CG60" s="43">
        <v>0</v>
      </c>
      <c r="CH60" s="43">
        <v>0.23837730548298544</v>
      </c>
      <c r="CI60" s="43">
        <v>1.1918767319634085E-2</v>
      </c>
      <c r="CJ60" s="43">
        <v>0</v>
      </c>
      <c r="CK60" s="43">
        <v>1.1918767319634085E-2</v>
      </c>
      <c r="CL60" s="43"/>
      <c r="CM60" s="43">
        <v>0</v>
      </c>
      <c r="CN60" s="43"/>
      <c r="CO60" s="43">
        <v>0</v>
      </c>
      <c r="CP60" s="43">
        <v>0</v>
      </c>
      <c r="CQ60" s="43">
        <v>0</v>
      </c>
      <c r="CR60" s="43">
        <v>0</v>
      </c>
      <c r="CS60" s="43">
        <v>0</v>
      </c>
      <c r="CT60" s="43">
        <v>0</v>
      </c>
      <c r="CU60" s="43">
        <v>0</v>
      </c>
      <c r="CV60" s="43">
        <v>9999</v>
      </c>
      <c r="CW60" s="335">
        <v>9999</v>
      </c>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row>
    <row r="61" spans="1:131">
      <c r="A61" s="23" t="s">
        <v>436</v>
      </c>
      <c r="B61" s="23" t="s">
        <v>77</v>
      </c>
      <c r="C61" s="43">
        <v>5</v>
      </c>
      <c r="D61" s="43">
        <v>55.750646503700921</v>
      </c>
      <c r="E61" s="43">
        <v>0</v>
      </c>
      <c r="F61" s="43">
        <v>4.0274267034273539</v>
      </c>
      <c r="G61" s="43">
        <v>0</v>
      </c>
      <c r="H61" s="43">
        <v>0</v>
      </c>
      <c r="I61" s="43" t="s">
        <v>446</v>
      </c>
      <c r="J61" s="43"/>
      <c r="K61" s="43"/>
      <c r="L61" s="43">
        <v>59.840893039964769</v>
      </c>
      <c r="M61" s="43">
        <v>7.5157900687109888E-3</v>
      </c>
      <c r="N61" s="43">
        <v>7.4615444664028214E-3</v>
      </c>
      <c r="O61" s="43">
        <v>0</v>
      </c>
      <c r="P61" s="43">
        <v>0</v>
      </c>
      <c r="Q61" s="43">
        <v>0</v>
      </c>
      <c r="R61" s="43">
        <v>0.80312268505178064</v>
      </c>
      <c r="S61" s="43">
        <v>1.8558943708838276</v>
      </c>
      <c r="T61" s="43">
        <v>0</v>
      </c>
      <c r="U61" s="43">
        <v>11.31345746700131</v>
      </c>
      <c r="V61" s="43" t="s">
        <v>626</v>
      </c>
      <c r="W61" s="43" t="s">
        <v>626</v>
      </c>
      <c r="X61" s="43" t="s">
        <v>626</v>
      </c>
      <c r="Y61" s="43" t="s">
        <v>626</v>
      </c>
      <c r="Z61" s="43">
        <v>0</v>
      </c>
      <c r="AA61" s="43">
        <v>0</v>
      </c>
      <c r="AB61" s="43">
        <v>0</v>
      </c>
      <c r="AC61" s="43">
        <v>0</v>
      </c>
      <c r="AD61" s="43">
        <v>0</v>
      </c>
      <c r="AE61" s="43">
        <v>0</v>
      </c>
      <c r="AF61" s="43">
        <v>0</v>
      </c>
      <c r="AG61" s="43">
        <v>0</v>
      </c>
      <c r="AH61" s="43">
        <v>0.80312268505178064</v>
      </c>
      <c r="AI61" s="43">
        <v>1.8558943708838276</v>
      </c>
      <c r="AJ61" s="43">
        <v>0</v>
      </c>
      <c r="AK61" s="43">
        <v>11.31345746700131</v>
      </c>
      <c r="AL61" s="43">
        <v>13.972474522936919</v>
      </c>
      <c r="AM61" s="43">
        <v>30.12614605057701</v>
      </c>
      <c r="AN61" s="43">
        <v>2.6556930341252851</v>
      </c>
      <c r="AO61" s="43">
        <v>0</v>
      </c>
      <c r="AP61" s="43">
        <v>0</v>
      </c>
      <c r="AQ61" s="43">
        <v>32.781839084702298</v>
      </c>
      <c r="AR61" s="43">
        <v>0.80312268505178064</v>
      </c>
      <c r="AS61" s="335">
        <v>40.817971768022865</v>
      </c>
      <c r="AT61" s="43">
        <v>30.12614605057701</v>
      </c>
      <c r="AU61" s="43">
        <v>3.1435495544129655</v>
      </c>
      <c r="AV61" s="43">
        <v>0</v>
      </c>
      <c r="AW61" s="43">
        <v>0</v>
      </c>
      <c r="AX61" s="43">
        <v>33.269695604989977</v>
      </c>
      <c r="AY61" s="43">
        <v>1.8558943708838276</v>
      </c>
      <c r="AZ61" s="335">
        <v>17.92650278320853</v>
      </c>
      <c r="BA61" s="43">
        <v>30.12614605057701</v>
      </c>
      <c r="BB61" s="43">
        <v>5.7992425885382506</v>
      </c>
      <c r="BC61" s="43">
        <v>0</v>
      </c>
      <c r="BD61" s="43">
        <v>0</v>
      </c>
      <c r="BE61" s="43">
        <v>35.925388639115262</v>
      </c>
      <c r="BF61" s="43">
        <v>2.6590170559356081</v>
      </c>
      <c r="BG61" s="43">
        <v>-3.8612941648654489</v>
      </c>
      <c r="BH61" s="335">
        <v>13.51077781126698</v>
      </c>
      <c r="BI61" s="43">
        <v>0.98753828515345521</v>
      </c>
      <c r="BJ61" s="43">
        <v>2.2820507732643605</v>
      </c>
      <c r="BK61" s="43">
        <v>0</v>
      </c>
      <c r="BL61" s="43">
        <v>13.911289761910648</v>
      </c>
      <c r="BM61" s="43">
        <v>17.180878820328463</v>
      </c>
      <c r="BN61" s="43">
        <v>30.12614605057701</v>
      </c>
      <c r="BO61" s="43">
        <v>0</v>
      </c>
      <c r="BP61" s="43">
        <v>5.7992425885382506</v>
      </c>
      <c r="BQ61" s="43">
        <v>0</v>
      </c>
      <c r="BR61" s="43">
        <v>0</v>
      </c>
      <c r="BS61" s="43">
        <v>0</v>
      </c>
      <c r="BT61" s="43">
        <v>0</v>
      </c>
      <c r="BU61" s="43">
        <v>0</v>
      </c>
      <c r="BV61" s="43">
        <v>0</v>
      </c>
      <c r="BW61" s="43">
        <v>0</v>
      </c>
      <c r="BX61" s="43">
        <v>13.972474522936919</v>
      </c>
      <c r="BY61" s="43"/>
      <c r="BZ61" s="43">
        <v>0</v>
      </c>
      <c r="CA61" s="43">
        <v>0</v>
      </c>
      <c r="CB61" s="43">
        <v>35.925388639115262</v>
      </c>
      <c r="CC61" s="43">
        <v>13.972474522936919</v>
      </c>
      <c r="CD61" s="335">
        <v>2.5711543492271827</v>
      </c>
      <c r="CE61" s="43">
        <v>10.049995597045205</v>
      </c>
      <c r="CF61" s="43">
        <v>0.5684931560082781</v>
      </c>
      <c r="CG61" s="43">
        <v>0</v>
      </c>
      <c r="CH61" s="43">
        <v>0.5684931560082781</v>
      </c>
      <c r="CI61" s="43">
        <v>2.842442419398326E-2</v>
      </c>
      <c r="CJ61" s="43">
        <v>0</v>
      </c>
      <c r="CK61" s="43">
        <v>2.842442419398326E-2</v>
      </c>
      <c r="CL61" s="43"/>
      <c r="CM61" s="43">
        <v>0</v>
      </c>
      <c r="CN61" s="43"/>
      <c r="CO61" s="43">
        <v>0</v>
      </c>
      <c r="CP61" s="43">
        <v>0</v>
      </c>
      <c r="CQ61" s="43">
        <v>0</v>
      </c>
      <c r="CR61" s="43">
        <v>0</v>
      </c>
      <c r="CS61" s="43">
        <v>0</v>
      </c>
      <c r="CT61" s="43">
        <v>0</v>
      </c>
      <c r="CU61" s="43">
        <v>0</v>
      </c>
      <c r="CV61" s="43">
        <v>9999</v>
      </c>
      <c r="CW61" s="335">
        <v>9999</v>
      </c>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row>
    <row r="62" spans="1:131">
      <c r="A62" s="23" t="s">
        <v>442</v>
      </c>
      <c r="B62" s="23" t="s">
        <v>79</v>
      </c>
      <c r="C62" s="43">
        <v>5</v>
      </c>
      <c r="D62" s="43">
        <v>77.580902667584397</v>
      </c>
      <c r="E62" s="43">
        <v>0</v>
      </c>
      <c r="F62" s="43">
        <v>10.007936444118387</v>
      </c>
      <c r="G62" s="43">
        <v>0</v>
      </c>
      <c r="H62" s="43">
        <v>0</v>
      </c>
      <c r="I62" s="43" t="s">
        <v>446</v>
      </c>
      <c r="J62" s="43"/>
      <c r="K62" s="43"/>
      <c r="L62" s="43">
        <v>83.272765243478375</v>
      </c>
      <c r="M62" s="43">
        <v>1.0458744684726799E-2</v>
      </c>
      <c r="N62" s="43">
        <v>1.0383258155749326E-2</v>
      </c>
      <c r="O62" s="43">
        <v>0</v>
      </c>
      <c r="P62" s="43">
        <v>0</v>
      </c>
      <c r="Q62" s="43">
        <v>0</v>
      </c>
      <c r="R62" s="43">
        <v>1.9957162179979346</v>
      </c>
      <c r="S62" s="43">
        <v>4.6117966330699858</v>
      </c>
      <c r="T62" s="43">
        <v>0</v>
      </c>
      <c r="U62" s="43">
        <v>28.113326853752891</v>
      </c>
      <c r="V62" s="43" t="s">
        <v>626</v>
      </c>
      <c r="W62" s="43" t="s">
        <v>626</v>
      </c>
      <c r="X62" s="43" t="s">
        <v>626</v>
      </c>
      <c r="Y62" s="43" t="s">
        <v>626</v>
      </c>
      <c r="Z62" s="43">
        <v>0</v>
      </c>
      <c r="AA62" s="43">
        <v>0</v>
      </c>
      <c r="AB62" s="43">
        <v>0</v>
      </c>
      <c r="AC62" s="43">
        <v>0</v>
      </c>
      <c r="AD62" s="43">
        <v>0</v>
      </c>
      <c r="AE62" s="43">
        <v>0</v>
      </c>
      <c r="AF62" s="43">
        <v>0</v>
      </c>
      <c r="AG62" s="43">
        <v>0</v>
      </c>
      <c r="AH62" s="43">
        <v>1.9957162179979346</v>
      </c>
      <c r="AI62" s="43">
        <v>4.6117966330699858</v>
      </c>
      <c r="AJ62" s="43">
        <v>0</v>
      </c>
      <c r="AK62" s="43">
        <v>28.113326853752891</v>
      </c>
      <c r="AL62" s="43">
        <v>34.720839704820811</v>
      </c>
      <c r="AM62" s="43">
        <v>41.92262782717853</v>
      </c>
      <c r="AN62" s="43">
        <v>3.695581589027467</v>
      </c>
      <c r="AO62" s="43">
        <v>0</v>
      </c>
      <c r="AP62" s="43">
        <v>0</v>
      </c>
      <c r="AQ62" s="43">
        <v>45.618209416206</v>
      </c>
      <c r="AR62" s="43">
        <v>1.9957162179979346</v>
      </c>
      <c r="AS62" s="335">
        <v>22.858064190092787</v>
      </c>
      <c r="AT62" s="43">
        <v>41.92262782717853</v>
      </c>
      <c r="AU62" s="43">
        <v>4.3744678726810999</v>
      </c>
      <c r="AV62" s="43">
        <v>0</v>
      </c>
      <c r="AW62" s="43">
        <v>0</v>
      </c>
      <c r="AX62" s="43">
        <v>46.297095699859632</v>
      </c>
      <c r="AY62" s="43">
        <v>4.6117966330699858</v>
      </c>
      <c r="AZ62" s="335">
        <v>10.03884155859677</v>
      </c>
      <c r="BA62" s="43">
        <v>41.92262782717853</v>
      </c>
      <c r="BB62" s="43">
        <v>8.0700494617085674</v>
      </c>
      <c r="BC62" s="43">
        <v>0</v>
      </c>
      <c r="BD62" s="43">
        <v>0</v>
      </c>
      <c r="BE62" s="43">
        <v>49.992677288887101</v>
      </c>
      <c r="BF62" s="43">
        <v>6.60751285106792</v>
      </c>
      <c r="BG62" s="43">
        <v>-1.2923313332514532</v>
      </c>
      <c r="BH62" s="335">
        <v>7.5660355743095042</v>
      </c>
      <c r="BI62" s="43">
        <v>1.7634612234883129</v>
      </c>
      <c r="BJ62" s="43">
        <v>4.0750906665435007</v>
      </c>
      <c r="BK62" s="43">
        <v>0</v>
      </c>
      <c r="BL62" s="43">
        <v>24.841588860554737</v>
      </c>
      <c r="BM62" s="43">
        <v>30.680140750586549</v>
      </c>
      <c r="BN62" s="43">
        <v>41.92262782717853</v>
      </c>
      <c r="BO62" s="43">
        <v>0</v>
      </c>
      <c r="BP62" s="43">
        <v>8.0700494617085674</v>
      </c>
      <c r="BQ62" s="43">
        <v>0</v>
      </c>
      <c r="BR62" s="43">
        <v>0</v>
      </c>
      <c r="BS62" s="43">
        <v>0</v>
      </c>
      <c r="BT62" s="43">
        <v>0</v>
      </c>
      <c r="BU62" s="43">
        <v>0</v>
      </c>
      <c r="BV62" s="43">
        <v>0</v>
      </c>
      <c r="BW62" s="43">
        <v>0</v>
      </c>
      <c r="BX62" s="43">
        <v>34.720839704820811</v>
      </c>
      <c r="BY62" s="43"/>
      <c r="BZ62" s="43">
        <v>0</v>
      </c>
      <c r="CA62" s="43">
        <v>0</v>
      </c>
      <c r="CB62" s="43">
        <v>49.992677288887101</v>
      </c>
      <c r="CC62" s="43">
        <v>34.720839704820811</v>
      </c>
      <c r="CD62" s="335">
        <v>1.4398464355672214</v>
      </c>
      <c r="CE62" s="43">
        <v>23.549257527303286</v>
      </c>
      <c r="CF62" s="43">
        <v>0.79109777140500581</v>
      </c>
      <c r="CG62" s="43">
        <v>0</v>
      </c>
      <c r="CH62" s="43">
        <v>0.79109777140500581</v>
      </c>
      <c r="CI62" s="43">
        <v>3.9554563490652228E-2</v>
      </c>
      <c r="CJ62" s="43">
        <v>0</v>
      </c>
      <c r="CK62" s="43">
        <v>3.9554563490652228E-2</v>
      </c>
      <c r="CL62" s="43"/>
      <c r="CM62" s="43">
        <v>0</v>
      </c>
      <c r="CN62" s="43"/>
      <c r="CO62" s="43">
        <v>0</v>
      </c>
      <c r="CP62" s="43">
        <v>0</v>
      </c>
      <c r="CQ62" s="43">
        <v>0</v>
      </c>
      <c r="CR62" s="43">
        <v>0</v>
      </c>
      <c r="CS62" s="43">
        <v>0</v>
      </c>
      <c r="CT62" s="43">
        <v>0</v>
      </c>
      <c r="CU62" s="43">
        <v>0</v>
      </c>
      <c r="CV62" s="43">
        <v>9999</v>
      </c>
      <c r="CW62" s="335">
        <v>9999</v>
      </c>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row>
    <row r="63" spans="1:131">
      <c r="A63" s="23" t="s">
        <v>442</v>
      </c>
      <c r="B63" s="23" t="s">
        <v>80</v>
      </c>
      <c r="C63" s="43">
        <v>5</v>
      </c>
      <c r="D63" s="43">
        <v>23.28691658097679</v>
      </c>
      <c r="E63" s="43">
        <v>0</v>
      </c>
      <c r="F63" s="43">
        <v>3.0040122389460056</v>
      </c>
      <c r="G63" s="43">
        <v>0</v>
      </c>
      <c r="H63" s="43">
        <v>0</v>
      </c>
      <c r="I63" s="43" t="s">
        <v>446</v>
      </c>
      <c r="J63" s="43"/>
      <c r="K63" s="43"/>
      <c r="L63" s="43">
        <v>24.995403134209539</v>
      </c>
      <c r="M63" s="43">
        <v>3.1393281934154467E-3</v>
      </c>
      <c r="N63" s="43">
        <v>3.1166699303269412E-3</v>
      </c>
      <c r="O63" s="43">
        <v>0</v>
      </c>
      <c r="P63" s="43">
        <v>0</v>
      </c>
      <c r="Q63" s="43">
        <v>0</v>
      </c>
      <c r="R63" s="43">
        <v>0.59904016954985295</v>
      </c>
      <c r="S63" s="43">
        <v>1.3842907183342557</v>
      </c>
      <c r="T63" s="43">
        <v>0</v>
      </c>
      <c r="U63" s="43">
        <v>8.4385805623091805</v>
      </c>
      <c r="V63" s="43" t="s">
        <v>626</v>
      </c>
      <c r="W63" s="43" t="s">
        <v>626</v>
      </c>
      <c r="X63" s="43" t="s">
        <v>626</v>
      </c>
      <c r="Y63" s="43" t="s">
        <v>626</v>
      </c>
      <c r="Z63" s="43">
        <v>0</v>
      </c>
      <c r="AA63" s="43">
        <v>0</v>
      </c>
      <c r="AB63" s="43">
        <v>0</v>
      </c>
      <c r="AC63" s="43">
        <v>0</v>
      </c>
      <c r="AD63" s="43">
        <v>0</v>
      </c>
      <c r="AE63" s="43">
        <v>0</v>
      </c>
      <c r="AF63" s="43">
        <v>0</v>
      </c>
      <c r="AG63" s="43">
        <v>0</v>
      </c>
      <c r="AH63" s="43">
        <v>0.59904016954985295</v>
      </c>
      <c r="AI63" s="43">
        <v>1.3842907183342557</v>
      </c>
      <c r="AJ63" s="43">
        <v>0</v>
      </c>
      <c r="AK63" s="43">
        <v>8.4385805623091805</v>
      </c>
      <c r="AL63" s="43">
        <v>10.421911450193289</v>
      </c>
      <c r="AM63" s="43">
        <v>12.583621787050282</v>
      </c>
      <c r="AN63" s="43">
        <v>1.1092768609643175</v>
      </c>
      <c r="AO63" s="43">
        <v>0</v>
      </c>
      <c r="AP63" s="43">
        <v>0</v>
      </c>
      <c r="AQ63" s="43">
        <v>13.6928986480146</v>
      </c>
      <c r="AR63" s="43">
        <v>0.59904016954985295</v>
      </c>
      <c r="AS63" s="335">
        <v>22.858064190092779</v>
      </c>
      <c r="AT63" s="43">
        <v>12.583621787050282</v>
      </c>
      <c r="AU63" s="43">
        <v>1.3130534053434153</v>
      </c>
      <c r="AV63" s="43">
        <v>0</v>
      </c>
      <c r="AW63" s="43">
        <v>0</v>
      </c>
      <c r="AX63" s="43">
        <v>13.896675192393698</v>
      </c>
      <c r="AY63" s="43">
        <v>1.3842907183342557</v>
      </c>
      <c r="AZ63" s="335">
        <v>10.038841558596767</v>
      </c>
      <c r="BA63" s="43">
        <v>12.583621787050282</v>
      </c>
      <c r="BB63" s="43">
        <v>2.4223302663077328</v>
      </c>
      <c r="BC63" s="43">
        <v>0</v>
      </c>
      <c r="BD63" s="43">
        <v>0</v>
      </c>
      <c r="BE63" s="43">
        <v>15.005952053358016</v>
      </c>
      <c r="BF63" s="43">
        <v>1.9833308878841085</v>
      </c>
      <c r="BG63" s="43">
        <v>-1.2923313332514494</v>
      </c>
      <c r="BH63" s="335">
        <v>7.5660355743095025</v>
      </c>
      <c r="BI63" s="43">
        <v>1.7634612234883131</v>
      </c>
      <c r="BJ63" s="43">
        <v>4.0750906665435007</v>
      </c>
      <c r="BK63" s="43">
        <v>0</v>
      </c>
      <c r="BL63" s="43">
        <v>24.841588860554729</v>
      </c>
      <c r="BM63" s="43">
        <v>30.680140750586546</v>
      </c>
      <c r="BN63" s="43">
        <v>12.583621787050282</v>
      </c>
      <c r="BO63" s="43">
        <v>0</v>
      </c>
      <c r="BP63" s="43">
        <v>2.4223302663077328</v>
      </c>
      <c r="BQ63" s="43">
        <v>0</v>
      </c>
      <c r="BR63" s="43">
        <v>0</v>
      </c>
      <c r="BS63" s="43">
        <v>0</v>
      </c>
      <c r="BT63" s="43">
        <v>0</v>
      </c>
      <c r="BU63" s="43">
        <v>0</v>
      </c>
      <c r="BV63" s="43">
        <v>0</v>
      </c>
      <c r="BW63" s="43">
        <v>0</v>
      </c>
      <c r="BX63" s="43">
        <v>10.421911450193289</v>
      </c>
      <c r="BY63" s="43"/>
      <c r="BZ63" s="43">
        <v>0</v>
      </c>
      <c r="CA63" s="43">
        <v>0</v>
      </c>
      <c r="CB63" s="43">
        <v>15.005952053358016</v>
      </c>
      <c r="CC63" s="43">
        <v>10.421911450193289</v>
      </c>
      <c r="CD63" s="335">
        <v>1.4398464355672211</v>
      </c>
      <c r="CE63" s="43">
        <v>23.549257527303283</v>
      </c>
      <c r="CF63" s="43">
        <v>0.2374582813123462</v>
      </c>
      <c r="CG63" s="43">
        <v>0</v>
      </c>
      <c r="CH63" s="43">
        <v>0.2374582813123462</v>
      </c>
      <c r="CI63" s="43">
        <v>1.187281648874953E-2</v>
      </c>
      <c r="CJ63" s="43">
        <v>0</v>
      </c>
      <c r="CK63" s="43">
        <v>1.187281648874953E-2</v>
      </c>
      <c r="CL63" s="43"/>
      <c r="CM63" s="43">
        <v>0</v>
      </c>
      <c r="CN63" s="43"/>
      <c r="CO63" s="43">
        <v>0</v>
      </c>
      <c r="CP63" s="43">
        <v>0</v>
      </c>
      <c r="CQ63" s="43">
        <v>0</v>
      </c>
      <c r="CR63" s="43">
        <v>0</v>
      </c>
      <c r="CS63" s="43">
        <v>0</v>
      </c>
      <c r="CT63" s="43">
        <v>0</v>
      </c>
      <c r="CU63" s="43">
        <v>0</v>
      </c>
      <c r="CV63" s="43">
        <v>9999</v>
      </c>
      <c r="CW63" s="335">
        <v>9999</v>
      </c>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row>
    <row r="64" spans="1:131">
      <c r="A64" s="23" t="s">
        <v>442</v>
      </c>
      <c r="B64" s="23" t="s">
        <v>81</v>
      </c>
      <c r="C64" s="43">
        <v>5</v>
      </c>
      <c r="D64" s="43">
        <v>26.180739304642962</v>
      </c>
      <c r="E64" s="43">
        <v>0</v>
      </c>
      <c r="F64" s="43">
        <v>0</v>
      </c>
      <c r="G64" s="43">
        <v>0</v>
      </c>
      <c r="H64" s="43">
        <v>0</v>
      </c>
      <c r="I64" s="43" t="s">
        <v>446</v>
      </c>
      <c r="J64" s="43"/>
      <c r="K64" s="43"/>
      <c r="L64" s="43">
        <v>28.101536371104494</v>
      </c>
      <c r="M64" s="43">
        <v>3.529446792052623E-3</v>
      </c>
      <c r="N64" s="43">
        <v>3.5039728278653346E-3</v>
      </c>
      <c r="O64" s="43">
        <v>0</v>
      </c>
      <c r="P64" s="43">
        <v>0</v>
      </c>
      <c r="Q64" s="43">
        <v>0</v>
      </c>
      <c r="R64" s="43">
        <v>0</v>
      </c>
      <c r="S64" s="43">
        <v>0</v>
      </c>
      <c r="T64" s="43">
        <v>0</v>
      </c>
      <c r="U64" s="43">
        <v>0</v>
      </c>
      <c r="V64" s="43" t="s">
        <v>626</v>
      </c>
      <c r="W64" s="43" t="s">
        <v>626</v>
      </c>
      <c r="X64" s="43" t="s">
        <v>626</v>
      </c>
      <c r="Y64" s="43" t="s">
        <v>626</v>
      </c>
      <c r="Z64" s="43">
        <v>0</v>
      </c>
      <c r="AA64" s="43">
        <v>0</v>
      </c>
      <c r="AB64" s="43">
        <v>0</v>
      </c>
      <c r="AC64" s="43">
        <v>0</v>
      </c>
      <c r="AD64" s="43">
        <v>0</v>
      </c>
      <c r="AE64" s="43">
        <v>0</v>
      </c>
      <c r="AF64" s="43">
        <v>0</v>
      </c>
      <c r="AG64" s="43">
        <v>0</v>
      </c>
      <c r="AH64" s="43">
        <v>0</v>
      </c>
      <c r="AI64" s="43">
        <v>0</v>
      </c>
      <c r="AJ64" s="43">
        <v>0</v>
      </c>
      <c r="AK64" s="43">
        <v>0</v>
      </c>
      <c r="AL64" s="43">
        <v>0</v>
      </c>
      <c r="AM64" s="43">
        <v>14.147365554790436</v>
      </c>
      <c r="AN64" s="43">
        <v>1.2471246767510553</v>
      </c>
      <c r="AO64" s="43">
        <v>0</v>
      </c>
      <c r="AP64" s="43">
        <v>0</v>
      </c>
      <c r="AQ64" s="43">
        <v>15.394490231541491</v>
      </c>
      <c r="AR64" s="43">
        <v>0</v>
      </c>
      <c r="AS64" s="335">
        <v>9999</v>
      </c>
      <c r="AT64" s="43">
        <v>14.147365554790436</v>
      </c>
      <c r="AU64" s="43">
        <v>1.4762241612722642</v>
      </c>
      <c r="AV64" s="43">
        <v>0</v>
      </c>
      <c r="AW64" s="43">
        <v>0</v>
      </c>
      <c r="AX64" s="43">
        <v>15.6235897160627</v>
      </c>
      <c r="AY64" s="43">
        <v>0</v>
      </c>
      <c r="AZ64" s="335">
        <v>9999</v>
      </c>
      <c r="BA64" s="43">
        <v>14.147365554790436</v>
      </c>
      <c r="BB64" s="43">
        <v>2.7233488380233197</v>
      </c>
      <c r="BC64" s="43">
        <v>0</v>
      </c>
      <c r="BD64" s="43">
        <v>0</v>
      </c>
      <c r="BE64" s="43">
        <v>16.870714392813756</v>
      </c>
      <c r="BF64" s="43">
        <v>0</v>
      </c>
      <c r="BG64" s="43">
        <v>-7.1308832232832602</v>
      </c>
      <c r="BH64" s="335">
        <v>9999</v>
      </c>
      <c r="BI64" s="43">
        <v>0</v>
      </c>
      <c r="BJ64" s="43">
        <v>0</v>
      </c>
      <c r="BK64" s="43">
        <v>0</v>
      </c>
      <c r="BL64" s="43">
        <v>0</v>
      </c>
      <c r="BM64" s="43">
        <v>0</v>
      </c>
      <c r="BN64" s="43">
        <v>14.147365554790436</v>
      </c>
      <c r="BO64" s="43">
        <v>0</v>
      </c>
      <c r="BP64" s="43">
        <v>2.7233488380233197</v>
      </c>
      <c r="BQ64" s="43">
        <v>0</v>
      </c>
      <c r="BR64" s="43">
        <v>0</v>
      </c>
      <c r="BS64" s="43">
        <v>0</v>
      </c>
      <c r="BT64" s="43">
        <v>0</v>
      </c>
      <c r="BU64" s="43">
        <v>0</v>
      </c>
      <c r="BV64" s="43">
        <v>0</v>
      </c>
      <c r="BW64" s="43">
        <v>0</v>
      </c>
      <c r="BX64" s="43">
        <v>0</v>
      </c>
      <c r="BY64" s="43"/>
      <c r="BZ64" s="43">
        <v>0</v>
      </c>
      <c r="CA64" s="43">
        <v>0</v>
      </c>
      <c r="CB64" s="43">
        <v>16.870714392813756</v>
      </c>
      <c r="CC64" s="43">
        <v>0</v>
      </c>
      <c r="CD64" s="335">
        <v>9999</v>
      </c>
      <c r="CE64" s="43">
        <v>-7.1308832232832602</v>
      </c>
      <c r="CF64" s="43">
        <v>0.26696678957684272</v>
      </c>
      <c r="CG64" s="43">
        <v>0</v>
      </c>
      <c r="CH64" s="43">
        <v>0.26696678957684272</v>
      </c>
      <c r="CI64" s="43">
        <v>1.3348229776274633E-2</v>
      </c>
      <c r="CJ64" s="43">
        <v>0</v>
      </c>
      <c r="CK64" s="43">
        <v>1.3348229776274633E-2</v>
      </c>
      <c r="CL64" s="43"/>
      <c r="CM64" s="43">
        <v>0</v>
      </c>
      <c r="CN64" s="43"/>
      <c r="CO64" s="43">
        <v>0</v>
      </c>
      <c r="CP64" s="43">
        <v>0</v>
      </c>
      <c r="CQ64" s="43">
        <v>0</v>
      </c>
      <c r="CR64" s="43">
        <v>0</v>
      </c>
      <c r="CS64" s="43">
        <v>0</v>
      </c>
      <c r="CT64" s="43">
        <v>0</v>
      </c>
      <c r="CU64" s="43">
        <v>0</v>
      </c>
      <c r="CV64" s="43">
        <v>9999</v>
      </c>
      <c r="CW64" s="335">
        <v>9999</v>
      </c>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row>
    <row r="65" spans="1:131">
      <c r="A65" s="23" t="s">
        <v>442</v>
      </c>
      <c r="B65" s="23" t="s">
        <v>82</v>
      </c>
      <c r="C65" s="43">
        <v>5</v>
      </c>
      <c r="D65" s="43">
        <v>4.8055102286204185</v>
      </c>
      <c r="E65" s="43">
        <v>0</v>
      </c>
      <c r="F65" s="43">
        <v>1.4877859667808815</v>
      </c>
      <c r="G65" s="43">
        <v>0</v>
      </c>
      <c r="H65" s="43">
        <v>0</v>
      </c>
      <c r="I65" s="43" t="s">
        <v>446</v>
      </c>
      <c r="J65" s="43"/>
      <c r="K65" s="43"/>
      <c r="L65" s="43">
        <v>5.1580751368370494</v>
      </c>
      <c r="M65" s="43">
        <v>6.4783474840882484E-4</v>
      </c>
      <c r="N65" s="43">
        <v>6.4315896771214231E-4</v>
      </c>
      <c r="O65" s="43">
        <v>0</v>
      </c>
      <c r="P65" s="43">
        <v>0</v>
      </c>
      <c r="Q65" s="43">
        <v>0</v>
      </c>
      <c r="R65" s="43">
        <v>0.29668439636817684</v>
      </c>
      <c r="S65" s="43">
        <v>0.68559251456490145</v>
      </c>
      <c r="T65" s="43">
        <v>0</v>
      </c>
      <c r="U65" s="43">
        <v>4.1793444039224443</v>
      </c>
      <c r="V65" s="43" t="s">
        <v>626</v>
      </c>
      <c r="W65" s="43" t="s">
        <v>626</v>
      </c>
      <c r="X65" s="43" t="s">
        <v>626</v>
      </c>
      <c r="Y65" s="43" t="s">
        <v>626</v>
      </c>
      <c r="Z65" s="43">
        <v>0</v>
      </c>
      <c r="AA65" s="43">
        <v>0</v>
      </c>
      <c r="AB65" s="43">
        <v>0</v>
      </c>
      <c r="AC65" s="43">
        <v>0</v>
      </c>
      <c r="AD65" s="43">
        <v>0</v>
      </c>
      <c r="AE65" s="43">
        <v>0</v>
      </c>
      <c r="AF65" s="43">
        <v>0</v>
      </c>
      <c r="AG65" s="43">
        <v>0</v>
      </c>
      <c r="AH65" s="43">
        <v>0.29668439636817684</v>
      </c>
      <c r="AI65" s="43">
        <v>0.68559251456490145</v>
      </c>
      <c r="AJ65" s="43">
        <v>0</v>
      </c>
      <c r="AK65" s="43">
        <v>4.1793444039224443</v>
      </c>
      <c r="AL65" s="43">
        <v>5.1616213148555223</v>
      </c>
      <c r="AM65" s="43">
        <v>2.5967681466321642</v>
      </c>
      <c r="AN65" s="43">
        <v>0.22891142686063506</v>
      </c>
      <c r="AO65" s="43">
        <v>0</v>
      </c>
      <c r="AP65" s="43">
        <v>0</v>
      </c>
      <c r="AQ65" s="43">
        <v>2.8256795734927991</v>
      </c>
      <c r="AR65" s="43">
        <v>0.29668439636817684</v>
      </c>
      <c r="AS65" s="335">
        <v>9.5241934125386614</v>
      </c>
      <c r="AT65" s="43">
        <v>2.5967681466321642</v>
      </c>
      <c r="AU65" s="43">
        <v>0.270962948149917</v>
      </c>
      <c r="AV65" s="43">
        <v>0</v>
      </c>
      <c r="AW65" s="43">
        <v>0</v>
      </c>
      <c r="AX65" s="43">
        <v>2.8677310947820813</v>
      </c>
      <c r="AY65" s="43">
        <v>0.68559251456490145</v>
      </c>
      <c r="AZ65" s="335">
        <v>4.1828506494153217</v>
      </c>
      <c r="BA65" s="43">
        <v>2.5967681466321642</v>
      </c>
      <c r="BB65" s="43">
        <v>0.4998743750105521</v>
      </c>
      <c r="BC65" s="43">
        <v>0</v>
      </c>
      <c r="BD65" s="43">
        <v>0</v>
      </c>
      <c r="BE65" s="43">
        <v>3.0966425216427163</v>
      </c>
      <c r="BF65" s="43">
        <v>0.98227691093307823</v>
      </c>
      <c r="BG65" s="43">
        <v>6.8816413127930947</v>
      </c>
      <c r="BH65" s="335">
        <v>3.1525148226289605</v>
      </c>
      <c r="BI65" s="43">
        <v>4.232306936371951</v>
      </c>
      <c r="BJ65" s="43">
        <v>9.7802175997044021</v>
      </c>
      <c r="BK65" s="43">
        <v>0</v>
      </c>
      <c r="BL65" s="43">
        <v>59.619813265331359</v>
      </c>
      <c r="BM65" s="43">
        <v>73.632337801407715</v>
      </c>
      <c r="BN65" s="43">
        <v>2.5967681466321642</v>
      </c>
      <c r="BO65" s="43">
        <v>0</v>
      </c>
      <c r="BP65" s="43">
        <v>0.4998743750105521</v>
      </c>
      <c r="BQ65" s="43">
        <v>0</v>
      </c>
      <c r="BR65" s="43">
        <v>0</v>
      </c>
      <c r="BS65" s="43">
        <v>0</v>
      </c>
      <c r="BT65" s="43">
        <v>0</v>
      </c>
      <c r="BU65" s="43">
        <v>0</v>
      </c>
      <c r="BV65" s="43">
        <v>0</v>
      </c>
      <c r="BW65" s="43">
        <v>0</v>
      </c>
      <c r="BX65" s="43">
        <v>5.1616213148555223</v>
      </c>
      <c r="BY65" s="43"/>
      <c r="BZ65" s="43">
        <v>0</v>
      </c>
      <c r="CA65" s="43">
        <v>0</v>
      </c>
      <c r="CB65" s="43">
        <v>3.0966425216427163</v>
      </c>
      <c r="CC65" s="43">
        <v>5.1616213148555223</v>
      </c>
      <c r="CD65" s="315">
        <v>0.59993601481967562</v>
      </c>
      <c r="CE65" s="43">
        <v>66.501454578124452</v>
      </c>
      <c r="CF65" s="43">
        <v>4.9002116521054691E-2</v>
      </c>
      <c r="CG65" s="43">
        <v>0</v>
      </c>
      <c r="CH65" s="43">
        <v>4.9002116521054691E-2</v>
      </c>
      <c r="CI65" s="43">
        <v>2.4500856899975988E-3</v>
      </c>
      <c r="CJ65" s="43">
        <v>0</v>
      </c>
      <c r="CK65" s="43">
        <v>2.4500856899975988E-3</v>
      </c>
      <c r="CL65" s="43"/>
      <c r="CM65" s="43">
        <v>0</v>
      </c>
      <c r="CN65" s="43"/>
      <c r="CO65" s="43">
        <v>0</v>
      </c>
      <c r="CP65" s="43">
        <v>0</v>
      </c>
      <c r="CQ65" s="43">
        <v>0</v>
      </c>
      <c r="CR65" s="43">
        <v>0</v>
      </c>
      <c r="CS65" s="43">
        <v>0</v>
      </c>
      <c r="CT65" s="43">
        <v>0</v>
      </c>
      <c r="CU65" s="43">
        <v>0</v>
      </c>
      <c r="CV65" s="43">
        <v>9999</v>
      </c>
      <c r="CW65" s="335">
        <v>9999</v>
      </c>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row>
    <row r="66" spans="1:131">
      <c r="A66" s="23" t="s">
        <v>442</v>
      </c>
      <c r="B66" s="23" t="s">
        <v>83</v>
      </c>
      <c r="C66" s="43">
        <v>15</v>
      </c>
      <c r="D66" s="43">
        <v>44.297091890530545</v>
      </c>
      <c r="E66" s="43">
        <v>0</v>
      </c>
      <c r="F66" s="43">
        <v>17.600120549945597</v>
      </c>
      <c r="G66" s="43">
        <v>0</v>
      </c>
      <c r="H66" s="43">
        <v>0</v>
      </c>
      <c r="I66" s="43" t="s">
        <v>446</v>
      </c>
      <c r="J66" s="43"/>
      <c r="K66" s="43"/>
      <c r="L66" s="43">
        <v>47.547027775305907</v>
      </c>
      <c r="M66" s="43">
        <v>5.9717270414348768E-3</v>
      </c>
      <c r="N66" s="43">
        <v>5.92862579363244E-3</v>
      </c>
      <c r="O66" s="43">
        <v>0</v>
      </c>
      <c r="P66" s="43">
        <v>0</v>
      </c>
      <c r="Q66" s="43">
        <v>0</v>
      </c>
      <c r="R66" s="43">
        <v>3.50969914890775</v>
      </c>
      <c r="S66" s="43">
        <v>8.1103809108986802</v>
      </c>
      <c r="T66" s="43">
        <v>0</v>
      </c>
      <c r="U66" s="43">
        <v>11.776585679889999</v>
      </c>
      <c r="V66" s="43" t="s">
        <v>626</v>
      </c>
      <c r="W66" s="43" t="s">
        <v>626</v>
      </c>
      <c r="X66" s="43" t="s">
        <v>626</v>
      </c>
      <c r="Y66" s="43" t="s">
        <v>626</v>
      </c>
      <c r="Z66" s="43">
        <v>0</v>
      </c>
      <c r="AA66" s="43">
        <v>0</v>
      </c>
      <c r="AB66" s="43">
        <v>0</v>
      </c>
      <c r="AC66" s="43">
        <v>0</v>
      </c>
      <c r="AD66" s="43">
        <v>0</v>
      </c>
      <c r="AE66" s="43">
        <v>0</v>
      </c>
      <c r="AF66" s="43">
        <v>0</v>
      </c>
      <c r="AG66" s="43">
        <v>0</v>
      </c>
      <c r="AH66" s="43">
        <v>3.50969914890775</v>
      </c>
      <c r="AI66" s="43">
        <v>8.1103809108986802</v>
      </c>
      <c r="AJ66" s="43">
        <v>0</v>
      </c>
      <c r="AK66" s="43">
        <v>11.776585679889999</v>
      </c>
      <c r="AL66" s="43">
        <v>23.396665739696431</v>
      </c>
      <c r="AM66" s="43">
        <v>23.936953983508779</v>
      </c>
      <c r="AN66" s="43">
        <v>2.1101007027403766</v>
      </c>
      <c r="AO66" s="43">
        <v>0</v>
      </c>
      <c r="AP66" s="43">
        <v>0</v>
      </c>
      <c r="AQ66" s="43">
        <v>26.047054686249155</v>
      </c>
      <c r="AR66" s="43">
        <v>3.50969914890775</v>
      </c>
      <c r="AS66" s="335">
        <v>7.4214494123677905</v>
      </c>
      <c r="AT66" s="43">
        <v>23.936953983508779</v>
      </c>
      <c r="AU66" s="43">
        <v>2.4977307386923941</v>
      </c>
      <c r="AV66" s="43">
        <v>0</v>
      </c>
      <c r="AW66" s="43">
        <v>0</v>
      </c>
      <c r="AX66" s="43">
        <v>26.434684722201172</v>
      </c>
      <c r="AY66" s="43">
        <v>8.1103809108986802</v>
      </c>
      <c r="AZ66" s="335">
        <v>3.2593641424015494</v>
      </c>
      <c r="BA66" s="43">
        <v>23.936953983508779</v>
      </c>
      <c r="BB66" s="43">
        <v>4.6078314414327703</v>
      </c>
      <c r="BC66" s="43">
        <v>0</v>
      </c>
      <c r="BD66" s="43">
        <v>0</v>
      </c>
      <c r="BE66" s="43">
        <v>28.544785424941548</v>
      </c>
      <c r="BF66" s="43">
        <v>11.62008005980643</v>
      </c>
      <c r="BG66" s="43">
        <v>10.851856598014734</v>
      </c>
      <c r="BH66" s="335">
        <v>2.4565050565939952</v>
      </c>
      <c r="BI66" s="43">
        <v>5.4314605683440043</v>
      </c>
      <c r="BJ66" s="43">
        <v>12.551279252953988</v>
      </c>
      <c r="BK66" s="43">
        <v>0</v>
      </c>
      <c r="BL66" s="43">
        <v>18.22494123747142</v>
      </c>
      <c r="BM66" s="43">
        <v>36.20768105876941</v>
      </c>
      <c r="BN66" s="43">
        <v>23.936953983508779</v>
      </c>
      <c r="BO66" s="43">
        <v>0</v>
      </c>
      <c r="BP66" s="43">
        <v>4.6078314414327703</v>
      </c>
      <c r="BQ66" s="43">
        <v>0</v>
      </c>
      <c r="BR66" s="43">
        <v>0</v>
      </c>
      <c r="BS66" s="43">
        <v>0</v>
      </c>
      <c r="BT66" s="43">
        <v>0</v>
      </c>
      <c r="BU66" s="43">
        <v>0</v>
      </c>
      <c r="BV66" s="43">
        <v>0</v>
      </c>
      <c r="BW66" s="43">
        <v>0</v>
      </c>
      <c r="BX66" s="43">
        <v>23.396665739696431</v>
      </c>
      <c r="BY66" s="43"/>
      <c r="BZ66" s="43">
        <v>0</v>
      </c>
      <c r="CA66" s="43">
        <v>0</v>
      </c>
      <c r="CB66" s="43">
        <v>28.544785424941548</v>
      </c>
      <c r="CC66" s="43">
        <v>23.396665739696431</v>
      </c>
      <c r="CD66" s="335">
        <v>1.2200364676967819</v>
      </c>
      <c r="CE66" s="43">
        <v>29.076797835486158</v>
      </c>
      <c r="CF66" s="43">
        <v>0.45170047614003411</v>
      </c>
      <c r="CG66" s="43">
        <v>0</v>
      </c>
      <c r="CH66" s="43">
        <v>0.45170047614003411</v>
      </c>
      <c r="CI66" s="43">
        <v>2.2584838193270302E-2</v>
      </c>
      <c r="CJ66" s="43">
        <v>0</v>
      </c>
      <c r="CK66" s="43">
        <v>2.2584838193270302E-2</v>
      </c>
      <c r="CL66" s="43"/>
      <c r="CM66" s="43">
        <v>0</v>
      </c>
      <c r="CN66" s="43"/>
      <c r="CO66" s="43">
        <v>0</v>
      </c>
      <c r="CP66" s="43">
        <v>0</v>
      </c>
      <c r="CQ66" s="43">
        <v>0</v>
      </c>
      <c r="CR66" s="43">
        <v>0</v>
      </c>
      <c r="CS66" s="43">
        <v>0</v>
      </c>
      <c r="CT66" s="43">
        <v>0</v>
      </c>
      <c r="CU66" s="43">
        <v>0</v>
      </c>
      <c r="CV66" s="43">
        <v>9999</v>
      </c>
      <c r="CW66" s="335">
        <v>9999</v>
      </c>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row>
    <row r="67" spans="1:131">
      <c r="A67" s="23" t="s">
        <v>442</v>
      </c>
      <c r="B67" s="23" t="s">
        <v>84</v>
      </c>
      <c r="C67" s="43">
        <v>10</v>
      </c>
      <c r="D67" s="43">
        <v>10.546926640602512</v>
      </c>
      <c r="E67" s="43">
        <v>0</v>
      </c>
      <c r="F67" s="43">
        <v>5.4422141465508966</v>
      </c>
      <c r="G67" s="43">
        <v>0</v>
      </c>
      <c r="H67" s="43">
        <v>0</v>
      </c>
      <c r="I67" s="43" t="s">
        <v>446</v>
      </c>
      <c r="J67" s="43"/>
      <c r="K67" s="43"/>
      <c r="L67" s="43">
        <v>11.320720898882362</v>
      </c>
      <c r="M67" s="43">
        <v>1.421839771770209E-3</v>
      </c>
      <c r="N67" s="43">
        <v>1.4115775699124859E-3</v>
      </c>
      <c r="O67" s="43">
        <v>0</v>
      </c>
      <c r="P67" s="43">
        <v>0</v>
      </c>
      <c r="Q67" s="43">
        <v>0</v>
      </c>
      <c r="R67" s="43">
        <v>1.0852502006517473</v>
      </c>
      <c r="S67" s="43">
        <v>2.5078481480824615</v>
      </c>
      <c r="T67" s="43">
        <v>0</v>
      </c>
      <c r="U67" s="43">
        <v>6.5252407365714165</v>
      </c>
      <c r="V67" s="43" t="s">
        <v>626</v>
      </c>
      <c r="W67" s="43" t="s">
        <v>626</v>
      </c>
      <c r="X67" s="43" t="s">
        <v>626</v>
      </c>
      <c r="Y67" s="43" t="s">
        <v>626</v>
      </c>
      <c r="Z67" s="43">
        <v>0</v>
      </c>
      <c r="AA67" s="43">
        <v>0</v>
      </c>
      <c r="AB67" s="43">
        <v>0</v>
      </c>
      <c r="AC67" s="43">
        <v>0</v>
      </c>
      <c r="AD67" s="43">
        <v>0</v>
      </c>
      <c r="AE67" s="43">
        <v>0</v>
      </c>
      <c r="AF67" s="43">
        <v>0</v>
      </c>
      <c r="AG67" s="43">
        <v>0</v>
      </c>
      <c r="AH67" s="43">
        <v>1.0852502006517473</v>
      </c>
      <c r="AI67" s="43">
        <v>2.5078481480824615</v>
      </c>
      <c r="AJ67" s="43">
        <v>0</v>
      </c>
      <c r="AK67" s="43">
        <v>6.5252407365714165</v>
      </c>
      <c r="AL67" s="43">
        <v>10.118339085305625</v>
      </c>
      <c r="AM67" s="43">
        <v>5.6992747579782828</v>
      </c>
      <c r="AN67" s="43">
        <v>0.50240492922389934</v>
      </c>
      <c r="AO67" s="43">
        <v>0</v>
      </c>
      <c r="AP67" s="43">
        <v>0</v>
      </c>
      <c r="AQ67" s="43">
        <v>6.2016796872021818</v>
      </c>
      <c r="AR67" s="43">
        <v>1.0852502006517473</v>
      </c>
      <c r="AS67" s="335">
        <v>5.7145160475231993</v>
      </c>
      <c r="AT67" s="43">
        <v>5.6992747579782828</v>
      </c>
      <c r="AU67" s="43">
        <v>0.59469779492676078</v>
      </c>
      <c r="AV67" s="43">
        <v>0</v>
      </c>
      <c r="AW67" s="43">
        <v>0</v>
      </c>
      <c r="AX67" s="43">
        <v>6.2939725529050436</v>
      </c>
      <c r="AY67" s="43">
        <v>2.5078481480824615</v>
      </c>
      <c r="AZ67" s="335">
        <v>2.5097103896491939</v>
      </c>
      <c r="BA67" s="43">
        <v>5.6992747579782828</v>
      </c>
      <c r="BB67" s="43">
        <v>1.0971027241506601</v>
      </c>
      <c r="BC67" s="43">
        <v>0</v>
      </c>
      <c r="BD67" s="43">
        <v>0</v>
      </c>
      <c r="BE67" s="43">
        <v>6.7963774821289427</v>
      </c>
      <c r="BF67" s="43">
        <v>3.593098348734209</v>
      </c>
      <c r="BG67" s="43">
        <v>16.223324336844001</v>
      </c>
      <c r="BH67" s="335">
        <v>1.8915088935773767</v>
      </c>
      <c r="BI67" s="43">
        <v>7.0538448939532516</v>
      </c>
      <c r="BJ67" s="43">
        <v>16.300362666174006</v>
      </c>
      <c r="BK67" s="43">
        <v>0</v>
      </c>
      <c r="BL67" s="43">
        <v>42.412372763292645</v>
      </c>
      <c r="BM67" s="43">
        <v>65.766580323419902</v>
      </c>
      <c r="BN67" s="43">
        <v>5.6992747579782828</v>
      </c>
      <c r="BO67" s="43">
        <v>0</v>
      </c>
      <c r="BP67" s="43">
        <v>1.0971027241506601</v>
      </c>
      <c r="BQ67" s="43">
        <v>0</v>
      </c>
      <c r="BR67" s="43">
        <v>0</v>
      </c>
      <c r="BS67" s="43">
        <v>0</v>
      </c>
      <c r="BT67" s="43">
        <v>0</v>
      </c>
      <c r="BU67" s="43">
        <v>0</v>
      </c>
      <c r="BV67" s="43">
        <v>0</v>
      </c>
      <c r="BW67" s="43">
        <v>0</v>
      </c>
      <c r="BX67" s="43">
        <v>10.118339085305625</v>
      </c>
      <c r="BY67" s="43"/>
      <c r="BZ67" s="43">
        <v>0</v>
      </c>
      <c r="CA67" s="43">
        <v>0</v>
      </c>
      <c r="CB67" s="43">
        <v>6.7963774821289427</v>
      </c>
      <c r="CC67" s="43">
        <v>10.118339085305625</v>
      </c>
      <c r="CD67" s="315">
        <v>0.67168904153439501</v>
      </c>
      <c r="CE67" s="43">
        <v>58.635697100136646</v>
      </c>
      <c r="CF67" s="43">
        <v>0.10754773241429395</v>
      </c>
      <c r="CG67" s="43">
        <v>0</v>
      </c>
      <c r="CH67" s="43">
        <v>0.10754773241429395</v>
      </c>
      <c r="CI67" s="43">
        <v>5.3773424269691217E-3</v>
      </c>
      <c r="CJ67" s="43">
        <v>0</v>
      </c>
      <c r="CK67" s="43">
        <v>5.3773424269691217E-3</v>
      </c>
      <c r="CL67" s="43"/>
      <c r="CM67" s="43">
        <v>0</v>
      </c>
      <c r="CN67" s="43"/>
      <c r="CO67" s="43">
        <v>0</v>
      </c>
      <c r="CP67" s="43">
        <v>0</v>
      </c>
      <c r="CQ67" s="43">
        <v>0</v>
      </c>
      <c r="CR67" s="43">
        <v>0</v>
      </c>
      <c r="CS67" s="43">
        <v>0</v>
      </c>
      <c r="CT67" s="43">
        <v>0</v>
      </c>
      <c r="CU67" s="43">
        <v>0</v>
      </c>
      <c r="CV67" s="43">
        <v>9999</v>
      </c>
      <c r="CW67" s="335">
        <v>9999</v>
      </c>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row>
    <row r="68" spans="1:131">
      <c r="A68" s="23" t="s">
        <v>442</v>
      </c>
      <c r="B68" s="23" t="s">
        <v>85</v>
      </c>
      <c r="C68" s="43">
        <v>10</v>
      </c>
      <c r="D68" s="43">
        <v>1.324702047218288</v>
      </c>
      <c r="E68" s="43">
        <v>0</v>
      </c>
      <c r="F68" s="43">
        <v>0.21873480203668372</v>
      </c>
      <c r="G68" s="43">
        <v>0</v>
      </c>
      <c r="H68" s="43">
        <v>0</v>
      </c>
      <c r="I68" s="43" t="s">
        <v>446</v>
      </c>
      <c r="J68" s="43"/>
      <c r="K68" s="43"/>
      <c r="L68" s="43">
        <v>1.4218911974796493</v>
      </c>
      <c r="M68" s="43">
        <v>1.7858416206569726E-4</v>
      </c>
      <c r="N68" s="43">
        <v>1.7729522166882766E-4</v>
      </c>
      <c r="O68" s="43">
        <v>0</v>
      </c>
      <c r="P68" s="43">
        <v>0</v>
      </c>
      <c r="Q68" s="43">
        <v>0</v>
      </c>
      <c r="R68" s="43">
        <v>4.3618641495442881E-2</v>
      </c>
      <c r="S68" s="43">
        <v>0.10079604613804789</v>
      </c>
      <c r="T68" s="43">
        <v>0</v>
      </c>
      <c r="U68" s="43">
        <v>0.26226407162978488</v>
      </c>
      <c r="V68" s="43" t="s">
        <v>626</v>
      </c>
      <c r="W68" s="43" t="s">
        <v>626</v>
      </c>
      <c r="X68" s="43" t="s">
        <v>626</v>
      </c>
      <c r="Y68" s="43" t="s">
        <v>626</v>
      </c>
      <c r="Z68" s="43">
        <v>0</v>
      </c>
      <c r="AA68" s="43">
        <v>0</v>
      </c>
      <c r="AB68" s="43">
        <v>0</v>
      </c>
      <c r="AC68" s="43">
        <v>0</v>
      </c>
      <c r="AD68" s="43">
        <v>0</v>
      </c>
      <c r="AE68" s="43">
        <v>0</v>
      </c>
      <c r="AF68" s="43">
        <v>0</v>
      </c>
      <c r="AG68" s="43">
        <v>0</v>
      </c>
      <c r="AH68" s="43">
        <v>4.3618641495442881E-2</v>
      </c>
      <c r="AI68" s="43">
        <v>0.10079604613804789</v>
      </c>
      <c r="AJ68" s="43">
        <v>0</v>
      </c>
      <c r="AK68" s="43">
        <v>0.26226407162978488</v>
      </c>
      <c r="AL68" s="43">
        <v>0.40667875926327568</v>
      </c>
      <c r="AM68" s="43">
        <v>0.71583326563481631</v>
      </c>
      <c r="AN68" s="43">
        <v>6.3102443105401015E-2</v>
      </c>
      <c r="AO68" s="43">
        <v>0</v>
      </c>
      <c r="AP68" s="43">
        <v>0</v>
      </c>
      <c r="AQ68" s="43">
        <v>0.77893570874021734</v>
      </c>
      <c r="AR68" s="43">
        <v>4.3618641495442881E-2</v>
      </c>
      <c r="AS68" s="335">
        <v>17.85786264850999</v>
      </c>
      <c r="AT68" s="43">
        <v>0.71583326563481631</v>
      </c>
      <c r="AU68" s="43">
        <v>7.4694497578365396E-2</v>
      </c>
      <c r="AV68" s="43">
        <v>0</v>
      </c>
      <c r="AW68" s="43">
        <v>0</v>
      </c>
      <c r="AX68" s="43">
        <v>0.79052776321318174</v>
      </c>
      <c r="AY68" s="43">
        <v>0.10079604613804789</v>
      </c>
      <c r="AZ68" s="335">
        <v>7.8428449676537264</v>
      </c>
      <c r="BA68" s="43">
        <v>0.71583326563481631</v>
      </c>
      <c r="BB68" s="43">
        <v>0.13779694068376641</v>
      </c>
      <c r="BC68" s="43">
        <v>0</v>
      </c>
      <c r="BD68" s="43">
        <v>0</v>
      </c>
      <c r="BE68" s="43">
        <v>0.85363020631858277</v>
      </c>
      <c r="BF68" s="43">
        <v>0.14441468763349077</v>
      </c>
      <c r="BG68" s="43">
        <v>0.34246319595745744</v>
      </c>
      <c r="BH68" s="335">
        <v>5.9109652924292995</v>
      </c>
      <c r="BI68" s="43">
        <v>2.2572303660650404</v>
      </c>
      <c r="BJ68" s="43">
        <v>5.2161160531756829</v>
      </c>
      <c r="BK68" s="43">
        <v>0</v>
      </c>
      <c r="BL68" s="43">
        <v>13.571959284253648</v>
      </c>
      <c r="BM68" s="43">
        <v>21.045305703494368</v>
      </c>
      <c r="BN68" s="43">
        <v>0.71583326563481631</v>
      </c>
      <c r="BO68" s="43">
        <v>0</v>
      </c>
      <c r="BP68" s="43">
        <v>0.13779694068376641</v>
      </c>
      <c r="BQ68" s="43">
        <v>0</v>
      </c>
      <c r="BR68" s="43">
        <v>0</v>
      </c>
      <c r="BS68" s="43">
        <v>0</v>
      </c>
      <c r="BT68" s="43">
        <v>0</v>
      </c>
      <c r="BU68" s="43">
        <v>0</v>
      </c>
      <c r="BV68" s="43">
        <v>0</v>
      </c>
      <c r="BW68" s="43">
        <v>0</v>
      </c>
      <c r="BX68" s="43">
        <v>0.40667875926327568</v>
      </c>
      <c r="BY68" s="43"/>
      <c r="BZ68" s="43">
        <v>0</v>
      </c>
      <c r="CA68" s="43">
        <v>0</v>
      </c>
      <c r="CB68" s="43">
        <v>0.85363020631858277</v>
      </c>
      <c r="CC68" s="43">
        <v>0.40667875926327568</v>
      </c>
      <c r="CD68" s="335">
        <v>2.0990282547949835</v>
      </c>
      <c r="CE68" s="43">
        <v>13.914422480211107</v>
      </c>
      <c r="CF68" s="43">
        <v>1.3508077391421099E-2</v>
      </c>
      <c r="CG68" s="43">
        <v>0</v>
      </c>
      <c r="CH68" s="43">
        <v>1.3508077391421099E-2</v>
      </c>
      <c r="CI68" s="43">
        <v>6.7539831880283332E-4</v>
      </c>
      <c r="CJ68" s="43">
        <v>0</v>
      </c>
      <c r="CK68" s="43">
        <v>6.7539831880283332E-4</v>
      </c>
      <c r="CL68" s="43"/>
      <c r="CM68" s="43">
        <v>0</v>
      </c>
      <c r="CN68" s="43"/>
      <c r="CO68" s="43">
        <v>0</v>
      </c>
      <c r="CP68" s="43">
        <v>0</v>
      </c>
      <c r="CQ68" s="43">
        <v>0</v>
      </c>
      <c r="CR68" s="43">
        <v>0</v>
      </c>
      <c r="CS68" s="43">
        <v>0</v>
      </c>
      <c r="CT68" s="43">
        <v>0</v>
      </c>
      <c r="CU68" s="43">
        <v>0</v>
      </c>
      <c r="CV68" s="43">
        <v>9999</v>
      </c>
      <c r="CW68" s="335">
        <v>9999</v>
      </c>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row>
    <row r="69" spans="1:131">
      <c r="A69" s="23" t="s">
        <v>442</v>
      </c>
      <c r="B69" s="23" t="s">
        <v>86</v>
      </c>
      <c r="C69" s="43">
        <v>10</v>
      </c>
      <c r="D69" s="43">
        <v>2.649404094436576</v>
      </c>
      <c r="E69" s="43">
        <v>0</v>
      </c>
      <c r="F69" s="43">
        <v>0.54683700509170929</v>
      </c>
      <c r="G69" s="43">
        <v>0</v>
      </c>
      <c r="H69" s="43">
        <v>0</v>
      </c>
      <c r="I69" s="43" t="s">
        <v>446</v>
      </c>
      <c r="J69" s="43"/>
      <c r="K69" s="43"/>
      <c r="L69" s="43">
        <v>2.8437823949592986</v>
      </c>
      <c r="M69" s="43">
        <v>3.5716832413139451E-4</v>
      </c>
      <c r="N69" s="43">
        <v>3.5459044333765533E-4</v>
      </c>
      <c r="O69" s="43">
        <v>0</v>
      </c>
      <c r="P69" s="43">
        <v>0</v>
      </c>
      <c r="Q69" s="43">
        <v>0</v>
      </c>
      <c r="R69" s="43">
        <v>0.10904660373860721</v>
      </c>
      <c r="S69" s="43">
        <v>0.25199011534511973</v>
      </c>
      <c r="T69" s="43">
        <v>0</v>
      </c>
      <c r="U69" s="43">
        <v>0.65566017907446217</v>
      </c>
      <c r="V69" s="43" t="s">
        <v>626</v>
      </c>
      <c r="W69" s="43" t="s">
        <v>626</v>
      </c>
      <c r="X69" s="43" t="s">
        <v>626</v>
      </c>
      <c r="Y69" s="43" t="s">
        <v>626</v>
      </c>
      <c r="Z69" s="43">
        <v>0</v>
      </c>
      <c r="AA69" s="43">
        <v>0</v>
      </c>
      <c r="AB69" s="43">
        <v>0</v>
      </c>
      <c r="AC69" s="43">
        <v>0</v>
      </c>
      <c r="AD69" s="43">
        <v>0</v>
      </c>
      <c r="AE69" s="43">
        <v>0</v>
      </c>
      <c r="AF69" s="43">
        <v>0</v>
      </c>
      <c r="AG69" s="43">
        <v>0</v>
      </c>
      <c r="AH69" s="43">
        <v>0.10904660373860721</v>
      </c>
      <c r="AI69" s="43">
        <v>0.25199011534511973</v>
      </c>
      <c r="AJ69" s="43">
        <v>0</v>
      </c>
      <c r="AK69" s="43">
        <v>0.65566017907446217</v>
      </c>
      <c r="AL69" s="43">
        <v>1.0166968981581892</v>
      </c>
      <c r="AM69" s="43">
        <v>1.4316665312696326</v>
      </c>
      <c r="AN69" s="43">
        <v>0.12620488621080203</v>
      </c>
      <c r="AO69" s="43">
        <v>0</v>
      </c>
      <c r="AP69" s="43">
        <v>0</v>
      </c>
      <c r="AQ69" s="43">
        <v>1.5578714174804347</v>
      </c>
      <c r="AR69" s="43">
        <v>0.10904660373860721</v>
      </c>
      <c r="AS69" s="335">
        <v>14.28629011880799</v>
      </c>
      <c r="AT69" s="43">
        <v>1.4316665312696326</v>
      </c>
      <c r="AU69" s="43">
        <v>0.14938899515673079</v>
      </c>
      <c r="AV69" s="43">
        <v>0</v>
      </c>
      <c r="AW69" s="43">
        <v>0</v>
      </c>
      <c r="AX69" s="43">
        <v>1.5810555264263635</v>
      </c>
      <c r="AY69" s="43">
        <v>0.25199011534511973</v>
      </c>
      <c r="AZ69" s="335">
        <v>6.2742759741229817</v>
      </c>
      <c r="BA69" s="43">
        <v>1.4316665312696326</v>
      </c>
      <c r="BB69" s="43">
        <v>0.27559388136753282</v>
      </c>
      <c r="BC69" s="43">
        <v>0</v>
      </c>
      <c r="BD69" s="43">
        <v>0</v>
      </c>
      <c r="BE69" s="43">
        <v>1.7072604126371655</v>
      </c>
      <c r="BF69" s="43">
        <v>0.36103671908372692</v>
      </c>
      <c r="BG69" s="43">
        <v>2.2107998007676395</v>
      </c>
      <c r="BH69" s="335">
        <v>4.7287722339434399</v>
      </c>
      <c r="BI69" s="43">
        <v>2.8215379575813007</v>
      </c>
      <c r="BJ69" s="43">
        <v>6.5201450664696035</v>
      </c>
      <c r="BK69" s="43">
        <v>0</v>
      </c>
      <c r="BL69" s="43">
        <v>16.964949105317057</v>
      </c>
      <c r="BM69" s="43">
        <v>26.306632129367966</v>
      </c>
      <c r="BN69" s="43">
        <v>1.4316665312696326</v>
      </c>
      <c r="BO69" s="43">
        <v>0</v>
      </c>
      <c r="BP69" s="43">
        <v>0.27559388136753282</v>
      </c>
      <c r="BQ69" s="43">
        <v>0</v>
      </c>
      <c r="BR69" s="43">
        <v>0</v>
      </c>
      <c r="BS69" s="43">
        <v>0</v>
      </c>
      <c r="BT69" s="43">
        <v>0</v>
      </c>
      <c r="BU69" s="43">
        <v>0</v>
      </c>
      <c r="BV69" s="43">
        <v>0</v>
      </c>
      <c r="BW69" s="43">
        <v>0</v>
      </c>
      <c r="BX69" s="43">
        <v>1.0166968981581892</v>
      </c>
      <c r="BY69" s="43"/>
      <c r="BZ69" s="43">
        <v>0</v>
      </c>
      <c r="CA69" s="43">
        <v>0</v>
      </c>
      <c r="CB69" s="43">
        <v>1.7072604126371655</v>
      </c>
      <c r="CC69" s="43">
        <v>1.0166968981581892</v>
      </c>
      <c r="CD69" s="335">
        <v>1.6792226038359868</v>
      </c>
      <c r="CE69" s="43">
        <v>19.175748906084699</v>
      </c>
      <c r="CF69" s="43">
        <v>2.7016154782842198E-2</v>
      </c>
      <c r="CG69" s="43">
        <v>0</v>
      </c>
      <c r="CH69" s="43">
        <v>2.7016154782842198E-2</v>
      </c>
      <c r="CI69" s="43">
        <v>1.3507966376056666E-3</v>
      </c>
      <c r="CJ69" s="43">
        <v>0</v>
      </c>
      <c r="CK69" s="43">
        <v>1.3507966376056666E-3</v>
      </c>
      <c r="CL69" s="43"/>
      <c r="CM69" s="43">
        <v>0</v>
      </c>
      <c r="CN69" s="43"/>
      <c r="CO69" s="43">
        <v>0</v>
      </c>
      <c r="CP69" s="43">
        <v>0</v>
      </c>
      <c r="CQ69" s="43">
        <v>0</v>
      </c>
      <c r="CR69" s="43">
        <v>0</v>
      </c>
      <c r="CS69" s="43">
        <v>0</v>
      </c>
      <c r="CT69" s="43">
        <v>0</v>
      </c>
      <c r="CU69" s="43">
        <v>0</v>
      </c>
      <c r="CV69" s="43">
        <v>9999</v>
      </c>
      <c r="CW69" s="335">
        <v>9999</v>
      </c>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row>
    <row r="70" spans="1:131">
      <c r="A70" s="23" t="s">
        <v>442</v>
      </c>
      <c r="B70" s="23" t="s">
        <v>87</v>
      </c>
      <c r="C70" s="43">
        <v>10</v>
      </c>
      <c r="D70" s="43">
        <v>2.649404094436576</v>
      </c>
      <c r="E70" s="43">
        <v>0</v>
      </c>
      <c r="F70" s="43">
        <v>0.39645682869148918</v>
      </c>
      <c r="G70" s="43">
        <v>0</v>
      </c>
      <c r="H70" s="43">
        <v>0</v>
      </c>
      <c r="I70" s="43" t="s">
        <v>446</v>
      </c>
      <c r="J70" s="43"/>
      <c r="K70" s="43"/>
      <c r="L70" s="43">
        <v>2.8437823949592986</v>
      </c>
      <c r="M70" s="43">
        <v>3.5716832413139451E-4</v>
      </c>
      <c r="N70" s="43">
        <v>3.5459044333765533E-4</v>
      </c>
      <c r="O70" s="43">
        <v>0</v>
      </c>
      <c r="P70" s="43">
        <v>0</v>
      </c>
      <c r="Q70" s="43">
        <v>0</v>
      </c>
      <c r="R70" s="43">
        <v>7.9058787710490214E-2</v>
      </c>
      <c r="S70" s="43">
        <v>0.18269283362521177</v>
      </c>
      <c r="T70" s="43">
        <v>0</v>
      </c>
      <c r="U70" s="43">
        <v>0.47535362982898499</v>
      </c>
      <c r="V70" s="43" t="s">
        <v>626</v>
      </c>
      <c r="W70" s="43" t="s">
        <v>626</v>
      </c>
      <c r="X70" s="43" t="s">
        <v>626</v>
      </c>
      <c r="Y70" s="43" t="s">
        <v>626</v>
      </c>
      <c r="Z70" s="43">
        <v>0</v>
      </c>
      <c r="AA70" s="43">
        <v>0</v>
      </c>
      <c r="AB70" s="43">
        <v>0</v>
      </c>
      <c r="AC70" s="43">
        <v>0</v>
      </c>
      <c r="AD70" s="43">
        <v>0</v>
      </c>
      <c r="AE70" s="43">
        <v>0</v>
      </c>
      <c r="AF70" s="43">
        <v>0</v>
      </c>
      <c r="AG70" s="43">
        <v>0</v>
      </c>
      <c r="AH70" s="43">
        <v>7.9058787710490214E-2</v>
      </c>
      <c r="AI70" s="43">
        <v>0.18269283362521177</v>
      </c>
      <c r="AJ70" s="43">
        <v>0</v>
      </c>
      <c r="AK70" s="43">
        <v>0.47535362982898499</v>
      </c>
      <c r="AL70" s="43">
        <v>0.73710525116468695</v>
      </c>
      <c r="AM70" s="43">
        <v>1.4316665312696326</v>
      </c>
      <c r="AN70" s="43">
        <v>0.12620488621080203</v>
      </c>
      <c r="AO70" s="43">
        <v>0</v>
      </c>
      <c r="AP70" s="43">
        <v>0</v>
      </c>
      <c r="AQ70" s="43">
        <v>1.5578714174804347</v>
      </c>
      <c r="AR70" s="43">
        <v>7.9058787710490214E-2</v>
      </c>
      <c r="AS70" s="335">
        <v>19.705227750079992</v>
      </c>
      <c r="AT70" s="43">
        <v>1.4316665312696326</v>
      </c>
      <c r="AU70" s="43">
        <v>0.14938899515673079</v>
      </c>
      <c r="AV70" s="43">
        <v>0</v>
      </c>
      <c r="AW70" s="43">
        <v>0</v>
      </c>
      <c r="AX70" s="43">
        <v>1.5810555264263635</v>
      </c>
      <c r="AY70" s="43">
        <v>0.18269283362521177</v>
      </c>
      <c r="AZ70" s="335">
        <v>8.6541737574110105</v>
      </c>
      <c r="BA70" s="43">
        <v>1.4316665312696326</v>
      </c>
      <c r="BB70" s="43">
        <v>0.27559388136753282</v>
      </c>
      <c r="BC70" s="43">
        <v>0</v>
      </c>
      <c r="BD70" s="43">
        <v>0</v>
      </c>
      <c r="BE70" s="43">
        <v>1.7072604126371655</v>
      </c>
      <c r="BF70" s="43">
        <v>0.26175162133570196</v>
      </c>
      <c r="BG70" s="43">
        <v>-0.35816303084636358</v>
      </c>
      <c r="BH70" s="335">
        <v>6.5224444606116432</v>
      </c>
      <c r="BI70" s="43">
        <v>2.0456150192464428</v>
      </c>
      <c r="BJ70" s="43">
        <v>4.727105173190461</v>
      </c>
      <c r="BK70" s="43">
        <v>0</v>
      </c>
      <c r="BL70" s="43">
        <v>12.299588101354864</v>
      </c>
      <c r="BM70" s="43">
        <v>19.072308293791767</v>
      </c>
      <c r="BN70" s="43">
        <v>1.4316665312696326</v>
      </c>
      <c r="BO70" s="43">
        <v>0</v>
      </c>
      <c r="BP70" s="43">
        <v>0.27559388136753282</v>
      </c>
      <c r="BQ70" s="43">
        <v>0</v>
      </c>
      <c r="BR70" s="43">
        <v>0</v>
      </c>
      <c r="BS70" s="43">
        <v>0</v>
      </c>
      <c r="BT70" s="43">
        <v>0</v>
      </c>
      <c r="BU70" s="43">
        <v>0</v>
      </c>
      <c r="BV70" s="43">
        <v>0</v>
      </c>
      <c r="BW70" s="43">
        <v>0</v>
      </c>
      <c r="BX70" s="43">
        <v>0.73710525116468695</v>
      </c>
      <c r="BY70" s="43"/>
      <c r="BZ70" s="43">
        <v>0</v>
      </c>
      <c r="CA70" s="43">
        <v>0</v>
      </c>
      <c r="CB70" s="43">
        <v>1.7072604126371655</v>
      </c>
      <c r="CC70" s="43">
        <v>0.73710525116468695</v>
      </c>
      <c r="CD70" s="335">
        <v>2.3161691087392926</v>
      </c>
      <c r="CE70" s="43">
        <v>11.941425070508505</v>
      </c>
      <c r="CF70" s="43">
        <v>2.7016154782842198E-2</v>
      </c>
      <c r="CG70" s="43">
        <v>0</v>
      </c>
      <c r="CH70" s="43">
        <v>2.7016154782842198E-2</v>
      </c>
      <c r="CI70" s="43">
        <v>1.3507966376056666E-3</v>
      </c>
      <c r="CJ70" s="43">
        <v>0</v>
      </c>
      <c r="CK70" s="43">
        <v>1.3507966376056666E-3</v>
      </c>
      <c r="CL70" s="43"/>
      <c r="CM70" s="43">
        <v>0</v>
      </c>
      <c r="CN70" s="43"/>
      <c r="CO70" s="43">
        <v>0</v>
      </c>
      <c r="CP70" s="43">
        <v>0</v>
      </c>
      <c r="CQ70" s="43">
        <v>0</v>
      </c>
      <c r="CR70" s="43">
        <v>0</v>
      </c>
      <c r="CS70" s="43">
        <v>0</v>
      </c>
      <c r="CT70" s="43">
        <v>0</v>
      </c>
      <c r="CU70" s="43">
        <v>0</v>
      </c>
      <c r="CV70" s="43">
        <v>9999</v>
      </c>
      <c r="CW70" s="335">
        <v>9999</v>
      </c>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row>
    <row r="71" spans="1:131">
      <c r="A71" s="23" t="s">
        <v>442</v>
      </c>
      <c r="B71" s="23" t="s">
        <v>88</v>
      </c>
      <c r="C71" s="43">
        <v>10</v>
      </c>
      <c r="D71" s="43">
        <v>2.649404094436576</v>
      </c>
      <c r="E71" s="43">
        <v>0</v>
      </c>
      <c r="F71" s="43">
        <v>0.71088810661922208</v>
      </c>
      <c r="G71" s="43">
        <v>0</v>
      </c>
      <c r="H71" s="43">
        <v>0</v>
      </c>
      <c r="I71" s="43" t="s">
        <v>446</v>
      </c>
      <c r="J71" s="43"/>
      <c r="K71" s="43"/>
      <c r="L71" s="43">
        <v>2.8437823949592986</v>
      </c>
      <c r="M71" s="43">
        <v>3.5716832413139451E-4</v>
      </c>
      <c r="N71" s="43">
        <v>3.5459044333765533E-4</v>
      </c>
      <c r="O71" s="43">
        <v>0</v>
      </c>
      <c r="P71" s="43">
        <v>0</v>
      </c>
      <c r="Q71" s="43">
        <v>0</v>
      </c>
      <c r="R71" s="43">
        <v>0.14176058486018939</v>
      </c>
      <c r="S71" s="43">
        <v>0.32758714994865562</v>
      </c>
      <c r="T71" s="43">
        <v>0</v>
      </c>
      <c r="U71" s="43">
        <v>0.8523582327968009</v>
      </c>
      <c r="V71" s="43" t="s">
        <v>626</v>
      </c>
      <c r="W71" s="43" t="s">
        <v>626</v>
      </c>
      <c r="X71" s="43" t="s">
        <v>626</v>
      </c>
      <c r="Y71" s="43" t="s">
        <v>626</v>
      </c>
      <c r="Z71" s="43">
        <v>0</v>
      </c>
      <c r="AA71" s="43">
        <v>0</v>
      </c>
      <c r="AB71" s="43">
        <v>0</v>
      </c>
      <c r="AC71" s="43">
        <v>0</v>
      </c>
      <c r="AD71" s="43">
        <v>0</v>
      </c>
      <c r="AE71" s="43">
        <v>0</v>
      </c>
      <c r="AF71" s="43">
        <v>0</v>
      </c>
      <c r="AG71" s="43">
        <v>0</v>
      </c>
      <c r="AH71" s="43">
        <v>0.14176058486018939</v>
      </c>
      <c r="AI71" s="43">
        <v>0.32758714994865562</v>
      </c>
      <c r="AJ71" s="43">
        <v>0</v>
      </c>
      <c r="AK71" s="43">
        <v>0.8523582327968009</v>
      </c>
      <c r="AL71" s="43">
        <v>1.321705967605646</v>
      </c>
      <c r="AM71" s="43">
        <v>1.4316665312696326</v>
      </c>
      <c r="AN71" s="43">
        <v>0.12620488621080203</v>
      </c>
      <c r="AO71" s="43">
        <v>0</v>
      </c>
      <c r="AP71" s="43">
        <v>0</v>
      </c>
      <c r="AQ71" s="43">
        <v>1.5578714174804347</v>
      </c>
      <c r="AR71" s="43">
        <v>0.14176058486018939</v>
      </c>
      <c r="AS71" s="335">
        <v>10.989453937544607</v>
      </c>
      <c r="AT71" s="43">
        <v>1.4316665312696326</v>
      </c>
      <c r="AU71" s="43">
        <v>0.14938899515673079</v>
      </c>
      <c r="AV71" s="43">
        <v>0</v>
      </c>
      <c r="AW71" s="43">
        <v>0</v>
      </c>
      <c r="AX71" s="43">
        <v>1.5810555264263635</v>
      </c>
      <c r="AY71" s="43">
        <v>0.32758714994865562</v>
      </c>
      <c r="AZ71" s="335">
        <v>4.8263661339407555</v>
      </c>
      <c r="BA71" s="43">
        <v>1.4316665312696326</v>
      </c>
      <c r="BB71" s="43">
        <v>0.27559388136753282</v>
      </c>
      <c r="BC71" s="43">
        <v>0</v>
      </c>
      <c r="BD71" s="43">
        <v>0</v>
      </c>
      <c r="BE71" s="43">
        <v>1.7072604126371655</v>
      </c>
      <c r="BF71" s="43">
        <v>0.46934773480884501</v>
      </c>
      <c r="BG71" s="43">
        <v>5.0133047079829121</v>
      </c>
      <c r="BH71" s="335">
        <v>3.6375171030334155</v>
      </c>
      <c r="BI71" s="43">
        <v>3.667999344855692</v>
      </c>
      <c r="BJ71" s="43">
        <v>8.4761885864104833</v>
      </c>
      <c r="BK71" s="43">
        <v>0</v>
      </c>
      <c r="BL71" s="43">
        <v>22.054433836912175</v>
      </c>
      <c r="BM71" s="43">
        <v>34.198621768178356</v>
      </c>
      <c r="BN71" s="43">
        <v>1.4316665312696326</v>
      </c>
      <c r="BO71" s="43">
        <v>0</v>
      </c>
      <c r="BP71" s="43">
        <v>0.27559388136753282</v>
      </c>
      <c r="BQ71" s="43">
        <v>0</v>
      </c>
      <c r="BR71" s="43">
        <v>0</v>
      </c>
      <c r="BS71" s="43">
        <v>0</v>
      </c>
      <c r="BT71" s="43">
        <v>0</v>
      </c>
      <c r="BU71" s="43">
        <v>0</v>
      </c>
      <c r="BV71" s="43">
        <v>0</v>
      </c>
      <c r="BW71" s="43">
        <v>0</v>
      </c>
      <c r="BX71" s="43">
        <v>1.321705967605646</v>
      </c>
      <c r="BY71" s="43"/>
      <c r="BZ71" s="43">
        <v>0</v>
      </c>
      <c r="CA71" s="43">
        <v>0</v>
      </c>
      <c r="CB71" s="43">
        <v>1.7072604126371655</v>
      </c>
      <c r="CC71" s="43">
        <v>1.321705967605646</v>
      </c>
      <c r="CD71" s="335">
        <v>1.2917096952584515</v>
      </c>
      <c r="CE71" s="43">
        <v>27.067738544895089</v>
      </c>
      <c r="CF71" s="43">
        <v>2.7016154782842198E-2</v>
      </c>
      <c r="CG71" s="43">
        <v>0</v>
      </c>
      <c r="CH71" s="43">
        <v>2.7016154782842198E-2</v>
      </c>
      <c r="CI71" s="43">
        <v>1.3507966376056666E-3</v>
      </c>
      <c r="CJ71" s="43">
        <v>0</v>
      </c>
      <c r="CK71" s="43">
        <v>1.3507966376056666E-3</v>
      </c>
      <c r="CL71" s="43"/>
      <c r="CM71" s="43">
        <v>0</v>
      </c>
      <c r="CN71" s="43"/>
      <c r="CO71" s="43">
        <v>0</v>
      </c>
      <c r="CP71" s="43">
        <v>0</v>
      </c>
      <c r="CQ71" s="43">
        <v>0</v>
      </c>
      <c r="CR71" s="43">
        <v>0</v>
      </c>
      <c r="CS71" s="43">
        <v>0</v>
      </c>
      <c r="CT71" s="43">
        <v>0</v>
      </c>
      <c r="CU71" s="43">
        <v>0</v>
      </c>
      <c r="CV71" s="43">
        <v>9999</v>
      </c>
      <c r="CW71" s="335">
        <v>9999</v>
      </c>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row>
    <row r="72" spans="1:131">
      <c r="A72" s="23" t="s">
        <v>442</v>
      </c>
      <c r="B72" s="23" t="s">
        <v>89</v>
      </c>
      <c r="C72" s="43">
        <v>10</v>
      </c>
      <c r="D72" s="43">
        <v>2.649404094436576</v>
      </c>
      <c r="E72" s="43">
        <v>0</v>
      </c>
      <c r="F72" s="43">
        <v>1.0526612348015403</v>
      </c>
      <c r="G72" s="43">
        <v>0</v>
      </c>
      <c r="H72" s="43">
        <v>0</v>
      </c>
      <c r="I72" s="43" t="s">
        <v>446</v>
      </c>
      <c r="J72" s="43"/>
      <c r="K72" s="43"/>
      <c r="L72" s="43">
        <v>2.8437823949592986</v>
      </c>
      <c r="M72" s="43">
        <v>3.5716832413139451E-4</v>
      </c>
      <c r="N72" s="43">
        <v>3.5459044333765533E-4</v>
      </c>
      <c r="O72" s="43">
        <v>0</v>
      </c>
      <c r="P72" s="43">
        <v>0</v>
      </c>
      <c r="Q72" s="43">
        <v>0</v>
      </c>
      <c r="R72" s="43">
        <v>0.20991471219681887</v>
      </c>
      <c r="S72" s="43">
        <v>0.48508097203935541</v>
      </c>
      <c r="T72" s="43">
        <v>0</v>
      </c>
      <c r="U72" s="43">
        <v>1.2621458447183396</v>
      </c>
      <c r="V72" s="43" t="s">
        <v>626</v>
      </c>
      <c r="W72" s="43" t="s">
        <v>626</v>
      </c>
      <c r="X72" s="43" t="s">
        <v>626</v>
      </c>
      <c r="Y72" s="43" t="s">
        <v>626</v>
      </c>
      <c r="Z72" s="43">
        <v>0</v>
      </c>
      <c r="AA72" s="43">
        <v>0</v>
      </c>
      <c r="AB72" s="43">
        <v>0</v>
      </c>
      <c r="AC72" s="43">
        <v>0</v>
      </c>
      <c r="AD72" s="43">
        <v>0</v>
      </c>
      <c r="AE72" s="43">
        <v>0</v>
      </c>
      <c r="AF72" s="43">
        <v>0</v>
      </c>
      <c r="AG72" s="43">
        <v>0</v>
      </c>
      <c r="AH72" s="43">
        <v>0.20991471219681887</v>
      </c>
      <c r="AI72" s="43">
        <v>0.48508097203935541</v>
      </c>
      <c r="AJ72" s="43">
        <v>0</v>
      </c>
      <c r="AK72" s="43">
        <v>1.2621458447183396</v>
      </c>
      <c r="AL72" s="43">
        <v>1.957141528954514</v>
      </c>
      <c r="AM72" s="43">
        <v>1.4316665312696326</v>
      </c>
      <c r="AN72" s="43">
        <v>0.12620488621080203</v>
      </c>
      <c r="AO72" s="43">
        <v>0</v>
      </c>
      <c r="AP72" s="43">
        <v>0</v>
      </c>
      <c r="AQ72" s="43">
        <v>1.5578714174804347</v>
      </c>
      <c r="AR72" s="43">
        <v>0.20991471219681887</v>
      </c>
      <c r="AS72" s="335">
        <v>7.4214494123677879</v>
      </c>
      <c r="AT72" s="43">
        <v>1.4316665312696326</v>
      </c>
      <c r="AU72" s="43">
        <v>0.14938899515673079</v>
      </c>
      <c r="AV72" s="43">
        <v>0</v>
      </c>
      <c r="AW72" s="43">
        <v>0</v>
      </c>
      <c r="AX72" s="43">
        <v>1.5810555264263635</v>
      </c>
      <c r="AY72" s="43">
        <v>0.48508097203935541</v>
      </c>
      <c r="AZ72" s="335">
        <v>3.2593641424015494</v>
      </c>
      <c r="BA72" s="43">
        <v>1.4316665312696326</v>
      </c>
      <c r="BB72" s="43">
        <v>0.27559388136753282</v>
      </c>
      <c r="BC72" s="43">
        <v>0</v>
      </c>
      <c r="BD72" s="43">
        <v>0</v>
      </c>
      <c r="BE72" s="43">
        <v>1.7072604126371655</v>
      </c>
      <c r="BF72" s="43">
        <v>0.6949956842361743</v>
      </c>
      <c r="BG72" s="43">
        <v>10.851856598014727</v>
      </c>
      <c r="BH72" s="335">
        <v>2.4565050565939948</v>
      </c>
      <c r="BI72" s="43">
        <v>5.4314605683440043</v>
      </c>
      <c r="BJ72" s="43">
        <v>12.551279252953984</v>
      </c>
      <c r="BK72" s="43">
        <v>0</v>
      </c>
      <c r="BL72" s="43">
        <v>32.657527027735327</v>
      </c>
      <c r="BM72" s="43">
        <v>50.640266849033324</v>
      </c>
      <c r="BN72" s="43">
        <v>1.4316665312696326</v>
      </c>
      <c r="BO72" s="43">
        <v>0</v>
      </c>
      <c r="BP72" s="43">
        <v>0.27559388136753282</v>
      </c>
      <c r="BQ72" s="43">
        <v>0</v>
      </c>
      <c r="BR72" s="43">
        <v>0</v>
      </c>
      <c r="BS72" s="43">
        <v>0</v>
      </c>
      <c r="BT72" s="43">
        <v>0</v>
      </c>
      <c r="BU72" s="43">
        <v>0</v>
      </c>
      <c r="BV72" s="43">
        <v>0</v>
      </c>
      <c r="BW72" s="43">
        <v>0</v>
      </c>
      <c r="BX72" s="43">
        <v>1.957141528954514</v>
      </c>
      <c r="BY72" s="43"/>
      <c r="BZ72" s="43">
        <v>0</v>
      </c>
      <c r="CA72" s="43">
        <v>0</v>
      </c>
      <c r="CB72" s="43">
        <v>1.7072604126371655</v>
      </c>
      <c r="CC72" s="43">
        <v>1.957141528954514</v>
      </c>
      <c r="CD72" s="315">
        <v>0.87232343056414907</v>
      </c>
      <c r="CE72" s="43">
        <v>43.509383625750061</v>
      </c>
      <c r="CF72" s="43">
        <v>2.7016154782842198E-2</v>
      </c>
      <c r="CG72" s="43">
        <v>0</v>
      </c>
      <c r="CH72" s="43">
        <v>2.7016154782842198E-2</v>
      </c>
      <c r="CI72" s="43">
        <v>1.3507966376056666E-3</v>
      </c>
      <c r="CJ72" s="43">
        <v>0</v>
      </c>
      <c r="CK72" s="43">
        <v>1.3507966376056666E-3</v>
      </c>
      <c r="CL72" s="43"/>
      <c r="CM72" s="43">
        <v>0</v>
      </c>
      <c r="CN72" s="43"/>
      <c r="CO72" s="43">
        <v>0</v>
      </c>
      <c r="CP72" s="43">
        <v>0</v>
      </c>
      <c r="CQ72" s="43">
        <v>0</v>
      </c>
      <c r="CR72" s="43">
        <v>0</v>
      </c>
      <c r="CS72" s="43">
        <v>0</v>
      </c>
      <c r="CT72" s="43">
        <v>0</v>
      </c>
      <c r="CU72" s="43">
        <v>0</v>
      </c>
      <c r="CV72" s="43">
        <v>9999</v>
      </c>
      <c r="CW72" s="335">
        <v>9999</v>
      </c>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row>
    <row r="73" spans="1:131">
      <c r="A73" s="23" t="s">
        <v>442</v>
      </c>
      <c r="B73" s="23" t="s">
        <v>90</v>
      </c>
      <c r="C73" s="43">
        <v>10</v>
      </c>
      <c r="D73" s="43">
        <v>2.649404094436576</v>
      </c>
      <c r="E73" s="43">
        <v>0</v>
      </c>
      <c r="F73" s="43">
        <v>0.68354625636463662</v>
      </c>
      <c r="G73" s="43">
        <v>0</v>
      </c>
      <c r="H73" s="43">
        <v>0</v>
      </c>
      <c r="I73" s="43" t="s">
        <v>446</v>
      </c>
      <c r="J73" s="43"/>
      <c r="K73" s="43"/>
      <c r="L73" s="43">
        <v>2.8437823949592986</v>
      </c>
      <c r="M73" s="43">
        <v>3.5716832413139451E-4</v>
      </c>
      <c r="N73" s="43">
        <v>3.5459044333765533E-4</v>
      </c>
      <c r="O73" s="43">
        <v>0</v>
      </c>
      <c r="P73" s="43">
        <v>0</v>
      </c>
      <c r="Q73" s="43">
        <v>0</v>
      </c>
      <c r="R73" s="43">
        <v>0.13630825467325902</v>
      </c>
      <c r="S73" s="43">
        <v>0.31498764418139963</v>
      </c>
      <c r="T73" s="43">
        <v>0</v>
      </c>
      <c r="U73" s="43">
        <v>0.81957522384307779</v>
      </c>
      <c r="V73" s="43" t="s">
        <v>626</v>
      </c>
      <c r="W73" s="43" t="s">
        <v>626</v>
      </c>
      <c r="X73" s="43" t="s">
        <v>626</v>
      </c>
      <c r="Y73" s="43" t="s">
        <v>626</v>
      </c>
      <c r="Z73" s="43">
        <v>0</v>
      </c>
      <c r="AA73" s="43">
        <v>0</v>
      </c>
      <c r="AB73" s="43">
        <v>0</v>
      </c>
      <c r="AC73" s="43">
        <v>0</v>
      </c>
      <c r="AD73" s="43">
        <v>0</v>
      </c>
      <c r="AE73" s="43">
        <v>0</v>
      </c>
      <c r="AF73" s="43">
        <v>0</v>
      </c>
      <c r="AG73" s="43">
        <v>0</v>
      </c>
      <c r="AH73" s="43">
        <v>0.13630825467325902</v>
      </c>
      <c r="AI73" s="43">
        <v>0.31498764418139963</v>
      </c>
      <c r="AJ73" s="43">
        <v>0</v>
      </c>
      <c r="AK73" s="43">
        <v>0.81957522384307779</v>
      </c>
      <c r="AL73" s="43">
        <v>1.2708711226977365</v>
      </c>
      <c r="AM73" s="43">
        <v>1.4316665312696326</v>
      </c>
      <c r="AN73" s="43">
        <v>0.12620488621080203</v>
      </c>
      <c r="AO73" s="43">
        <v>0</v>
      </c>
      <c r="AP73" s="43">
        <v>0</v>
      </c>
      <c r="AQ73" s="43">
        <v>1.5578714174804347</v>
      </c>
      <c r="AR73" s="43">
        <v>0.13630825467325902</v>
      </c>
      <c r="AS73" s="335">
        <v>11.429032095046392</v>
      </c>
      <c r="AT73" s="43">
        <v>1.4316665312696326</v>
      </c>
      <c r="AU73" s="43">
        <v>0.14938899515673079</v>
      </c>
      <c r="AV73" s="43">
        <v>0</v>
      </c>
      <c r="AW73" s="43">
        <v>0</v>
      </c>
      <c r="AX73" s="43">
        <v>1.5810555264263635</v>
      </c>
      <c r="AY73" s="43">
        <v>0.31498764418139963</v>
      </c>
      <c r="AZ73" s="335">
        <v>5.0194207792983851</v>
      </c>
      <c r="BA73" s="43">
        <v>1.4316665312696326</v>
      </c>
      <c r="BB73" s="43">
        <v>0.27559388136753282</v>
      </c>
      <c r="BC73" s="43">
        <v>0</v>
      </c>
      <c r="BD73" s="43">
        <v>0</v>
      </c>
      <c r="BE73" s="43">
        <v>1.7072604126371655</v>
      </c>
      <c r="BF73" s="43">
        <v>0.45129589885465865</v>
      </c>
      <c r="BG73" s="43">
        <v>4.5462205567803666</v>
      </c>
      <c r="BH73" s="335">
        <v>3.7830177871547521</v>
      </c>
      <c r="BI73" s="43">
        <v>3.5269224469766267</v>
      </c>
      <c r="BJ73" s="43">
        <v>8.1501813330870032</v>
      </c>
      <c r="BK73" s="43">
        <v>0</v>
      </c>
      <c r="BL73" s="43">
        <v>21.206186381646322</v>
      </c>
      <c r="BM73" s="43">
        <v>32.883290161709958</v>
      </c>
      <c r="BN73" s="43">
        <v>1.4316665312696326</v>
      </c>
      <c r="BO73" s="43">
        <v>0</v>
      </c>
      <c r="BP73" s="43">
        <v>0.27559388136753282</v>
      </c>
      <c r="BQ73" s="43">
        <v>0</v>
      </c>
      <c r="BR73" s="43">
        <v>0</v>
      </c>
      <c r="BS73" s="43">
        <v>0</v>
      </c>
      <c r="BT73" s="43">
        <v>0</v>
      </c>
      <c r="BU73" s="43">
        <v>0</v>
      </c>
      <c r="BV73" s="43">
        <v>0</v>
      </c>
      <c r="BW73" s="43">
        <v>0</v>
      </c>
      <c r="BX73" s="43">
        <v>1.2708711226977365</v>
      </c>
      <c r="BY73" s="43"/>
      <c r="BZ73" s="43">
        <v>0</v>
      </c>
      <c r="CA73" s="43">
        <v>0</v>
      </c>
      <c r="CB73" s="43">
        <v>1.7072604126371655</v>
      </c>
      <c r="CC73" s="43">
        <v>1.2708711226977365</v>
      </c>
      <c r="CD73" s="335">
        <v>1.3433780830687894</v>
      </c>
      <c r="CE73" s="43">
        <v>25.752406938426688</v>
      </c>
      <c r="CF73" s="43">
        <v>2.7016154782842198E-2</v>
      </c>
      <c r="CG73" s="43">
        <v>0</v>
      </c>
      <c r="CH73" s="43">
        <v>2.7016154782842198E-2</v>
      </c>
      <c r="CI73" s="43">
        <v>1.3507966376056666E-3</v>
      </c>
      <c r="CJ73" s="43">
        <v>0</v>
      </c>
      <c r="CK73" s="43">
        <v>1.3507966376056666E-3</v>
      </c>
      <c r="CL73" s="43"/>
      <c r="CM73" s="43">
        <v>0</v>
      </c>
      <c r="CN73" s="43"/>
      <c r="CO73" s="43">
        <v>0</v>
      </c>
      <c r="CP73" s="43">
        <v>0</v>
      </c>
      <c r="CQ73" s="43">
        <v>0</v>
      </c>
      <c r="CR73" s="43">
        <v>0</v>
      </c>
      <c r="CS73" s="43">
        <v>0</v>
      </c>
      <c r="CT73" s="43">
        <v>0</v>
      </c>
      <c r="CU73" s="43">
        <v>0</v>
      </c>
      <c r="CV73" s="43">
        <v>9999</v>
      </c>
      <c r="CW73" s="335">
        <v>9999</v>
      </c>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row>
    <row r="74" spans="1:131">
      <c r="A74" s="23" t="s">
        <v>442</v>
      </c>
      <c r="B74" s="23" t="s">
        <v>91</v>
      </c>
      <c r="C74" s="43">
        <v>10</v>
      </c>
      <c r="D74" s="43">
        <v>2.649404094436576</v>
      </c>
      <c r="E74" s="43">
        <v>0</v>
      </c>
      <c r="F74" s="43">
        <v>1.2577251117109312</v>
      </c>
      <c r="G74" s="43">
        <v>0</v>
      </c>
      <c r="H74" s="43">
        <v>0</v>
      </c>
      <c r="I74" s="43" t="s">
        <v>446</v>
      </c>
      <c r="J74" s="43"/>
      <c r="K74" s="43"/>
      <c r="L74" s="43">
        <v>2.8437823949592986</v>
      </c>
      <c r="M74" s="43">
        <v>3.5716832413139451E-4</v>
      </c>
      <c r="N74" s="43">
        <v>3.5459044333765533E-4</v>
      </c>
      <c r="O74" s="43">
        <v>0</v>
      </c>
      <c r="P74" s="43">
        <v>0</v>
      </c>
      <c r="Q74" s="43">
        <v>0</v>
      </c>
      <c r="R74" s="43">
        <v>0.25080718859879653</v>
      </c>
      <c r="S74" s="43">
        <v>0.57957726529377529</v>
      </c>
      <c r="T74" s="43">
        <v>0</v>
      </c>
      <c r="U74" s="43">
        <v>1.5080184118712627</v>
      </c>
      <c r="V74" s="43" t="s">
        <v>626</v>
      </c>
      <c r="W74" s="43" t="s">
        <v>626</v>
      </c>
      <c r="X74" s="43" t="s">
        <v>626</v>
      </c>
      <c r="Y74" s="43" t="s">
        <v>626</v>
      </c>
      <c r="Z74" s="43">
        <v>0</v>
      </c>
      <c r="AA74" s="43">
        <v>0</v>
      </c>
      <c r="AB74" s="43">
        <v>0</v>
      </c>
      <c r="AC74" s="43">
        <v>0</v>
      </c>
      <c r="AD74" s="43">
        <v>0</v>
      </c>
      <c r="AE74" s="43">
        <v>0</v>
      </c>
      <c r="AF74" s="43">
        <v>0</v>
      </c>
      <c r="AG74" s="43">
        <v>0</v>
      </c>
      <c r="AH74" s="43">
        <v>0.25080718859879653</v>
      </c>
      <c r="AI74" s="43">
        <v>0.57957726529377529</v>
      </c>
      <c r="AJ74" s="43">
        <v>0</v>
      </c>
      <c r="AK74" s="43">
        <v>1.5080184118712627</v>
      </c>
      <c r="AL74" s="43">
        <v>2.3384028657638343</v>
      </c>
      <c r="AM74" s="43">
        <v>1.4316665312696326</v>
      </c>
      <c r="AN74" s="43">
        <v>0.12620488621080203</v>
      </c>
      <c r="AO74" s="43">
        <v>0</v>
      </c>
      <c r="AP74" s="43">
        <v>0</v>
      </c>
      <c r="AQ74" s="43">
        <v>1.5578714174804347</v>
      </c>
      <c r="AR74" s="43">
        <v>0.25080718859879653</v>
      </c>
      <c r="AS74" s="335">
        <v>6.2114304864382586</v>
      </c>
      <c r="AT74" s="43">
        <v>1.4316665312696326</v>
      </c>
      <c r="AU74" s="43">
        <v>0.14938899515673079</v>
      </c>
      <c r="AV74" s="43">
        <v>0</v>
      </c>
      <c r="AW74" s="43">
        <v>0</v>
      </c>
      <c r="AX74" s="43">
        <v>1.5810555264263635</v>
      </c>
      <c r="AY74" s="43">
        <v>0.57957726529377529</v>
      </c>
      <c r="AZ74" s="335">
        <v>2.7279460757056446</v>
      </c>
      <c r="BA74" s="43">
        <v>1.4316665312696326</v>
      </c>
      <c r="BB74" s="43">
        <v>0.27559388136753282</v>
      </c>
      <c r="BC74" s="43">
        <v>0</v>
      </c>
      <c r="BD74" s="43">
        <v>0</v>
      </c>
      <c r="BE74" s="43">
        <v>1.7072604126371655</v>
      </c>
      <c r="BF74" s="43">
        <v>0.83038445389257176</v>
      </c>
      <c r="BG74" s="43">
        <v>14.354987732033809</v>
      </c>
      <c r="BH74" s="335">
        <v>2.0559879278014961</v>
      </c>
      <c r="BI74" s="43">
        <v>6.4895373024369905</v>
      </c>
      <c r="BJ74" s="43">
        <v>14.996333652880086</v>
      </c>
      <c r="BK74" s="43">
        <v>0</v>
      </c>
      <c r="BL74" s="43">
        <v>39.019382942229228</v>
      </c>
      <c r="BM74" s="43">
        <v>60.505253897546289</v>
      </c>
      <c r="BN74" s="43">
        <v>1.4316665312696326</v>
      </c>
      <c r="BO74" s="43">
        <v>0</v>
      </c>
      <c r="BP74" s="43">
        <v>0.27559388136753282</v>
      </c>
      <c r="BQ74" s="43">
        <v>0</v>
      </c>
      <c r="BR74" s="43">
        <v>0</v>
      </c>
      <c r="BS74" s="43">
        <v>0</v>
      </c>
      <c r="BT74" s="43">
        <v>0</v>
      </c>
      <c r="BU74" s="43">
        <v>0</v>
      </c>
      <c r="BV74" s="43">
        <v>0</v>
      </c>
      <c r="BW74" s="43">
        <v>0</v>
      </c>
      <c r="BX74" s="43">
        <v>2.3384028657638343</v>
      </c>
      <c r="BY74" s="43"/>
      <c r="BZ74" s="43">
        <v>0</v>
      </c>
      <c r="CA74" s="43">
        <v>0</v>
      </c>
      <c r="CB74" s="43">
        <v>1.7072604126371655</v>
      </c>
      <c r="CC74" s="43">
        <v>2.3384028657638343</v>
      </c>
      <c r="CD74" s="315">
        <v>0.73009678427651625</v>
      </c>
      <c r="CE74" s="43">
        <v>53.374370674263027</v>
      </c>
      <c r="CF74" s="43">
        <v>2.7016154782842198E-2</v>
      </c>
      <c r="CG74" s="43">
        <v>0</v>
      </c>
      <c r="CH74" s="43">
        <v>2.7016154782842198E-2</v>
      </c>
      <c r="CI74" s="43">
        <v>1.3507966376056666E-3</v>
      </c>
      <c r="CJ74" s="43">
        <v>0</v>
      </c>
      <c r="CK74" s="43">
        <v>1.3507966376056666E-3</v>
      </c>
      <c r="CL74" s="43"/>
      <c r="CM74" s="43">
        <v>0</v>
      </c>
      <c r="CN74" s="43"/>
      <c r="CO74" s="43">
        <v>0</v>
      </c>
      <c r="CP74" s="43">
        <v>0</v>
      </c>
      <c r="CQ74" s="43">
        <v>0</v>
      </c>
      <c r="CR74" s="43">
        <v>0</v>
      </c>
      <c r="CS74" s="43">
        <v>0</v>
      </c>
      <c r="CT74" s="43">
        <v>0</v>
      </c>
      <c r="CU74" s="43">
        <v>0</v>
      </c>
      <c r="CV74" s="43">
        <v>9999</v>
      </c>
      <c r="CW74" s="335">
        <v>9999</v>
      </c>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row>
    <row r="75" spans="1:131">
      <c r="A75" s="23" t="s">
        <v>442</v>
      </c>
      <c r="B75" s="23" t="s">
        <v>92</v>
      </c>
      <c r="C75" s="43">
        <v>10</v>
      </c>
      <c r="D75" s="43">
        <v>2.649404094436576</v>
      </c>
      <c r="E75" s="43">
        <v>0</v>
      </c>
      <c r="F75" s="43">
        <v>0.95696475891049126</v>
      </c>
      <c r="G75" s="43">
        <v>0</v>
      </c>
      <c r="H75" s="43">
        <v>0</v>
      </c>
      <c r="I75" s="43" t="s">
        <v>446</v>
      </c>
      <c r="J75" s="43"/>
      <c r="K75" s="43"/>
      <c r="L75" s="43">
        <v>2.8437823949592986</v>
      </c>
      <c r="M75" s="43">
        <v>3.5716832413139451E-4</v>
      </c>
      <c r="N75" s="43">
        <v>3.5459044333765533E-4</v>
      </c>
      <c r="O75" s="43">
        <v>0</v>
      </c>
      <c r="P75" s="43">
        <v>0</v>
      </c>
      <c r="Q75" s="43">
        <v>0</v>
      </c>
      <c r="R75" s="43">
        <v>0.19083155654256262</v>
      </c>
      <c r="S75" s="43">
        <v>0.44098270185395949</v>
      </c>
      <c r="T75" s="43">
        <v>0</v>
      </c>
      <c r="U75" s="43">
        <v>1.1474053133803088</v>
      </c>
      <c r="V75" s="43" t="s">
        <v>626</v>
      </c>
      <c r="W75" s="43" t="s">
        <v>626</v>
      </c>
      <c r="X75" s="43" t="s">
        <v>626</v>
      </c>
      <c r="Y75" s="43" t="s">
        <v>626</v>
      </c>
      <c r="Z75" s="43">
        <v>0</v>
      </c>
      <c r="AA75" s="43">
        <v>0</v>
      </c>
      <c r="AB75" s="43">
        <v>0</v>
      </c>
      <c r="AC75" s="43">
        <v>0</v>
      </c>
      <c r="AD75" s="43">
        <v>0</v>
      </c>
      <c r="AE75" s="43">
        <v>0</v>
      </c>
      <c r="AF75" s="43">
        <v>0</v>
      </c>
      <c r="AG75" s="43">
        <v>0</v>
      </c>
      <c r="AH75" s="43">
        <v>0.19083155654256262</v>
      </c>
      <c r="AI75" s="43">
        <v>0.44098270185395949</v>
      </c>
      <c r="AJ75" s="43">
        <v>0</v>
      </c>
      <c r="AK75" s="43">
        <v>1.1474053133803088</v>
      </c>
      <c r="AL75" s="43">
        <v>1.7792195717768309</v>
      </c>
      <c r="AM75" s="43">
        <v>1.4316665312696326</v>
      </c>
      <c r="AN75" s="43">
        <v>0.12620488621080203</v>
      </c>
      <c r="AO75" s="43">
        <v>0</v>
      </c>
      <c r="AP75" s="43">
        <v>0</v>
      </c>
      <c r="AQ75" s="43">
        <v>1.5578714174804347</v>
      </c>
      <c r="AR75" s="43">
        <v>0.19083155654256262</v>
      </c>
      <c r="AS75" s="335">
        <v>8.1635943536045659</v>
      </c>
      <c r="AT75" s="43">
        <v>1.4316665312696326</v>
      </c>
      <c r="AU75" s="43">
        <v>0.14938899515673079</v>
      </c>
      <c r="AV75" s="43">
        <v>0</v>
      </c>
      <c r="AW75" s="43">
        <v>0</v>
      </c>
      <c r="AX75" s="43">
        <v>1.5810555264263635</v>
      </c>
      <c r="AY75" s="43">
        <v>0.44098270185395949</v>
      </c>
      <c r="AZ75" s="335">
        <v>3.585300556641704</v>
      </c>
      <c r="BA75" s="43">
        <v>1.4316665312696326</v>
      </c>
      <c r="BB75" s="43">
        <v>0.27559388136753282</v>
      </c>
      <c r="BC75" s="43">
        <v>0</v>
      </c>
      <c r="BD75" s="43">
        <v>0</v>
      </c>
      <c r="BE75" s="43">
        <v>1.7072604126371655</v>
      </c>
      <c r="BF75" s="43">
        <v>0.63181425839652205</v>
      </c>
      <c r="BG75" s="43">
        <v>9.2170620688058147</v>
      </c>
      <c r="BH75" s="335">
        <v>2.7021555622533944</v>
      </c>
      <c r="BI75" s="43">
        <v>4.9376914257672766</v>
      </c>
      <c r="BJ75" s="43">
        <v>11.410253866321804</v>
      </c>
      <c r="BK75" s="43">
        <v>0</v>
      </c>
      <c r="BL75" s="43">
        <v>29.688660934304849</v>
      </c>
      <c r="BM75" s="43">
        <v>46.036606226393928</v>
      </c>
      <c r="BN75" s="43">
        <v>1.4316665312696326</v>
      </c>
      <c r="BO75" s="43">
        <v>0</v>
      </c>
      <c r="BP75" s="43">
        <v>0.27559388136753282</v>
      </c>
      <c r="BQ75" s="43">
        <v>0</v>
      </c>
      <c r="BR75" s="43">
        <v>0</v>
      </c>
      <c r="BS75" s="43">
        <v>0</v>
      </c>
      <c r="BT75" s="43">
        <v>0</v>
      </c>
      <c r="BU75" s="43">
        <v>0</v>
      </c>
      <c r="BV75" s="43">
        <v>0</v>
      </c>
      <c r="BW75" s="43">
        <v>0</v>
      </c>
      <c r="BX75" s="43">
        <v>1.7792195717768309</v>
      </c>
      <c r="BY75" s="43"/>
      <c r="BZ75" s="43">
        <v>0</v>
      </c>
      <c r="CA75" s="43">
        <v>0</v>
      </c>
      <c r="CB75" s="43">
        <v>1.7072604126371655</v>
      </c>
      <c r="CC75" s="43">
        <v>1.7792195717768309</v>
      </c>
      <c r="CD75" s="315">
        <v>0.95955577362056399</v>
      </c>
      <c r="CE75" s="43">
        <v>38.905723003110666</v>
      </c>
      <c r="CF75" s="43">
        <v>2.7016154782842198E-2</v>
      </c>
      <c r="CG75" s="43">
        <v>0</v>
      </c>
      <c r="CH75" s="43">
        <v>2.7016154782842198E-2</v>
      </c>
      <c r="CI75" s="43">
        <v>1.3507966376056666E-3</v>
      </c>
      <c r="CJ75" s="43">
        <v>0</v>
      </c>
      <c r="CK75" s="43">
        <v>1.3507966376056666E-3</v>
      </c>
      <c r="CL75" s="43"/>
      <c r="CM75" s="43">
        <v>0</v>
      </c>
      <c r="CN75" s="43"/>
      <c r="CO75" s="43">
        <v>0</v>
      </c>
      <c r="CP75" s="43">
        <v>0</v>
      </c>
      <c r="CQ75" s="43">
        <v>0</v>
      </c>
      <c r="CR75" s="43">
        <v>0</v>
      </c>
      <c r="CS75" s="43">
        <v>0</v>
      </c>
      <c r="CT75" s="43">
        <v>0</v>
      </c>
      <c r="CU75" s="43">
        <v>0</v>
      </c>
      <c r="CV75" s="43">
        <v>9999</v>
      </c>
      <c r="CW75" s="335">
        <v>9999</v>
      </c>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row>
    <row r="76" spans="1:131">
      <c r="A76" s="23" t="s">
        <v>444</v>
      </c>
      <c r="B76" s="23" t="s">
        <v>95</v>
      </c>
      <c r="C76" s="43">
        <v>5</v>
      </c>
      <c r="D76" s="43">
        <v>12.859961600951934</v>
      </c>
      <c r="E76" s="43">
        <v>0</v>
      </c>
      <c r="F76" s="43">
        <v>3.3178700930455993</v>
      </c>
      <c r="G76" s="43">
        <v>0</v>
      </c>
      <c r="H76" s="43">
        <v>0</v>
      </c>
      <c r="I76" s="43" t="s">
        <v>446</v>
      </c>
      <c r="J76" s="43"/>
      <c r="K76" s="43"/>
      <c r="L76" s="43">
        <v>13.803455832741477</v>
      </c>
      <c r="M76" s="43">
        <v>1.733661898934626E-3</v>
      </c>
      <c r="N76" s="43">
        <v>1.7211491047976607E-3</v>
      </c>
      <c r="O76" s="43">
        <v>0</v>
      </c>
      <c r="P76" s="43">
        <v>0</v>
      </c>
      <c r="Q76" s="43">
        <v>0</v>
      </c>
      <c r="R76" s="43">
        <v>0.66162761832813766</v>
      </c>
      <c r="S76" s="43">
        <v>1.5289207929636499</v>
      </c>
      <c r="T76" s="43">
        <v>0</v>
      </c>
      <c r="U76" s="43">
        <v>9.3202396822674167</v>
      </c>
      <c r="V76" s="43" t="s">
        <v>626</v>
      </c>
      <c r="W76" s="43" t="s">
        <v>626</v>
      </c>
      <c r="X76" s="43" t="s">
        <v>626</v>
      </c>
      <c r="Y76" s="43" t="s">
        <v>626</v>
      </c>
      <c r="Z76" s="43">
        <v>0</v>
      </c>
      <c r="AA76" s="43">
        <v>0</v>
      </c>
      <c r="AB76" s="43">
        <v>0</v>
      </c>
      <c r="AC76" s="43">
        <v>0</v>
      </c>
      <c r="AD76" s="43">
        <v>0</v>
      </c>
      <c r="AE76" s="43">
        <v>0</v>
      </c>
      <c r="AF76" s="43">
        <v>0</v>
      </c>
      <c r="AG76" s="43">
        <v>0</v>
      </c>
      <c r="AH76" s="43">
        <v>0.66162761832813766</v>
      </c>
      <c r="AI76" s="43">
        <v>1.5289207929636499</v>
      </c>
      <c r="AJ76" s="43">
        <v>0</v>
      </c>
      <c r="AK76" s="43">
        <v>9.3202396822674167</v>
      </c>
      <c r="AL76" s="43">
        <v>11.510788093559205</v>
      </c>
      <c r="AM76" s="43">
        <v>6.9491764794040876</v>
      </c>
      <c r="AN76" s="43">
        <v>0.61258680543730681</v>
      </c>
      <c r="AO76" s="43">
        <v>0</v>
      </c>
      <c r="AP76" s="43">
        <v>0</v>
      </c>
      <c r="AQ76" s="43">
        <v>7.561763284841394</v>
      </c>
      <c r="AR76" s="43">
        <v>0.66162761832813766</v>
      </c>
      <c r="AS76" s="335">
        <v>11.429032095046399</v>
      </c>
      <c r="AT76" s="43">
        <v>6.9491764794040876</v>
      </c>
      <c r="AU76" s="43">
        <v>0.72512031869902471</v>
      </c>
      <c r="AV76" s="43">
        <v>0</v>
      </c>
      <c r="AW76" s="43">
        <v>0</v>
      </c>
      <c r="AX76" s="43">
        <v>7.6742967981031125</v>
      </c>
      <c r="AY76" s="43">
        <v>1.5289207929636499</v>
      </c>
      <c r="AZ76" s="335">
        <v>5.0194207792983878</v>
      </c>
      <c r="BA76" s="43">
        <v>6.9491764794040876</v>
      </c>
      <c r="BB76" s="43">
        <v>1.3377071241363314</v>
      </c>
      <c r="BC76" s="43">
        <v>0</v>
      </c>
      <c r="BD76" s="43">
        <v>0</v>
      </c>
      <c r="BE76" s="43">
        <v>8.286883603540419</v>
      </c>
      <c r="BF76" s="43">
        <v>2.1905484112917875</v>
      </c>
      <c r="BG76" s="43">
        <v>4.5462205567803737</v>
      </c>
      <c r="BH76" s="335">
        <v>3.7830177871547535</v>
      </c>
      <c r="BI76" s="43">
        <v>3.5269224469766267</v>
      </c>
      <c r="BJ76" s="43">
        <v>8.150181333087005</v>
      </c>
      <c r="BK76" s="43">
        <v>0</v>
      </c>
      <c r="BL76" s="43">
        <v>49.68317772110948</v>
      </c>
      <c r="BM76" s="43">
        <v>61.360281501173112</v>
      </c>
      <c r="BN76" s="43">
        <v>6.9491764794040876</v>
      </c>
      <c r="BO76" s="43">
        <v>0</v>
      </c>
      <c r="BP76" s="43">
        <v>1.3377071241363314</v>
      </c>
      <c r="BQ76" s="43">
        <v>0</v>
      </c>
      <c r="BR76" s="43">
        <v>0</v>
      </c>
      <c r="BS76" s="43">
        <v>0</v>
      </c>
      <c r="BT76" s="43">
        <v>0</v>
      </c>
      <c r="BU76" s="43">
        <v>0</v>
      </c>
      <c r="BV76" s="43">
        <v>0</v>
      </c>
      <c r="BW76" s="43">
        <v>0</v>
      </c>
      <c r="BX76" s="43">
        <v>11.510788093559205</v>
      </c>
      <c r="BY76" s="43"/>
      <c r="BZ76" s="43">
        <v>0</v>
      </c>
      <c r="CA76" s="43">
        <v>0</v>
      </c>
      <c r="CB76" s="43">
        <v>8.286883603540419</v>
      </c>
      <c r="CC76" s="43">
        <v>11.510788093559205</v>
      </c>
      <c r="CD76" s="315">
        <v>0.7199232177836109</v>
      </c>
      <c r="CE76" s="43">
        <v>54.229398277889857</v>
      </c>
      <c r="CF76" s="43">
        <v>0.13113390812759668</v>
      </c>
      <c r="CG76" s="43">
        <v>0</v>
      </c>
      <c r="CH76" s="43">
        <v>0.13113390812759668</v>
      </c>
      <c r="CI76" s="43">
        <v>6.5566415205521996E-3</v>
      </c>
      <c r="CJ76" s="43">
        <v>0</v>
      </c>
      <c r="CK76" s="43">
        <v>6.5566415205521996E-3</v>
      </c>
      <c r="CL76" s="43"/>
      <c r="CM76" s="43">
        <v>0</v>
      </c>
      <c r="CN76" s="43"/>
      <c r="CO76" s="43">
        <v>0</v>
      </c>
      <c r="CP76" s="43">
        <v>0</v>
      </c>
      <c r="CQ76" s="43">
        <v>0</v>
      </c>
      <c r="CR76" s="43">
        <v>0</v>
      </c>
      <c r="CS76" s="43">
        <v>0</v>
      </c>
      <c r="CT76" s="43">
        <v>0</v>
      </c>
      <c r="CU76" s="43">
        <v>0</v>
      </c>
      <c r="CV76" s="43">
        <v>9999</v>
      </c>
      <c r="CW76" s="335">
        <v>9999</v>
      </c>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row>
    <row r="77" spans="1:131">
      <c r="A77" s="23" t="s">
        <v>444</v>
      </c>
      <c r="B77" s="23" t="s">
        <v>81</v>
      </c>
      <c r="C77" s="43">
        <v>5</v>
      </c>
      <c r="D77" s="43">
        <v>21.962753280526037</v>
      </c>
      <c r="E77" s="43">
        <v>0</v>
      </c>
      <c r="F77" s="43">
        <v>0</v>
      </c>
      <c r="G77" s="43">
        <v>0</v>
      </c>
      <c r="H77" s="43">
        <v>0</v>
      </c>
      <c r="I77" s="43" t="s">
        <v>446</v>
      </c>
      <c r="J77" s="43"/>
      <c r="K77" s="43"/>
      <c r="L77" s="43">
        <v>23.574090209623812</v>
      </c>
      <c r="M77" s="43">
        <v>2.9608166602403353E-3</v>
      </c>
      <c r="N77" s="43">
        <v>2.9394468133459371E-3</v>
      </c>
      <c r="O77" s="43">
        <v>0</v>
      </c>
      <c r="P77" s="43">
        <v>0</v>
      </c>
      <c r="Q77" s="43">
        <v>0</v>
      </c>
      <c r="R77" s="43">
        <v>0</v>
      </c>
      <c r="S77" s="43">
        <v>0</v>
      </c>
      <c r="T77" s="43">
        <v>0</v>
      </c>
      <c r="U77" s="43">
        <v>0</v>
      </c>
      <c r="V77" s="43" t="s">
        <v>626</v>
      </c>
      <c r="W77" s="43" t="s">
        <v>626</v>
      </c>
      <c r="X77" s="43" t="s">
        <v>626</v>
      </c>
      <c r="Y77" s="43" t="s">
        <v>626</v>
      </c>
      <c r="Z77" s="43">
        <v>0</v>
      </c>
      <c r="AA77" s="43">
        <v>0</v>
      </c>
      <c r="AB77" s="43">
        <v>0</v>
      </c>
      <c r="AC77" s="43">
        <v>0</v>
      </c>
      <c r="AD77" s="43">
        <v>0</v>
      </c>
      <c r="AE77" s="43">
        <v>0</v>
      </c>
      <c r="AF77" s="43">
        <v>0</v>
      </c>
      <c r="AG77" s="43">
        <v>0</v>
      </c>
      <c r="AH77" s="43">
        <v>0</v>
      </c>
      <c r="AI77" s="43">
        <v>0</v>
      </c>
      <c r="AJ77" s="43">
        <v>0</v>
      </c>
      <c r="AK77" s="43">
        <v>0</v>
      </c>
      <c r="AL77" s="43">
        <v>0</v>
      </c>
      <c r="AM77" s="43">
        <v>11.868079645641314</v>
      </c>
      <c r="AN77" s="43">
        <v>1.0462000811673702</v>
      </c>
      <c r="AO77" s="43">
        <v>0</v>
      </c>
      <c r="AP77" s="43">
        <v>0</v>
      </c>
      <c r="AQ77" s="43">
        <v>12.914279726808685</v>
      </c>
      <c r="AR77" s="43">
        <v>0</v>
      </c>
      <c r="AS77" s="335">
        <v>9999</v>
      </c>
      <c r="AT77" s="43">
        <v>11.868079645641314</v>
      </c>
      <c r="AU77" s="43">
        <v>1.2383892854784446</v>
      </c>
      <c r="AV77" s="43">
        <v>0</v>
      </c>
      <c r="AW77" s="43">
        <v>0</v>
      </c>
      <c r="AX77" s="43">
        <v>13.106468931119759</v>
      </c>
      <c r="AY77" s="43">
        <v>0</v>
      </c>
      <c r="AZ77" s="335">
        <v>9999</v>
      </c>
      <c r="BA77" s="43">
        <v>11.868079645641314</v>
      </c>
      <c r="BB77" s="43">
        <v>2.2845893666458146</v>
      </c>
      <c r="BC77" s="43">
        <v>0</v>
      </c>
      <c r="BD77" s="43">
        <v>0</v>
      </c>
      <c r="BE77" s="43">
        <v>14.152669012287129</v>
      </c>
      <c r="BF77" s="43">
        <v>0</v>
      </c>
      <c r="BG77" s="43">
        <v>-7.130883223283262</v>
      </c>
      <c r="BH77" s="335">
        <v>9999</v>
      </c>
      <c r="BI77" s="43">
        <v>0</v>
      </c>
      <c r="BJ77" s="43">
        <v>0</v>
      </c>
      <c r="BK77" s="43">
        <v>0</v>
      </c>
      <c r="BL77" s="43">
        <v>0</v>
      </c>
      <c r="BM77" s="43">
        <v>0</v>
      </c>
      <c r="BN77" s="43">
        <v>11.868079645641314</v>
      </c>
      <c r="BO77" s="43">
        <v>0</v>
      </c>
      <c r="BP77" s="43">
        <v>2.2845893666458146</v>
      </c>
      <c r="BQ77" s="43">
        <v>0</v>
      </c>
      <c r="BR77" s="43">
        <v>0</v>
      </c>
      <c r="BS77" s="43">
        <v>0</v>
      </c>
      <c r="BT77" s="43">
        <v>0</v>
      </c>
      <c r="BU77" s="43">
        <v>0</v>
      </c>
      <c r="BV77" s="43">
        <v>0</v>
      </c>
      <c r="BW77" s="43">
        <v>0</v>
      </c>
      <c r="BX77" s="43">
        <v>0</v>
      </c>
      <c r="BY77" s="43"/>
      <c r="BZ77" s="43">
        <v>0</v>
      </c>
      <c r="CA77" s="43">
        <v>0</v>
      </c>
      <c r="CB77" s="43">
        <v>14.152669012287129</v>
      </c>
      <c r="CC77" s="43">
        <v>0</v>
      </c>
      <c r="CD77" s="335">
        <v>9999</v>
      </c>
      <c r="CE77" s="43">
        <v>-7.130883223283262</v>
      </c>
      <c r="CF77" s="43">
        <v>0.2239556975585669</v>
      </c>
      <c r="CG77" s="43">
        <v>0</v>
      </c>
      <c r="CH77" s="43">
        <v>0.2239556975585669</v>
      </c>
      <c r="CI77" s="43">
        <v>1.1197692849571308E-2</v>
      </c>
      <c r="CJ77" s="43">
        <v>0</v>
      </c>
      <c r="CK77" s="43">
        <v>1.1197692849571308E-2</v>
      </c>
      <c r="CL77" s="43"/>
      <c r="CM77" s="43">
        <v>0</v>
      </c>
      <c r="CN77" s="43"/>
      <c r="CO77" s="43">
        <v>0</v>
      </c>
      <c r="CP77" s="43">
        <v>0</v>
      </c>
      <c r="CQ77" s="43">
        <v>0</v>
      </c>
      <c r="CR77" s="43">
        <v>0</v>
      </c>
      <c r="CS77" s="43">
        <v>0</v>
      </c>
      <c r="CT77" s="43">
        <v>0</v>
      </c>
      <c r="CU77" s="43">
        <v>0</v>
      </c>
      <c r="CV77" s="43">
        <v>9999</v>
      </c>
      <c r="CW77" s="335">
        <v>9999</v>
      </c>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row>
    <row r="78" spans="1:131">
      <c r="A78" s="23" t="s">
        <v>444</v>
      </c>
      <c r="B78" s="23" t="s">
        <v>96</v>
      </c>
      <c r="C78" s="43">
        <v>5</v>
      </c>
      <c r="D78" s="43">
        <v>2.0042042770896136</v>
      </c>
      <c r="E78" s="43">
        <v>0</v>
      </c>
      <c r="F78" s="43">
        <v>1.0962195713969349</v>
      </c>
      <c r="G78" s="43">
        <v>0</v>
      </c>
      <c r="H78" s="43">
        <v>0</v>
      </c>
      <c r="I78" s="43" t="s">
        <v>446</v>
      </c>
      <c r="J78" s="43"/>
      <c r="K78" s="43"/>
      <c r="L78" s="43">
        <v>2.151246331602592</v>
      </c>
      <c r="M78" s="43">
        <v>2.7018841118583726E-4</v>
      </c>
      <c r="N78" s="43">
        <v>2.682383123981557E-4</v>
      </c>
      <c r="O78" s="43">
        <v>0</v>
      </c>
      <c r="P78" s="43">
        <v>0</v>
      </c>
      <c r="Q78" s="43">
        <v>0</v>
      </c>
      <c r="R78" s="43">
        <v>0.21860082638807457</v>
      </c>
      <c r="S78" s="43">
        <v>0.5051532607848368</v>
      </c>
      <c r="T78" s="43">
        <v>0</v>
      </c>
      <c r="U78" s="43">
        <v>3.0793939676020563</v>
      </c>
      <c r="V78" s="43" t="s">
        <v>626</v>
      </c>
      <c r="W78" s="43" t="s">
        <v>626</v>
      </c>
      <c r="X78" s="43" t="s">
        <v>626</v>
      </c>
      <c r="Y78" s="43" t="s">
        <v>626</v>
      </c>
      <c r="Z78" s="43">
        <v>0</v>
      </c>
      <c r="AA78" s="43">
        <v>0</v>
      </c>
      <c r="AB78" s="43">
        <v>0</v>
      </c>
      <c r="AC78" s="43">
        <v>0</v>
      </c>
      <c r="AD78" s="43">
        <v>0</v>
      </c>
      <c r="AE78" s="43">
        <v>0</v>
      </c>
      <c r="AF78" s="43">
        <v>0</v>
      </c>
      <c r="AG78" s="43">
        <v>0</v>
      </c>
      <c r="AH78" s="43">
        <v>0.21860082638807457</v>
      </c>
      <c r="AI78" s="43">
        <v>0.5051532607848368</v>
      </c>
      <c r="AJ78" s="43">
        <v>0</v>
      </c>
      <c r="AK78" s="43">
        <v>3.0793939676020563</v>
      </c>
      <c r="AL78" s="43">
        <v>3.8031480547749679</v>
      </c>
      <c r="AM78" s="43">
        <v>1.0830179478328483</v>
      </c>
      <c r="AN78" s="43">
        <v>9.5470665748739997E-2</v>
      </c>
      <c r="AO78" s="43">
        <v>0</v>
      </c>
      <c r="AP78" s="43">
        <v>0</v>
      </c>
      <c r="AQ78" s="43">
        <v>1.1784886135815884</v>
      </c>
      <c r="AR78" s="43">
        <v>0.21860082638807457</v>
      </c>
      <c r="AS78" s="335">
        <v>5.3910528750218809</v>
      </c>
      <c r="AT78" s="43">
        <v>1.0830179478328483</v>
      </c>
      <c r="AU78" s="43">
        <v>0.11300883231514412</v>
      </c>
      <c r="AV78" s="43">
        <v>0</v>
      </c>
      <c r="AW78" s="43">
        <v>0</v>
      </c>
      <c r="AX78" s="43">
        <v>1.1960267801479925</v>
      </c>
      <c r="AY78" s="43">
        <v>0.5051532607848368</v>
      </c>
      <c r="AZ78" s="335">
        <v>2.3676513109898027</v>
      </c>
      <c r="BA78" s="43">
        <v>1.0830179478328483</v>
      </c>
      <c r="BB78" s="43">
        <v>0.20847949806388411</v>
      </c>
      <c r="BC78" s="43">
        <v>0</v>
      </c>
      <c r="BD78" s="43">
        <v>0</v>
      </c>
      <c r="BE78" s="43">
        <v>1.2914974458967325</v>
      </c>
      <c r="BF78" s="43">
        <v>0.72375408717291134</v>
      </c>
      <c r="BG78" s="43">
        <v>17.624576790451627</v>
      </c>
      <c r="BH78" s="335">
        <v>1.7844423524314859</v>
      </c>
      <c r="BI78" s="43">
        <v>7.4770755875904467</v>
      </c>
      <c r="BJ78" s="43">
        <v>17.278384426144445</v>
      </c>
      <c r="BK78" s="43">
        <v>0</v>
      </c>
      <c r="BL78" s="43">
        <v>105.32833676875207</v>
      </c>
      <c r="BM78" s="43">
        <v>130.08379678248696</v>
      </c>
      <c r="BN78" s="43">
        <v>1.0830179478328483</v>
      </c>
      <c r="BO78" s="43">
        <v>0</v>
      </c>
      <c r="BP78" s="43">
        <v>0.20847949806388411</v>
      </c>
      <c r="BQ78" s="43">
        <v>0</v>
      </c>
      <c r="BR78" s="43">
        <v>0</v>
      </c>
      <c r="BS78" s="43">
        <v>0</v>
      </c>
      <c r="BT78" s="43">
        <v>0</v>
      </c>
      <c r="BU78" s="43">
        <v>0</v>
      </c>
      <c r="BV78" s="43">
        <v>0</v>
      </c>
      <c r="BW78" s="43">
        <v>0</v>
      </c>
      <c r="BX78" s="43">
        <v>3.8031480547749679</v>
      </c>
      <c r="BY78" s="43"/>
      <c r="BZ78" s="43">
        <v>0</v>
      </c>
      <c r="CA78" s="43">
        <v>0</v>
      </c>
      <c r="CB78" s="43">
        <v>1.2914974458967325</v>
      </c>
      <c r="CC78" s="43">
        <v>3.8031480547749679</v>
      </c>
      <c r="CD78" s="315">
        <v>0.33958642348283502</v>
      </c>
      <c r="CE78" s="43">
        <v>122.95291355920371</v>
      </c>
      <c r="CF78" s="43">
        <v>2.0437008110611395E-2</v>
      </c>
      <c r="CG78" s="43">
        <v>0</v>
      </c>
      <c r="CH78" s="43">
        <v>2.0437008110611395E-2</v>
      </c>
      <c r="CI78" s="43">
        <v>1.021842007511231E-3</v>
      </c>
      <c r="CJ78" s="43">
        <v>0</v>
      </c>
      <c r="CK78" s="43">
        <v>1.021842007511231E-3</v>
      </c>
      <c r="CL78" s="43"/>
      <c r="CM78" s="43">
        <v>0</v>
      </c>
      <c r="CN78" s="43"/>
      <c r="CO78" s="43">
        <v>0</v>
      </c>
      <c r="CP78" s="43">
        <v>0</v>
      </c>
      <c r="CQ78" s="43">
        <v>0</v>
      </c>
      <c r="CR78" s="43">
        <v>0</v>
      </c>
      <c r="CS78" s="43">
        <v>0</v>
      </c>
      <c r="CT78" s="43">
        <v>0</v>
      </c>
      <c r="CU78" s="43">
        <v>0</v>
      </c>
      <c r="CV78" s="43">
        <v>9999</v>
      </c>
      <c r="CW78" s="335">
        <v>9999</v>
      </c>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row>
    <row r="79" spans="1:131">
      <c r="A79" s="23" t="s">
        <v>444</v>
      </c>
      <c r="B79" s="23" t="s">
        <v>97</v>
      </c>
      <c r="C79" s="43">
        <v>10</v>
      </c>
      <c r="D79" s="43">
        <v>11.996828965895331</v>
      </c>
      <c r="E79" s="43">
        <v>0</v>
      </c>
      <c r="F79" s="43">
        <v>1.857109123920597</v>
      </c>
      <c r="G79" s="43">
        <v>0</v>
      </c>
      <c r="H79" s="43">
        <v>0</v>
      </c>
      <c r="I79" s="43" t="s">
        <v>446</v>
      </c>
      <c r="J79" s="43"/>
      <c r="K79" s="43"/>
      <c r="L79" s="43">
        <v>12.876997918207762</v>
      </c>
      <c r="M79" s="43">
        <v>1.6173022853091927E-3</v>
      </c>
      <c r="N79" s="43">
        <v>1.6056293226826542E-3</v>
      </c>
      <c r="O79" s="43">
        <v>0</v>
      </c>
      <c r="P79" s="43">
        <v>0</v>
      </c>
      <c r="Q79" s="43">
        <v>0</v>
      </c>
      <c r="R79" s="43">
        <v>0.37033236750603304</v>
      </c>
      <c r="S79" s="43">
        <v>0.85578177407131095</v>
      </c>
      <c r="T79" s="43">
        <v>0</v>
      </c>
      <c r="U79" s="43">
        <v>2.226682703278994</v>
      </c>
      <c r="V79" s="43" t="s">
        <v>626</v>
      </c>
      <c r="W79" s="43" t="s">
        <v>626</v>
      </c>
      <c r="X79" s="43" t="s">
        <v>626</v>
      </c>
      <c r="Y79" s="43" t="s">
        <v>626</v>
      </c>
      <c r="Z79" s="43">
        <v>0</v>
      </c>
      <c r="AA79" s="43">
        <v>0</v>
      </c>
      <c r="AB79" s="43">
        <v>0</v>
      </c>
      <c r="AC79" s="43">
        <v>0</v>
      </c>
      <c r="AD79" s="43">
        <v>0</v>
      </c>
      <c r="AE79" s="43">
        <v>0</v>
      </c>
      <c r="AF79" s="43">
        <v>0</v>
      </c>
      <c r="AG79" s="43">
        <v>0</v>
      </c>
      <c r="AH79" s="43">
        <v>0.37033236750603304</v>
      </c>
      <c r="AI79" s="43">
        <v>0.85578177407131095</v>
      </c>
      <c r="AJ79" s="43">
        <v>0</v>
      </c>
      <c r="AK79" s="43">
        <v>2.226682703278994</v>
      </c>
      <c r="AL79" s="43">
        <v>3.452796844856338</v>
      </c>
      <c r="AM79" s="43">
        <v>6.4827628778504609</v>
      </c>
      <c r="AN79" s="43">
        <v>0.5714713122511631</v>
      </c>
      <c r="AO79" s="43">
        <v>0</v>
      </c>
      <c r="AP79" s="43">
        <v>0</v>
      </c>
      <c r="AQ79" s="43">
        <v>7.0542341901016243</v>
      </c>
      <c r="AR79" s="43">
        <v>0.37033236750603304</v>
      </c>
      <c r="AS79" s="335">
        <v>19.048386825077355</v>
      </c>
      <c r="AT79" s="43">
        <v>6.4827628778504609</v>
      </c>
      <c r="AU79" s="43">
        <v>0.67645182101350743</v>
      </c>
      <c r="AV79" s="43">
        <v>0</v>
      </c>
      <c r="AW79" s="43">
        <v>0</v>
      </c>
      <c r="AX79" s="43">
        <v>7.159214698863968</v>
      </c>
      <c r="AY79" s="43">
        <v>0.85578177407131095</v>
      </c>
      <c r="AZ79" s="335">
        <v>8.3657012988306541</v>
      </c>
      <c r="BA79" s="43">
        <v>6.4827628778504609</v>
      </c>
      <c r="BB79" s="43">
        <v>1.2479231332646705</v>
      </c>
      <c r="BC79" s="43">
        <v>0</v>
      </c>
      <c r="BD79" s="43">
        <v>0</v>
      </c>
      <c r="BE79" s="43">
        <v>7.7306860111151314</v>
      </c>
      <c r="BF79" s="43">
        <v>1.226114141577344</v>
      </c>
      <c r="BG79" s="43">
        <v>-0.12462095524508601</v>
      </c>
      <c r="BH79" s="335">
        <v>6.3050296452579291</v>
      </c>
      <c r="BI79" s="43">
        <v>2.1161534681859759</v>
      </c>
      <c r="BJ79" s="43">
        <v>4.8901087998522019</v>
      </c>
      <c r="BK79" s="43">
        <v>0</v>
      </c>
      <c r="BL79" s="43">
        <v>12.723711828987792</v>
      </c>
      <c r="BM79" s="43">
        <v>19.72997409702597</v>
      </c>
      <c r="BN79" s="43">
        <v>6.4827628778504609</v>
      </c>
      <c r="BO79" s="43">
        <v>0</v>
      </c>
      <c r="BP79" s="43">
        <v>1.2479231332646705</v>
      </c>
      <c r="BQ79" s="43">
        <v>0</v>
      </c>
      <c r="BR79" s="43">
        <v>0</v>
      </c>
      <c r="BS79" s="43">
        <v>0</v>
      </c>
      <c r="BT79" s="43">
        <v>0</v>
      </c>
      <c r="BU79" s="43">
        <v>0</v>
      </c>
      <c r="BV79" s="43">
        <v>0</v>
      </c>
      <c r="BW79" s="43">
        <v>0</v>
      </c>
      <c r="BX79" s="43">
        <v>3.452796844856338</v>
      </c>
      <c r="BY79" s="43"/>
      <c r="BZ79" s="43">
        <v>0</v>
      </c>
      <c r="CA79" s="43">
        <v>0</v>
      </c>
      <c r="CB79" s="43">
        <v>7.7306860111151314</v>
      </c>
      <c r="CC79" s="43">
        <v>3.452796844856338</v>
      </c>
      <c r="CD79" s="335">
        <v>2.2389634717813194</v>
      </c>
      <c r="CE79" s="43">
        <v>12.599090873742709</v>
      </c>
      <c r="CF79" s="43">
        <v>0.12233248560553675</v>
      </c>
      <c r="CG79" s="43">
        <v>0</v>
      </c>
      <c r="CH79" s="43">
        <v>0.12233248560553675</v>
      </c>
      <c r="CI79" s="43">
        <v>6.1165740111486866E-3</v>
      </c>
      <c r="CJ79" s="43">
        <v>0</v>
      </c>
      <c r="CK79" s="43">
        <v>6.1165740111486866E-3</v>
      </c>
      <c r="CL79" s="43"/>
      <c r="CM79" s="43">
        <v>0</v>
      </c>
      <c r="CN79" s="43"/>
      <c r="CO79" s="43">
        <v>0</v>
      </c>
      <c r="CP79" s="43">
        <v>0</v>
      </c>
      <c r="CQ79" s="43">
        <v>0</v>
      </c>
      <c r="CR79" s="43">
        <v>0</v>
      </c>
      <c r="CS79" s="43">
        <v>0</v>
      </c>
      <c r="CT79" s="43">
        <v>0</v>
      </c>
      <c r="CU79" s="43">
        <v>0</v>
      </c>
      <c r="CV79" s="43">
        <v>9999</v>
      </c>
      <c r="CW79" s="335">
        <v>9999</v>
      </c>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row>
    <row r="80" spans="1:131">
      <c r="A80" s="23"/>
      <c r="B80" s="2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row>
    <row r="81" spans="1:131">
      <c r="A81" s="23"/>
      <c r="B81" s="2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row>
    <row r="82" spans="1:131" ht="13.5" thickBot="1">
      <c r="A82" s="308" t="s">
        <v>627</v>
      </c>
      <c r="B82" s="309"/>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row>
    <row r="83" spans="1:131" ht="26.25" thickBot="1">
      <c r="A83" s="328" t="s">
        <v>531</v>
      </c>
      <c r="B83" s="329"/>
      <c r="C83" s="330" t="s">
        <v>532</v>
      </c>
      <c r="D83" s="331"/>
      <c r="E83" s="331"/>
      <c r="F83" s="331"/>
      <c r="G83" s="331"/>
      <c r="H83" s="331"/>
      <c r="I83" s="331"/>
      <c r="J83" s="331"/>
      <c r="K83" s="332"/>
      <c r="L83" s="330" t="s">
        <v>533</v>
      </c>
      <c r="M83" s="331"/>
      <c r="N83" s="331"/>
      <c r="O83" s="331"/>
      <c r="P83" s="331"/>
      <c r="Q83" s="332"/>
      <c r="R83" s="330" t="s">
        <v>534</v>
      </c>
      <c r="S83" s="331"/>
      <c r="T83" s="331"/>
      <c r="U83" s="332"/>
      <c r="V83" s="330" t="s">
        <v>535</v>
      </c>
      <c r="W83" s="331"/>
      <c r="X83" s="331"/>
      <c r="Y83" s="332"/>
      <c r="Z83" s="330" t="s">
        <v>536</v>
      </c>
      <c r="AA83" s="331"/>
      <c r="AB83" s="331"/>
      <c r="AC83" s="332"/>
      <c r="AD83" s="330" t="s">
        <v>537</v>
      </c>
      <c r="AE83" s="331"/>
      <c r="AF83" s="331"/>
      <c r="AG83" s="332"/>
      <c r="AH83" s="330" t="s">
        <v>538</v>
      </c>
      <c r="AI83" s="331"/>
      <c r="AJ83" s="331"/>
      <c r="AK83" s="331"/>
      <c r="AL83" s="332"/>
      <c r="AM83" s="330" t="s">
        <v>539</v>
      </c>
      <c r="AN83" s="331"/>
      <c r="AO83" s="331"/>
      <c r="AP83" s="331"/>
      <c r="AQ83" s="331"/>
      <c r="AR83" s="331"/>
      <c r="AS83" s="332"/>
      <c r="AT83" s="330" t="s">
        <v>540</v>
      </c>
      <c r="AU83" s="331"/>
      <c r="AV83" s="331"/>
      <c r="AW83" s="331"/>
      <c r="AX83" s="331"/>
      <c r="AY83" s="331"/>
      <c r="AZ83" s="332"/>
      <c r="BA83" s="330" t="s">
        <v>541</v>
      </c>
      <c r="BB83" s="331"/>
      <c r="BC83" s="331"/>
      <c r="BD83" s="331"/>
      <c r="BE83" s="331"/>
      <c r="BF83" s="332"/>
      <c r="BG83" s="330" t="s">
        <v>542</v>
      </c>
      <c r="BH83" s="332"/>
      <c r="BI83" s="330" t="s">
        <v>543</v>
      </c>
      <c r="BJ83" s="331"/>
      <c r="BK83" s="331"/>
      <c r="BL83" s="331"/>
      <c r="BM83" s="332"/>
      <c r="BN83" s="330" t="s">
        <v>544</v>
      </c>
      <c r="BO83" s="331"/>
      <c r="BP83" s="331"/>
      <c r="BQ83" s="331"/>
      <c r="BR83" s="331"/>
      <c r="BS83" s="331"/>
      <c r="BT83" s="331"/>
      <c r="BU83" s="331"/>
      <c r="BV83" s="331"/>
      <c r="BW83" s="331"/>
      <c r="BX83" s="331"/>
      <c r="BY83" s="331"/>
      <c r="BZ83" s="331"/>
      <c r="CA83" s="331"/>
      <c r="CB83" s="331"/>
      <c r="CC83" s="332"/>
      <c r="CD83" s="330" t="s">
        <v>545</v>
      </c>
      <c r="CE83" s="332"/>
      <c r="CF83" s="330" t="s">
        <v>546</v>
      </c>
      <c r="CG83" s="331"/>
      <c r="CH83" s="331"/>
      <c r="CI83" s="331"/>
      <c r="CJ83" s="331"/>
      <c r="CK83" s="332"/>
      <c r="CL83" s="333"/>
      <c r="CM83" s="330" t="s">
        <v>19</v>
      </c>
      <c r="CN83" s="331"/>
      <c r="CO83" s="331"/>
      <c r="CP83" s="332"/>
      <c r="CQ83" s="330" t="s">
        <v>547</v>
      </c>
      <c r="CR83" s="331"/>
      <c r="CS83" s="331"/>
      <c r="CT83" s="331"/>
      <c r="CU83" s="332"/>
      <c r="CV83" s="330" t="s">
        <v>548</v>
      </c>
      <c r="CW83" s="332"/>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row>
    <row r="84" spans="1:131" ht="127.5">
      <c r="A84" s="312" t="s">
        <v>182</v>
      </c>
      <c r="B84" s="313" t="s">
        <v>183</v>
      </c>
      <c r="C84" s="63" t="s">
        <v>11</v>
      </c>
      <c r="D84" s="63" t="s">
        <v>549</v>
      </c>
      <c r="E84" s="63" t="s">
        <v>550</v>
      </c>
      <c r="F84" s="63" t="s">
        <v>551</v>
      </c>
      <c r="G84" s="63" t="s">
        <v>552</v>
      </c>
      <c r="H84" s="63" t="s">
        <v>553</v>
      </c>
      <c r="I84" s="63" t="s">
        <v>554</v>
      </c>
      <c r="J84" s="63" t="s">
        <v>555</v>
      </c>
      <c r="K84" s="63" t="s">
        <v>556</v>
      </c>
      <c r="L84" s="63" t="s">
        <v>557</v>
      </c>
      <c r="M84" s="63" t="s">
        <v>558</v>
      </c>
      <c r="N84" s="63" t="s">
        <v>559</v>
      </c>
      <c r="O84" s="63" t="s">
        <v>560</v>
      </c>
      <c r="P84" s="63" t="s">
        <v>561</v>
      </c>
      <c r="Q84" s="63" t="s">
        <v>562</v>
      </c>
      <c r="R84" s="63" t="s">
        <v>563</v>
      </c>
      <c r="S84" s="63" t="s">
        <v>564</v>
      </c>
      <c r="T84" s="63" t="s">
        <v>565</v>
      </c>
      <c r="U84" s="63" t="s">
        <v>472</v>
      </c>
      <c r="V84" s="63" t="s">
        <v>563</v>
      </c>
      <c r="W84" s="63" t="s">
        <v>564</v>
      </c>
      <c r="X84" s="63" t="s">
        <v>565</v>
      </c>
      <c r="Y84" s="63" t="s">
        <v>472</v>
      </c>
      <c r="Z84" s="63" t="s">
        <v>563</v>
      </c>
      <c r="AA84" s="63" t="s">
        <v>564</v>
      </c>
      <c r="AB84" s="63" t="s">
        <v>565</v>
      </c>
      <c r="AC84" s="63" t="s">
        <v>472</v>
      </c>
      <c r="AD84" s="63" t="s">
        <v>563</v>
      </c>
      <c r="AE84" s="63" t="s">
        <v>564</v>
      </c>
      <c r="AF84" s="63" t="s">
        <v>565</v>
      </c>
      <c r="AG84" s="63" t="s">
        <v>472</v>
      </c>
      <c r="AH84" s="63" t="s">
        <v>563</v>
      </c>
      <c r="AI84" s="63" t="s">
        <v>564</v>
      </c>
      <c r="AJ84" s="63" t="s">
        <v>565</v>
      </c>
      <c r="AK84" s="63" t="s">
        <v>472</v>
      </c>
      <c r="AL84" s="63" t="s">
        <v>196</v>
      </c>
      <c r="AM84" s="63" t="s">
        <v>566</v>
      </c>
      <c r="AN84" s="63" t="s">
        <v>567</v>
      </c>
      <c r="AO84" s="63" t="s">
        <v>568</v>
      </c>
      <c r="AP84" s="63" t="s">
        <v>569</v>
      </c>
      <c r="AQ84" s="63" t="s">
        <v>570</v>
      </c>
      <c r="AR84" s="63" t="s">
        <v>571</v>
      </c>
      <c r="AS84" s="63" t="s">
        <v>572</v>
      </c>
      <c r="AT84" s="63" t="s">
        <v>573</v>
      </c>
      <c r="AU84" s="63" t="s">
        <v>574</v>
      </c>
      <c r="AV84" s="63" t="s">
        <v>575</v>
      </c>
      <c r="AW84" s="63" t="s">
        <v>576</v>
      </c>
      <c r="AX84" s="63" t="s">
        <v>577</v>
      </c>
      <c r="AY84" s="63" t="s">
        <v>578</v>
      </c>
      <c r="AZ84" s="63" t="s">
        <v>579</v>
      </c>
      <c r="BA84" s="63" t="s">
        <v>580</v>
      </c>
      <c r="BB84" s="63" t="s">
        <v>581</v>
      </c>
      <c r="BC84" s="63" t="s">
        <v>582</v>
      </c>
      <c r="BD84" s="63" t="s">
        <v>583</v>
      </c>
      <c r="BE84" s="63" t="s">
        <v>584</v>
      </c>
      <c r="BF84" s="63" t="s">
        <v>585</v>
      </c>
      <c r="BG84" s="63" t="s">
        <v>586</v>
      </c>
      <c r="BH84" s="63" t="s">
        <v>587</v>
      </c>
      <c r="BI84" s="63" t="s">
        <v>588</v>
      </c>
      <c r="BJ84" s="63" t="s">
        <v>589</v>
      </c>
      <c r="BK84" s="63" t="s">
        <v>590</v>
      </c>
      <c r="BL84" s="63" t="s">
        <v>591</v>
      </c>
      <c r="BM84" s="63" t="s">
        <v>592</v>
      </c>
      <c r="BN84" s="63" t="s">
        <v>593</v>
      </c>
      <c r="BO84" s="63" t="s">
        <v>594</v>
      </c>
      <c r="BP84" s="63" t="s">
        <v>595</v>
      </c>
      <c r="BQ84" s="63" t="s">
        <v>596</v>
      </c>
      <c r="BR84" s="63" t="s">
        <v>597</v>
      </c>
      <c r="BS84" s="63" t="s">
        <v>598</v>
      </c>
      <c r="BT84" s="63" t="s">
        <v>599</v>
      </c>
      <c r="BU84" s="63" t="s">
        <v>600</v>
      </c>
      <c r="BV84" s="63" t="s">
        <v>601</v>
      </c>
      <c r="BW84" s="63" t="s">
        <v>602</v>
      </c>
      <c r="BX84" s="63" t="s">
        <v>603</v>
      </c>
      <c r="BY84" s="63" t="s">
        <v>604</v>
      </c>
      <c r="BZ84" s="63" t="s">
        <v>605</v>
      </c>
      <c r="CA84" s="63" t="s">
        <v>606</v>
      </c>
      <c r="CB84" s="63" t="s">
        <v>607</v>
      </c>
      <c r="CC84" s="63" t="s">
        <v>608</v>
      </c>
      <c r="CD84" s="63" t="s">
        <v>456</v>
      </c>
      <c r="CE84" s="63" t="s">
        <v>455</v>
      </c>
      <c r="CF84" s="63" t="s">
        <v>609</v>
      </c>
      <c r="CG84" s="63" t="s">
        <v>610</v>
      </c>
      <c r="CH84" s="63" t="s">
        <v>611</v>
      </c>
      <c r="CI84" s="63" t="s">
        <v>612</v>
      </c>
      <c r="CJ84" s="63" t="s">
        <v>613</v>
      </c>
      <c r="CK84" s="63" t="s">
        <v>614</v>
      </c>
      <c r="CL84" s="63"/>
      <c r="CM84" s="63" t="s">
        <v>615</v>
      </c>
      <c r="CN84" s="63" t="s">
        <v>616</v>
      </c>
      <c r="CO84" s="63" t="s">
        <v>617</v>
      </c>
      <c r="CP84" s="63" t="s">
        <v>618</v>
      </c>
      <c r="CQ84" s="63" t="s">
        <v>619</v>
      </c>
      <c r="CR84" s="63" t="s">
        <v>620</v>
      </c>
      <c r="CS84" s="63" t="s">
        <v>621</v>
      </c>
      <c r="CT84" s="63" t="s">
        <v>622</v>
      </c>
      <c r="CU84" s="63" t="s">
        <v>623</v>
      </c>
      <c r="CV84" s="63" t="s">
        <v>624</v>
      </c>
      <c r="CW84" s="63" t="s">
        <v>625</v>
      </c>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row>
    <row r="85" spans="1:131">
      <c r="A85" s="23" t="s">
        <v>436</v>
      </c>
      <c r="B85" s="23"/>
      <c r="C85" s="43">
        <v>5</v>
      </c>
      <c r="D85" s="43">
        <v>447.30625682878997</v>
      </c>
      <c r="E85" s="43">
        <v>0</v>
      </c>
      <c r="F85" s="43">
        <v>30.961500281902097</v>
      </c>
      <c r="G85" s="43">
        <v>0</v>
      </c>
      <c r="H85" s="43">
        <v>0</v>
      </c>
      <c r="I85" s="43"/>
      <c r="J85" s="43"/>
      <c r="K85" s="43"/>
      <c r="L85" s="43">
        <v>480.12368554724708</v>
      </c>
      <c r="M85" s="43">
        <v>6.0301720851307701E-2</v>
      </c>
      <c r="N85" s="43">
        <v>5.9866490072122407E-2</v>
      </c>
      <c r="O85" s="43">
        <v>0</v>
      </c>
      <c r="P85" s="43">
        <v>0</v>
      </c>
      <c r="Q85" s="43">
        <v>0</v>
      </c>
      <c r="R85" s="43">
        <v>6.174136755480049</v>
      </c>
      <c r="S85" s="43">
        <v>14.267490961014982</v>
      </c>
      <c r="T85" s="43">
        <v>0</v>
      </c>
      <c r="U85" s="43">
        <v>86.974051261009336</v>
      </c>
      <c r="V85" s="43">
        <v>1.8576900169141257</v>
      </c>
      <c r="W85" s="43">
        <v>4.3346100394662939</v>
      </c>
      <c r="X85" s="43">
        <v>0</v>
      </c>
      <c r="Y85" s="43">
        <v>0</v>
      </c>
      <c r="Z85" s="43">
        <v>0</v>
      </c>
      <c r="AA85" s="43">
        <v>0</v>
      </c>
      <c r="AB85" s="43">
        <v>0</v>
      </c>
      <c r="AC85" s="43">
        <v>0</v>
      </c>
      <c r="AD85" s="43">
        <v>0</v>
      </c>
      <c r="AE85" s="43">
        <v>0</v>
      </c>
      <c r="AF85" s="43">
        <v>0</v>
      </c>
      <c r="AG85" s="43">
        <v>0</v>
      </c>
      <c r="AH85" s="43">
        <v>8.0318267723941741</v>
      </c>
      <c r="AI85" s="43">
        <v>18.602101000481277</v>
      </c>
      <c r="AJ85" s="43">
        <v>0</v>
      </c>
      <c r="AK85" s="43">
        <v>86.974051261009336</v>
      </c>
      <c r="AL85" s="43">
        <v>113.60797903388479</v>
      </c>
      <c r="AM85" s="43">
        <v>241.71223954625322</v>
      </c>
      <c r="AN85" s="43">
        <v>21.307521703842767</v>
      </c>
      <c r="AO85" s="43">
        <v>0</v>
      </c>
      <c r="AP85" s="43">
        <v>0</v>
      </c>
      <c r="AQ85" s="43">
        <v>263.019761250096</v>
      </c>
      <c r="AR85" s="43">
        <v>8.0318267723941741</v>
      </c>
      <c r="AS85" s="335">
        <v>32.747190484001628</v>
      </c>
      <c r="AT85" s="43">
        <v>241.71223954625322</v>
      </c>
      <c r="AU85" s="43">
        <v>25.221759253445256</v>
      </c>
      <c r="AV85" s="43">
        <v>0</v>
      </c>
      <c r="AW85" s="43">
        <v>0</v>
      </c>
      <c r="AX85" s="43">
        <v>266.93399879969849</v>
      </c>
      <c r="AY85" s="43">
        <v>18.602101000481277</v>
      </c>
      <c r="AZ85" s="335">
        <v>14.349669362229156</v>
      </c>
      <c r="BA85" s="43">
        <v>241.71223954625322</v>
      </c>
      <c r="BB85" s="43">
        <v>46.529280957288023</v>
      </c>
      <c r="BC85" s="43">
        <v>0</v>
      </c>
      <c r="BD85" s="43">
        <v>0</v>
      </c>
      <c r="BE85" s="43">
        <v>288.24152050354127</v>
      </c>
      <c r="BF85" s="43">
        <v>26.633927772875452</v>
      </c>
      <c r="BG85" s="43">
        <v>-3.0490787161369473</v>
      </c>
      <c r="BH85" s="335">
        <v>10.822343702422009</v>
      </c>
      <c r="BI85" s="43">
        <v>1.2309242181532563</v>
      </c>
      <c r="BJ85" s="43">
        <v>2.8508802889930629</v>
      </c>
      <c r="BK85" s="43">
        <v>0</v>
      </c>
      <c r="BL85" s="43">
        <v>13.329279761865001</v>
      </c>
      <c r="BM85" s="43">
        <v>17.411084269011319</v>
      </c>
      <c r="BN85" s="43">
        <v>241.71223954625322</v>
      </c>
      <c r="BO85" s="43">
        <v>0</v>
      </c>
      <c r="BP85" s="43">
        <v>46.529280957288023</v>
      </c>
      <c r="BQ85" s="43">
        <v>0</v>
      </c>
      <c r="BR85" s="43">
        <v>0</v>
      </c>
      <c r="BS85" s="43">
        <v>0</v>
      </c>
      <c r="BT85" s="43">
        <v>0</v>
      </c>
      <c r="BU85" s="43">
        <v>0</v>
      </c>
      <c r="BV85" s="43">
        <v>0</v>
      </c>
      <c r="BW85" s="43">
        <v>0</v>
      </c>
      <c r="BX85" s="43">
        <v>107.41567897750437</v>
      </c>
      <c r="BY85" s="43">
        <v>6.1923000563804198</v>
      </c>
      <c r="BZ85" s="43">
        <v>0</v>
      </c>
      <c r="CA85" s="43">
        <v>0</v>
      </c>
      <c r="CB85" s="43">
        <v>288.24152050354127</v>
      </c>
      <c r="CC85" s="43">
        <v>113.60797903388479</v>
      </c>
      <c r="CD85" s="335">
        <v>2.5371591234588386</v>
      </c>
      <c r="CE85" s="43">
        <v>10.280201045728052</v>
      </c>
      <c r="CF85" s="43">
        <v>4.5612124987638927</v>
      </c>
      <c r="CG85" s="43">
        <v>0</v>
      </c>
      <c r="CH85" s="43">
        <v>4.5612124987638927</v>
      </c>
      <c r="CI85" s="43">
        <v>0.22805875063494235</v>
      </c>
      <c r="CJ85" s="43">
        <v>0</v>
      </c>
      <c r="CK85" s="43">
        <v>0.22805875063494235</v>
      </c>
      <c r="CL85" s="43"/>
      <c r="CM85" s="43">
        <v>0</v>
      </c>
      <c r="CN85" s="43"/>
      <c r="CO85" s="43">
        <v>0</v>
      </c>
      <c r="CP85" s="43">
        <v>0</v>
      </c>
      <c r="CQ85" s="43">
        <v>0</v>
      </c>
      <c r="CR85" s="43">
        <v>0</v>
      </c>
      <c r="CS85" s="43">
        <v>0</v>
      </c>
      <c r="CT85" s="43">
        <v>0</v>
      </c>
      <c r="CU85" s="43">
        <v>0</v>
      </c>
      <c r="CV85" s="43">
        <v>9999</v>
      </c>
      <c r="CW85" s="335">
        <v>9999</v>
      </c>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row>
    <row r="86" spans="1:131">
      <c r="A86" s="23" t="s">
        <v>444</v>
      </c>
      <c r="B86" s="23"/>
      <c r="C86" s="43">
        <v>6.2285854145520192</v>
      </c>
      <c r="D86" s="43">
        <v>48.823748124462917</v>
      </c>
      <c r="E86" s="43">
        <v>0</v>
      </c>
      <c r="F86" s="43">
        <v>6.2711987883631313</v>
      </c>
      <c r="G86" s="43">
        <v>0</v>
      </c>
      <c r="H86" s="43">
        <v>0</v>
      </c>
      <c r="I86" s="43"/>
      <c r="J86" s="43"/>
      <c r="K86" s="43"/>
      <c r="L86" s="43">
        <v>52.405790292175645</v>
      </c>
      <c r="M86" s="43">
        <v>6.5819692556699921E-3</v>
      </c>
      <c r="N86" s="43">
        <v>6.5344635532244072E-3</v>
      </c>
      <c r="O86" s="43">
        <v>0</v>
      </c>
      <c r="P86" s="43">
        <v>0</v>
      </c>
      <c r="Q86" s="43">
        <v>0</v>
      </c>
      <c r="R86" s="43">
        <v>1.2505608122222451</v>
      </c>
      <c r="S86" s="43">
        <v>2.8898558278197979</v>
      </c>
      <c r="T86" s="43">
        <v>0</v>
      </c>
      <c r="U86" s="43">
        <v>14.626316353148468</v>
      </c>
      <c r="V86" s="43">
        <v>0.37627192730178788</v>
      </c>
      <c r="W86" s="43">
        <v>0.87796783037083836</v>
      </c>
      <c r="X86" s="43">
        <v>0</v>
      </c>
      <c r="Y86" s="43">
        <v>0</v>
      </c>
      <c r="Z86" s="43">
        <v>0</v>
      </c>
      <c r="AA86" s="43">
        <v>0</v>
      </c>
      <c r="AB86" s="43">
        <v>0</v>
      </c>
      <c r="AC86" s="43">
        <v>0</v>
      </c>
      <c r="AD86" s="43">
        <v>0</v>
      </c>
      <c r="AE86" s="43">
        <v>0</v>
      </c>
      <c r="AF86" s="43">
        <v>0</v>
      </c>
      <c r="AG86" s="43">
        <v>0</v>
      </c>
      <c r="AH86" s="43">
        <v>1.626832739524033</v>
      </c>
      <c r="AI86" s="43">
        <v>3.7678236581906361</v>
      </c>
      <c r="AJ86" s="43">
        <v>0</v>
      </c>
      <c r="AK86" s="43">
        <v>14.626316353148468</v>
      </c>
      <c r="AL86" s="43">
        <v>20.020972750863134</v>
      </c>
      <c r="AM86" s="43">
        <v>26.383036950728712</v>
      </c>
      <c r="AN86" s="43">
        <v>2.3257288646045802</v>
      </c>
      <c r="AO86" s="43">
        <v>0</v>
      </c>
      <c r="AP86" s="43">
        <v>0</v>
      </c>
      <c r="AQ86" s="43">
        <v>28.708765815333294</v>
      </c>
      <c r="AR86" s="43">
        <v>1.626832739524033</v>
      </c>
      <c r="AS86" s="335">
        <v>17.647029788528044</v>
      </c>
      <c r="AT86" s="43">
        <v>26.383036950728712</v>
      </c>
      <c r="AU86" s="43">
        <v>2.7529702575061208</v>
      </c>
      <c r="AV86" s="43">
        <v>0</v>
      </c>
      <c r="AW86" s="43">
        <v>0</v>
      </c>
      <c r="AX86" s="43">
        <v>29.136007208234833</v>
      </c>
      <c r="AY86" s="43">
        <v>3.7678236581906361</v>
      </c>
      <c r="AZ86" s="335">
        <v>7.7328478855155254</v>
      </c>
      <c r="BA86" s="43">
        <v>26.383036950728712</v>
      </c>
      <c r="BB86" s="43">
        <v>5.0786991221107005</v>
      </c>
      <c r="BC86" s="43">
        <v>0</v>
      </c>
      <c r="BD86" s="43">
        <v>0</v>
      </c>
      <c r="BE86" s="43">
        <v>31.461736072839415</v>
      </c>
      <c r="BF86" s="43">
        <v>5.3946563977146686</v>
      </c>
      <c r="BG86" s="43">
        <v>0.44362825631266162</v>
      </c>
      <c r="BH86" s="335">
        <v>5.8320185297005214</v>
      </c>
      <c r="BI86" s="43">
        <v>2.2841979826791978</v>
      </c>
      <c r="BJ86" s="43">
        <v>5.2903134969167267</v>
      </c>
      <c r="BK86" s="43">
        <v>0</v>
      </c>
      <c r="BL86" s="43">
        <v>20.536470342774248</v>
      </c>
      <c r="BM86" s="43">
        <v>28.110981822370167</v>
      </c>
      <c r="BN86" s="43">
        <v>26.383036950728712</v>
      </c>
      <c r="BO86" s="43">
        <v>0</v>
      </c>
      <c r="BP86" s="43">
        <v>5.0786991221107005</v>
      </c>
      <c r="BQ86" s="43">
        <v>0</v>
      </c>
      <c r="BR86" s="43">
        <v>0</v>
      </c>
      <c r="BS86" s="43">
        <v>0</v>
      </c>
      <c r="BT86" s="43">
        <v>0</v>
      </c>
      <c r="BU86" s="43">
        <v>0</v>
      </c>
      <c r="BV86" s="43">
        <v>0</v>
      </c>
      <c r="BW86" s="43">
        <v>0</v>
      </c>
      <c r="BX86" s="43">
        <v>18.766732993190509</v>
      </c>
      <c r="BY86" s="43">
        <v>1.2542397576726263</v>
      </c>
      <c r="BZ86" s="43">
        <v>0</v>
      </c>
      <c r="CA86" s="43">
        <v>0</v>
      </c>
      <c r="CB86" s="43">
        <v>31.461736072839415</v>
      </c>
      <c r="CC86" s="43">
        <v>20.020972750863134</v>
      </c>
      <c r="CD86" s="335">
        <v>1.5714389337792316</v>
      </c>
      <c r="CE86" s="43">
        <v>20.980098599086904</v>
      </c>
      <c r="CF86" s="43">
        <v>0.49785909940231166</v>
      </c>
      <c r="CG86" s="43">
        <v>0</v>
      </c>
      <c r="CH86" s="43">
        <v>0.49785909940231166</v>
      </c>
      <c r="CI86" s="43">
        <v>2.4892750388783424E-2</v>
      </c>
      <c r="CJ86" s="43">
        <v>0</v>
      </c>
      <c r="CK86" s="43">
        <v>2.4892750388783424E-2</v>
      </c>
      <c r="CL86" s="43"/>
      <c r="CM86" s="43">
        <v>0</v>
      </c>
      <c r="CN86" s="43"/>
      <c r="CO86" s="43">
        <v>0</v>
      </c>
      <c r="CP86" s="43">
        <v>0</v>
      </c>
      <c r="CQ86" s="43">
        <v>0</v>
      </c>
      <c r="CR86" s="43">
        <v>0</v>
      </c>
      <c r="CS86" s="43">
        <v>0</v>
      </c>
      <c r="CT86" s="43">
        <v>0</v>
      </c>
      <c r="CU86" s="43">
        <v>0</v>
      </c>
      <c r="CV86" s="43">
        <v>9999</v>
      </c>
      <c r="CW86" s="335">
        <v>9999</v>
      </c>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row>
    <row r="87" spans="1:131">
      <c r="A87" s="23" t="s">
        <v>442</v>
      </c>
      <c r="B87" s="23"/>
      <c r="C87" s="43">
        <v>7.8806805765071593</v>
      </c>
      <c r="D87" s="43">
        <v>206.56861802123186</v>
      </c>
      <c r="E87" s="43">
        <v>0</v>
      </c>
      <c r="F87" s="43">
        <v>43.365883450568482</v>
      </c>
      <c r="G87" s="43">
        <v>0</v>
      </c>
      <c r="H87" s="43">
        <v>0</v>
      </c>
      <c r="I87" s="43"/>
      <c r="J87" s="43"/>
      <c r="K87" s="43"/>
      <c r="L87" s="43">
        <v>221.72389652201252</v>
      </c>
      <c r="M87" s="43">
        <v>2.7847683662794227E-2</v>
      </c>
      <c r="N87" s="43">
        <v>2.7646691570231093E-2</v>
      </c>
      <c r="O87" s="43">
        <v>0</v>
      </c>
      <c r="P87" s="43">
        <v>0</v>
      </c>
      <c r="Q87" s="43">
        <v>0</v>
      </c>
      <c r="R87" s="43">
        <v>8.6477364632916274</v>
      </c>
      <c r="S87" s="43">
        <v>19.983603653375809</v>
      </c>
      <c r="T87" s="43">
        <v>0</v>
      </c>
      <c r="U87" s="43">
        <v>66.015859143588955</v>
      </c>
      <c r="V87" s="43">
        <v>2.6019530070341079</v>
      </c>
      <c r="W87" s="43">
        <v>6.0712236830795865</v>
      </c>
      <c r="X87" s="43">
        <v>0</v>
      </c>
      <c r="Y87" s="43">
        <v>0</v>
      </c>
      <c r="Z87" s="43">
        <v>0</v>
      </c>
      <c r="AA87" s="43">
        <v>0</v>
      </c>
      <c r="AB87" s="43">
        <v>0</v>
      </c>
      <c r="AC87" s="43">
        <v>0</v>
      </c>
      <c r="AD87" s="43">
        <v>0</v>
      </c>
      <c r="AE87" s="43">
        <v>0</v>
      </c>
      <c r="AF87" s="43">
        <v>0</v>
      </c>
      <c r="AG87" s="43">
        <v>0</v>
      </c>
      <c r="AH87" s="43">
        <v>11.249689470325736</v>
      </c>
      <c r="AI87" s="43">
        <v>26.054827336455396</v>
      </c>
      <c r="AJ87" s="43">
        <v>0</v>
      </c>
      <c r="AK87" s="43">
        <v>66.015859143588955</v>
      </c>
      <c r="AL87" s="43">
        <v>103.32037595037009</v>
      </c>
      <c r="AM87" s="43">
        <v>111.62411104166068</v>
      </c>
      <c r="AN87" s="43">
        <v>9.8399368321487657</v>
      </c>
      <c r="AO87" s="43">
        <v>0</v>
      </c>
      <c r="AP87" s="43">
        <v>0</v>
      </c>
      <c r="AQ87" s="43">
        <v>121.46404787380945</v>
      </c>
      <c r="AR87" s="43">
        <v>11.249689470325736</v>
      </c>
      <c r="AS87" s="335">
        <v>10.797102283952416</v>
      </c>
      <c r="AT87" s="43">
        <v>111.62411104166068</v>
      </c>
      <c r="AU87" s="43">
        <v>11.64755438474133</v>
      </c>
      <c r="AV87" s="43">
        <v>0</v>
      </c>
      <c r="AW87" s="43">
        <v>0</v>
      </c>
      <c r="AX87" s="43">
        <v>123.27166542640201</v>
      </c>
      <c r="AY87" s="43">
        <v>26.054827336455396</v>
      </c>
      <c r="AZ87" s="335">
        <v>4.7312409264721067</v>
      </c>
      <c r="BA87" s="43">
        <v>111.62411104166068</v>
      </c>
      <c r="BB87" s="43">
        <v>21.48749121689011</v>
      </c>
      <c r="BC87" s="43">
        <v>0</v>
      </c>
      <c r="BD87" s="43">
        <v>0</v>
      </c>
      <c r="BE87" s="43">
        <v>133.11160225855076</v>
      </c>
      <c r="BF87" s="43">
        <v>37.30451680678113</v>
      </c>
      <c r="BG87" s="43">
        <v>5.2490707864740731</v>
      </c>
      <c r="BH87" s="335">
        <v>3.5682435708255587</v>
      </c>
      <c r="BI87" s="43">
        <v>3.7333451868050349</v>
      </c>
      <c r="BJ87" s="43">
        <v>8.6466088229522935</v>
      </c>
      <c r="BK87" s="43">
        <v>0</v>
      </c>
      <c r="BL87" s="43">
        <v>21.90815938845472</v>
      </c>
      <c r="BM87" s="43">
        <v>34.288113398212047</v>
      </c>
      <c r="BN87" s="43">
        <v>111.62411104166068</v>
      </c>
      <c r="BO87" s="43">
        <v>0</v>
      </c>
      <c r="BP87" s="43">
        <v>21.48749121689011</v>
      </c>
      <c r="BQ87" s="43">
        <v>0</v>
      </c>
      <c r="BR87" s="43">
        <v>0</v>
      </c>
      <c r="BS87" s="43">
        <v>0</v>
      </c>
      <c r="BT87" s="43">
        <v>0</v>
      </c>
      <c r="BU87" s="43">
        <v>0</v>
      </c>
      <c r="BV87" s="43">
        <v>0</v>
      </c>
      <c r="BW87" s="43">
        <v>0</v>
      </c>
      <c r="BX87" s="43">
        <v>94.6471992602564</v>
      </c>
      <c r="BY87" s="43">
        <v>8.6731766901136957</v>
      </c>
      <c r="BZ87" s="43">
        <v>0</v>
      </c>
      <c r="CA87" s="43">
        <v>0</v>
      </c>
      <c r="CB87" s="43">
        <v>133.11160225855079</v>
      </c>
      <c r="CC87" s="43">
        <v>103.32037595037009</v>
      </c>
      <c r="CD87" s="335">
        <v>1.2883383459859932</v>
      </c>
      <c r="CE87" s="43">
        <v>27.157230174928788</v>
      </c>
      <c r="CF87" s="43">
        <v>2.1063943282408943</v>
      </c>
      <c r="CG87" s="43">
        <v>0</v>
      </c>
      <c r="CH87" s="43">
        <v>2.1063943282408943</v>
      </c>
      <c r="CI87" s="43">
        <v>0.10531885084795591</v>
      </c>
      <c r="CJ87" s="43">
        <v>0</v>
      </c>
      <c r="CK87" s="43">
        <v>0.10531885084795591</v>
      </c>
      <c r="CL87" s="43"/>
      <c r="CM87" s="43">
        <v>0</v>
      </c>
      <c r="CN87" s="43"/>
      <c r="CO87" s="43">
        <v>0</v>
      </c>
      <c r="CP87" s="43">
        <v>0</v>
      </c>
      <c r="CQ87" s="43">
        <v>0</v>
      </c>
      <c r="CR87" s="43">
        <v>0</v>
      </c>
      <c r="CS87" s="43">
        <v>0</v>
      </c>
      <c r="CT87" s="43">
        <v>0</v>
      </c>
      <c r="CU87" s="43">
        <v>0</v>
      </c>
      <c r="CV87" s="43">
        <v>9999</v>
      </c>
      <c r="CW87" s="335">
        <v>9999</v>
      </c>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row>
    <row r="88" spans="1:131">
      <c r="A88" s="23"/>
      <c r="B88" s="2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315"/>
      <c r="AT88" s="43"/>
      <c r="AU88" s="43"/>
      <c r="AV88" s="43"/>
      <c r="AW88" s="43"/>
      <c r="AX88" s="43"/>
      <c r="AY88" s="43"/>
      <c r="AZ88" s="315"/>
      <c r="BA88" s="43"/>
      <c r="BB88" s="43"/>
      <c r="BC88" s="43"/>
      <c r="BD88" s="43"/>
      <c r="BE88" s="43"/>
      <c r="BF88" s="43"/>
      <c r="BG88" s="43"/>
      <c r="BH88" s="315"/>
      <c r="BI88" s="43"/>
      <c r="BJ88" s="43"/>
      <c r="BK88" s="43"/>
      <c r="BL88" s="43"/>
      <c r="BM88" s="43"/>
      <c r="BN88" s="43"/>
      <c r="BO88" s="43"/>
      <c r="BP88" s="43"/>
      <c r="BQ88" s="43"/>
      <c r="BR88" s="43"/>
      <c r="BS88" s="43"/>
      <c r="BT88" s="43"/>
      <c r="BU88" s="43"/>
      <c r="BV88" s="43"/>
      <c r="BW88" s="43"/>
      <c r="BX88" s="43"/>
      <c r="BY88" s="43"/>
      <c r="BZ88" s="43"/>
      <c r="CA88" s="43"/>
      <c r="CB88" s="43"/>
      <c r="CC88" s="43"/>
      <c r="CD88" s="315"/>
      <c r="CE88" s="43"/>
      <c r="CF88" s="43"/>
      <c r="CG88" s="43"/>
      <c r="CH88" s="43"/>
      <c r="CI88" s="43"/>
      <c r="CJ88" s="43"/>
      <c r="CK88" s="43"/>
      <c r="CL88" s="43"/>
      <c r="CM88" s="43"/>
      <c r="CN88" s="43"/>
      <c r="CO88" s="43"/>
      <c r="CP88" s="43"/>
      <c r="CQ88" s="43"/>
      <c r="CR88" s="43"/>
      <c r="CS88" s="43"/>
      <c r="CT88" s="43"/>
      <c r="CU88" s="43"/>
      <c r="CV88" s="43"/>
      <c r="CW88" s="315"/>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row>
    <row r="89" spans="1:131">
      <c r="A89" s="23"/>
      <c r="B89" s="2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315"/>
      <c r="AT89" s="43"/>
      <c r="AU89" s="43"/>
      <c r="AV89" s="43"/>
      <c r="AW89" s="43"/>
      <c r="AX89" s="43"/>
      <c r="AY89" s="43"/>
      <c r="AZ89" s="315"/>
      <c r="BA89" s="43"/>
      <c r="BB89" s="43"/>
      <c r="BC89" s="43"/>
      <c r="BD89" s="43"/>
      <c r="BE89" s="43"/>
      <c r="BF89" s="43"/>
      <c r="BG89" s="43"/>
      <c r="BH89" s="315"/>
      <c r="BI89" s="43"/>
      <c r="BJ89" s="43"/>
      <c r="BK89" s="43"/>
      <c r="BL89" s="43"/>
      <c r="BM89" s="43"/>
      <c r="BN89" s="43"/>
      <c r="BO89" s="43"/>
      <c r="BP89" s="43"/>
      <c r="BQ89" s="43"/>
      <c r="BR89" s="43"/>
      <c r="BS89" s="43"/>
      <c r="BT89" s="43"/>
      <c r="BU89" s="43"/>
      <c r="BV89" s="43"/>
      <c r="BW89" s="43"/>
      <c r="BX89" s="43"/>
      <c r="BY89" s="43"/>
      <c r="BZ89" s="43"/>
      <c r="CA89" s="43"/>
      <c r="CB89" s="43"/>
      <c r="CC89" s="43"/>
      <c r="CD89" s="315"/>
      <c r="CE89" s="43"/>
      <c r="CF89" s="43"/>
      <c r="CG89" s="43"/>
      <c r="CH89" s="43"/>
      <c r="CI89" s="43"/>
      <c r="CJ89" s="43"/>
      <c r="CK89" s="43"/>
      <c r="CL89" s="43"/>
      <c r="CM89" s="43"/>
      <c r="CN89" s="43"/>
      <c r="CO89" s="43"/>
      <c r="CP89" s="43"/>
      <c r="CQ89" s="43"/>
      <c r="CR89" s="43"/>
      <c r="CS89" s="43"/>
      <c r="CT89" s="43"/>
      <c r="CU89" s="43"/>
      <c r="CV89" s="43"/>
      <c r="CW89" s="315"/>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row>
    <row r="90" spans="1:131" ht="13.5" thickBot="1">
      <c r="A90" s="308" t="s">
        <v>628</v>
      </c>
      <c r="B90" s="309"/>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315"/>
      <c r="AT90" s="43"/>
      <c r="AU90" s="43"/>
      <c r="AV90" s="43"/>
      <c r="AW90" s="43"/>
      <c r="AX90" s="43"/>
      <c r="AY90" s="43"/>
      <c r="AZ90" s="315"/>
      <c r="BA90" s="43"/>
      <c r="BB90" s="43"/>
      <c r="BC90" s="43"/>
      <c r="BD90" s="43"/>
      <c r="BE90" s="43"/>
      <c r="BF90" s="43"/>
      <c r="BG90" s="43"/>
      <c r="BH90" s="315"/>
      <c r="BI90" s="43"/>
      <c r="BJ90" s="43"/>
      <c r="BK90" s="43"/>
      <c r="BL90" s="43"/>
      <c r="BM90" s="43"/>
      <c r="BN90" s="43"/>
      <c r="BO90" s="43"/>
      <c r="BP90" s="43"/>
      <c r="BQ90" s="43"/>
      <c r="BR90" s="43"/>
      <c r="BS90" s="43"/>
      <c r="BT90" s="43"/>
      <c r="BU90" s="43"/>
      <c r="BV90" s="43"/>
      <c r="BW90" s="43"/>
      <c r="BX90" s="43"/>
      <c r="BY90" s="43"/>
      <c r="BZ90" s="43"/>
      <c r="CA90" s="43"/>
      <c r="CB90" s="43"/>
      <c r="CC90" s="43"/>
      <c r="CD90" s="315"/>
      <c r="CE90" s="43"/>
      <c r="CF90" s="43"/>
      <c r="CG90" s="43"/>
      <c r="CH90" s="43"/>
      <c r="CI90" s="43"/>
      <c r="CJ90" s="43"/>
      <c r="CK90" s="43"/>
      <c r="CL90" s="43"/>
      <c r="CM90" s="43"/>
      <c r="CN90" s="43"/>
      <c r="CO90" s="43"/>
      <c r="CP90" s="43"/>
      <c r="CQ90" s="43"/>
      <c r="CR90" s="43"/>
      <c r="CS90" s="43"/>
      <c r="CT90" s="43"/>
      <c r="CU90" s="43"/>
      <c r="CV90" s="43"/>
      <c r="CW90" s="315"/>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row>
    <row r="91" spans="1:131" ht="13.5" thickBot="1">
      <c r="A91" s="336" t="s">
        <v>629</v>
      </c>
      <c r="B91" s="337"/>
      <c r="C91" s="338"/>
      <c r="D91" s="338"/>
      <c r="E91" s="338"/>
      <c r="F91" s="338"/>
      <c r="G91" s="338"/>
      <c r="H91" s="338"/>
      <c r="I91" s="338"/>
      <c r="J91" s="338"/>
      <c r="K91" s="338"/>
      <c r="L91" s="60"/>
      <c r="M91" s="339"/>
      <c r="N91" s="340" t="s">
        <v>630</v>
      </c>
      <c r="O91" s="338"/>
      <c r="P91" s="338"/>
      <c r="Q91" s="338"/>
      <c r="R91" s="338"/>
      <c r="S91" s="338"/>
      <c r="T91" s="338"/>
      <c r="U91" s="338"/>
      <c r="V91" s="338"/>
      <c r="W91" s="338"/>
      <c r="X91" s="338"/>
      <c r="Y91" s="60"/>
      <c r="Z91" s="339"/>
      <c r="AA91" s="340" t="s">
        <v>631</v>
      </c>
      <c r="AB91" s="338"/>
      <c r="AC91" s="338"/>
      <c r="AD91" s="338"/>
      <c r="AE91" s="338"/>
      <c r="AF91" s="338"/>
      <c r="AG91" s="338"/>
      <c r="AH91" s="338"/>
      <c r="AI91" s="338"/>
      <c r="AJ91" s="338"/>
      <c r="AK91" s="338"/>
      <c r="AL91" s="60"/>
      <c r="AM91" s="43"/>
      <c r="AN91" s="43"/>
      <c r="AO91" s="43"/>
      <c r="AP91" s="43"/>
      <c r="AQ91" s="43"/>
      <c r="AR91" s="43"/>
      <c r="AS91" s="315"/>
      <c r="AT91" s="43"/>
      <c r="AU91" s="43"/>
      <c r="AV91" s="43"/>
      <c r="AW91" s="43"/>
      <c r="AX91" s="43"/>
      <c r="AY91" s="43"/>
      <c r="AZ91" s="315"/>
      <c r="BA91" s="43"/>
      <c r="BB91" s="43"/>
      <c r="BC91" s="43"/>
      <c r="BD91" s="43"/>
      <c r="BE91" s="43"/>
      <c r="BF91" s="43"/>
      <c r="BG91" s="43"/>
      <c r="BH91" s="315"/>
      <c r="BI91" s="43"/>
      <c r="BJ91" s="43"/>
      <c r="BK91" s="43"/>
      <c r="BL91" s="43"/>
      <c r="BM91" s="43"/>
      <c r="BN91" s="43"/>
      <c r="BO91" s="43"/>
      <c r="BP91" s="43"/>
      <c r="BQ91" s="43"/>
      <c r="BR91" s="43"/>
      <c r="BS91" s="43"/>
      <c r="BT91" s="43"/>
      <c r="BU91" s="43"/>
      <c r="BV91" s="43"/>
      <c r="BW91" s="43"/>
      <c r="BX91" s="43"/>
      <c r="BY91" s="43"/>
      <c r="BZ91" s="43"/>
      <c r="CA91" s="43"/>
      <c r="CB91" s="43"/>
      <c r="CC91" s="43"/>
      <c r="CD91" s="315"/>
      <c r="CE91" s="43"/>
      <c r="CF91" s="43"/>
      <c r="CG91" s="43"/>
      <c r="CH91" s="43"/>
      <c r="CI91" s="43"/>
      <c r="CJ91" s="43"/>
      <c r="CK91" s="43"/>
      <c r="CL91" s="43"/>
      <c r="CM91" s="43"/>
      <c r="CN91" s="43"/>
      <c r="CO91" s="43"/>
      <c r="CP91" s="43"/>
      <c r="CQ91" s="43"/>
      <c r="CR91" s="43"/>
      <c r="CS91" s="43"/>
      <c r="CT91" s="43"/>
      <c r="CU91" s="43"/>
      <c r="CV91" s="43"/>
      <c r="CW91" s="315"/>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row>
    <row r="92" spans="1:131" ht="102">
      <c r="A92" s="312"/>
      <c r="B92" s="313" t="s">
        <v>632</v>
      </c>
      <c r="C92" s="63" t="s">
        <v>633</v>
      </c>
      <c r="D92" s="63" t="s">
        <v>448</v>
      </c>
      <c r="E92" s="63" t="s">
        <v>449</v>
      </c>
      <c r="F92" s="63" t="s">
        <v>450</v>
      </c>
      <c r="G92" s="63" t="s">
        <v>451</v>
      </c>
      <c r="H92" s="63" t="s">
        <v>452</v>
      </c>
      <c r="I92" s="63" t="s">
        <v>453</v>
      </c>
      <c r="J92" s="63" t="s">
        <v>454</v>
      </c>
      <c r="K92" s="63" t="s">
        <v>455</v>
      </c>
      <c r="L92" s="63" t="s">
        <v>456</v>
      </c>
      <c r="M92" s="63" t="s">
        <v>457</v>
      </c>
      <c r="N92" s="63" t="s">
        <v>61</v>
      </c>
      <c r="O92" s="63" t="s">
        <v>62</v>
      </c>
      <c r="P92" s="63" t="s">
        <v>63</v>
      </c>
      <c r="Q92" s="63" t="s">
        <v>64</v>
      </c>
      <c r="R92" s="63" t="s">
        <v>65</v>
      </c>
      <c r="S92" s="63" t="s">
        <v>66</v>
      </c>
      <c r="T92" s="63" t="s">
        <v>67</v>
      </c>
      <c r="U92" s="63" t="s">
        <v>68</v>
      </c>
      <c r="V92" s="63" t="s">
        <v>69</v>
      </c>
      <c r="W92" s="63" t="s">
        <v>70</v>
      </c>
      <c r="X92" s="63" t="s">
        <v>71</v>
      </c>
      <c r="Y92" s="63" t="s">
        <v>72</v>
      </c>
      <c r="Z92" s="63"/>
      <c r="AA92" s="63" t="s">
        <v>61</v>
      </c>
      <c r="AB92" s="63" t="s">
        <v>62</v>
      </c>
      <c r="AC92" s="63" t="s">
        <v>63</v>
      </c>
      <c r="AD92" s="63" t="s">
        <v>64</v>
      </c>
      <c r="AE92" s="63" t="s">
        <v>65</v>
      </c>
      <c r="AF92" s="63" t="s">
        <v>66</v>
      </c>
      <c r="AG92" s="63" t="s">
        <v>67</v>
      </c>
      <c r="AH92" s="63" t="s">
        <v>68</v>
      </c>
      <c r="AI92" s="63" t="s">
        <v>69</v>
      </c>
      <c r="AJ92" s="63" t="s">
        <v>70</v>
      </c>
      <c r="AK92" s="63" t="s">
        <v>71</v>
      </c>
      <c r="AL92" s="63" t="s">
        <v>72</v>
      </c>
      <c r="AM92" s="43"/>
      <c r="AN92" s="43"/>
      <c r="AO92" s="43"/>
      <c r="AP92" s="43"/>
      <c r="AQ92" s="43"/>
      <c r="AR92" s="43"/>
      <c r="AS92" s="315"/>
      <c r="AT92" s="43"/>
      <c r="AU92" s="43"/>
      <c r="AV92" s="43"/>
      <c r="AW92" s="43"/>
      <c r="AX92" s="43"/>
      <c r="AY92" s="43"/>
      <c r="AZ92" s="315"/>
      <c r="BA92" s="43"/>
      <c r="BB92" s="43"/>
      <c r="BC92" s="43"/>
      <c r="BD92" s="43"/>
      <c r="BE92" s="43"/>
      <c r="BF92" s="43"/>
      <c r="BG92" s="43"/>
      <c r="BH92" s="315"/>
      <c r="BI92" s="43"/>
      <c r="BJ92" s="43"/>
      <c r="BK92" s="43"/>
      <c r="BL92" s="43"/>
      <c r="BM92" s="43"/>
      <c r="BN92" s="43"/>
      <c r="BO92" s="43"/>
      <c r="BP92" s="43"/>
      <c r="BQ92" s="43"/>
      <c r="BR92" s="43"/>
      <c r="BS92" s="43"/>
      <c r="BT92" s="43"/>
      <c r="BU92" s="43"/>
      <c r="BV92" s="43"/>
      <c r="BW92" s="43"/>
      <c r="BX92" s="43"/>
      <c r="BY92" s="43"/>
      <c r="BZ92" s="43"/>
      <c r="CA92" s="43"/>
      <c r="CB92" s="43"/>
      <c r="CC92" s="43"/>
      <c r="CD92" s="315"/>
      <c r="CE92" s="43"/>
      <c r="CF92" s="43"/>
      <c r="CG92" s="43"/>
      <c r="CH92" s="43"/>
      <c r="CI92" s="43"/>
      <c r="CJ92" s="43"/>
      <c r="CK92" s="43"/>
      <c r="CL92" s="43"/>
      <c r="CM92" s="43"/>
      <c r="CN92" s="43"/>
      <c r="CO92" s="43"/>
      <c r="CP92" s="43"/>
      <c r="CQ92" s="43"/>
      <c r="CR92" s="43"/>
      <c r="CS92" s="43"/>
      <c r="CT92" s="43"/>
      <c r="CU92" s="43"/>
      <c r="CV92" s="43"/>
      <c r="CW92" s="315"/>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row>
    <row r="93" spans="1:131">
      <c r="A93" s="23"/>
      <c r="B93" s="341" t="s">
        <v>634</v>
      </c>
      <c r="C93" s="342">
        <v>713.2885269764937</v>
      </c>
      <c r="D93" s="342">
        <v>65.987141637636427</v>
      </c>
      <c r="E93" s="342">
        <v>0</v>
      </c>
      <c r="F93" s="342">
        <v>65.987141637636427</v>
      </c>
      <c r="G93" s="342">
        <v>184.16095071596078</v>
      </c>
      <c r="H93" s="342">
        <v>428.2216765438111</v>
      </c>
      <c r="I93" s="342">
        <v>810.39767062557075</v>
      </c>
      <c r="J93" s="342">
        <v>-2.6366286392359282</v>
      </c>
      <c r="K93" s="342">
        <v>11.866877967836125</v>
      </c>
      <c r="L93" s="335">
        <v>1078.3553751050154</v>
      </c>
      <c r="M93" s="43">
        <v>6.776296696885014</v>
      </c>
      <c r="N93" s="314">
        <v>34.44857454493625</v>
      </c>
      <c r="O93" s="314">
        <v>32.368031164774607</v>
      </c>
      <c r="P93" s="314">
        <v>36.712834514514611</v>
      </c>
      <c r="Q93" s="314">
        <v>33.450854512559836</v>
      </c>
      <c r="R93" s="314">
        <v>34.309386065997053</v>
      </c>
      <c r="S93" s="314">
        <v>34.200040651051559</v>
      </c>
      <c r="T93" s="314">
        <v>32.746444351546153</v>
      </c>
      <c r="U93" s="314">
        <v>37.35541556221245</v>
      </c>
      <c r="V93" s="314">
        <v>32.17469622223782</v>
      </c>
      <c r="W93" s="314">
        <v>36.553718939097131</v>
      </c>
      <c r="X93" s="314">
        <v>31.589628430926449</v>
      </c>
      <c r="Y93" s="314">
        <v>32.163754930346101</v>
      </c>
      <c r="Z93" s="314"/>
      <c r="AA93" s="314">
        <v>27.733649653415739</v>
      </c>
      <c r="AB93" s="314">
        <v>24.946543887844605</v>
      </c>
      <c r="AC93" s="314">
        <v>24.812106803798361</v>
      </c>
      <c r="AD93" s="314">
        <v>24.932507221769079</v>
      </c>
      <c r="AE93" s="314">
        <v>25.254590225430441</v>
      </c>
      <c r="AF93" s="314">
        <v>23.411813375043454</v>
      </c>
      <c r="AG93" s="314">
        <v>26.322300411794977</v>
      </c>
      <c r="AH93" s="314">
        <v>25.085089836871052</v>
      </c>
      <c r="AI93" s="314">
        <v>26.235130177065155</v>
      </c>
      <c r="AJ93" s="314">
        <v>24.611201427706522</v>
      </c>
      <c r="AK93" s="314">
        <v>25.884279953677613</v>
      </c>
      <c r="AL93" s="314">
        <v>25.985934111876745</v>
      </c>
      <c r="AM93" s="43"/>
      <c r="AN93" s="43"/>
      <c r="AO93" s="43"/>
      <c r="AP93" s="43"/>
      <c r="AQ93" s="43"/>
      <c r="AR93" s="43"/>
      <c r="AS93" s="315"/>
      <c r="AT93" s="43"/>
      <c r="AU93" s="43"/>
      <c r="AV93" s="43"/>
      <c r="AW93" s="43"/>
      <c r="AX93" s="43"/>
      <c r="AY93" s="43"/>
      <c r="AZ93" s="315"/>
      <c r="BA93" s="43"/>
      <c r="BB93" s="43"/>
      <c r="BC93" s="43"/>
      <c r="BD93" s="43"/>
      <c r="BE93" s="43"/>
      <c r="BF93" s="43"/>
      <c r="BG93" s="43"/>
      <c r="BH93" s="315"/>
      <c r="BI93" s="43"/>
      <c r="BJ93" s="43"/>
      <c r="BK93" s="43"/>
      <c r="BL93" s="43"/>
      <c r="BM93" s="43"/>
      <c r="BN93" s="43"/>
      <c r="BO93" s="43"/>
      <c r="BP93" s="43"/>
      <c r="BQ93" s="43"/>
      <c r="BR93" s="43"/>
      <c r="BS93" s="43"/>
      <c r="BT93" s="43"/>
      <c r="BU93" s="43"/>
      <c r="BV93" s="43"/>
      <c r="BW93" s="43"/>
      <c r="BX93" s="43"/>
      <c r="BY93" s="43"/>
      <c r="BZ93" s="43"/>
      <c r="CA93" s="43"/>
      <c r="CB93" s="43"/>
      <c r="CC93" s="43"/>
      <c r="CD93" s="315"/>
      <c r="CE93" s="43"/>
      <c r="CF93" s="43"/>
      <c r="CG93" s="43"/>
      <c r="CH93" s="43"/>
      <c r="CI93" s="43"/>
      <c r="CJ93" s="43"/>
      <c r="CK93" s="43"/>
      <c r="CL93" s="43"/>
      <c r="CM93" s="43"/>
      <c r="CN93" s="43"/>
      <c r="CO93" s="43"/>
      <c r="CP93" s="43"/>
      <c r="CQ93" s="43"/>
      <c r="CR93" s="43"/>
      <c r="CS93" s="43"/>
      <c r="CT93" s="43"/>
      <c r="CU93" s="43"/>
      <c r="CV93" s="43"/>
      <c r="CW93" s="315"/>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row>
    <row r="94" spans="1:131">
      <c r="A94" s="23"/>
      <c r="B94" s="341" t="s">
        <v>635</v>
      </c>
      <c r="C94" s="342">
        <v>754.25337236143525</v>
      </c>
      <c r="D94" s="342">
        <v>80.598582520833716</v>
      </c>
      <c r="E94" s="342">
        <v>16.119716504166743</v>
      </c>
      <c r="F94" s="342">
        <v>96.718299025000462</v>
      </c>
      <c r="G94" s="342">
        <v>236.94932773511803</v>
      </c>
      <c r="H94" s="342">
        <v>452.8148588349315</v>
      </c>
      <c r="I94" s="342">
        <v>1123.2993189097788</v>
      </c>
      <c r="J94" s="342">
        <v>-0.36704084276573296</v>
      </c>
      <c r="K94" s="342">
        <v>15.984885181378306</v>
      </c>
      <c r="L94" s="335">
        <v>2.1029512689353056</v>
      </c>
      <c r="M94" s="43">
        <v>7.1654659264070988</v>
      </c>
      <c r="N94" s="314">
        <v>13.239210493441451</v>
      </c>
      <c r="O94" s="314">
        <v>12.439620028101121</v>
      </c>
      <c r="P94" s="314">
        <v>14.109406568173583</v>
      </c>
      <c r="Q94" s="314">
        <v>12.85576863273617</v>
      </c>
      <c r="R94" s="314">
        <v>13.185717842576192</v>
      </c>
      <c r="S94" s="314">
        <v>13.143694421169663</v>
      </c>
      <c r="T94" s="314">
        <v>12.585051062602348</v>
      </c>
      <c r="U94" s="314">
        <v>14.356362091354109</v>
      </c>
      <c r="V94" s="314">
        <v>12.365317911575437</v>
      </c>
      <c r="W94" s="314">
        <v>14.048255573580491</v>
      </c>
      <c r="X94" s="314">
        <v>12.140465773441235</v>
      </c>
      <c r="Y94" s="314">
        <v>12.361112975135006</v>
      </c>
      <c r="Z94" s="314"/>
      <c r="AA94" s="314">
        <v>10.658543361031533</v>
      </c>
      <c r="AB94" s="314">
        <v>9.5874081867807792</v>
      </c>
      <c r="AC94" s="314">
        <v>9.5357415829423253</v>
      </c>
      <c r="AD94" s="314">
        <v>9.5820136420353208</v>
      </c>
      <c r="AE94" s="314">
        <v>9.7057959679562487</v>
      </c>
      <c r="AF94" s="314">
        <v>8.9975834820407599</v>
      </c>
      <c r="AG94" s="314">
        <v>10.1161363112071</v>
      </c>
      <c r="AH94" s="314">
        <v>9.6406539017749413</v>
      </c>
      <c r="AI94" s="314">
        <v>10.082635212784419</v>
      </c>
      <c r="AJ94" s="314">
        <v>9.4585300118256654</v>
      </c>
      <c r="AK94" s="314">
        <v>9.9477971238225802</v>
      </c>
      <c r="AL94" s="314">
        <v>9.9868646560996108</v>
      </c>
      <c r="AM94" s="43"/>
      <c r="AN94" s="43"/>
      <c r="AO94" s="43"/>
      <c r="AP94" s="43"/>
      <c r="AQ94" s="43"/>
      <c r="AR94" s="43"/>
      <c r="AS94" s="315"/>
      <c r="AT94" s="43"/>
      <c r="AU94" s="43"/>
      <c r="AV94" s="43"/>
      <c r="AW94" s="43"/>
      <c r="AX94" s="43"/>
      <c r="AY94" s="43"/>
      <c r="AZ94" s="315"/>
      <c r="BA94" s="43"/>
      <c r="BB94" s="43"/>
      <c r="BC94" s="43"/>
      <c r="BD94" s="43"/>
      <c r="BE94" s="43"/>
      <c r="BF94" s="43"/>
      <c r="BG94" s="43"/>
      <c r="BH94" s="315"/>
      <c r="BI94" s="43"/>
      <c r="BJ94" s="43"/>
      <c r="BK94" s="43"/>
      <c r="BL94" s="43"/>
      <c r="BM94" s="43"/>
      <c r="BN94" s="43"/>
      <c r="BO94" s="43"/>
      <c r="BP94" s="43"/>
      <c r="BQ94" s="43"/>
      <c r="BR94" s="43"/>
      <c r="BS94" s="43"/>
      <c r="BT94" s="43"/>
      <c r="BU94" s="43"/>
      <c r="BV94" s="43"/>
      <c r="BW94" s="43"/>
      <c r="BX94" s="43"/>
      <c r="BY94" s="43"/>
      <c r="BZ94" s="43"/>
      <c r="CA94" s="43"/>
      <c r="CB94" s="43"/>
      <c r="CC94" s="43"/>
      <c r="CD94" s="315"/>
      <c r="CE94" s="43"/>
      <c r="CF94" s="43"/>
      <c r="CG94" s="43"/>
      <c r="CH94" s="43"/>
      <c r="CI94" s="43"/>
      <c r="CJ94" s="43"/>
      <c r="CK94" s="43"/>
      <c r="CL94" s="43"/>
      <c r="CM94" s="43"/>
      <c r="CN94" s="43"/>
      <c r="CO94" s="43"/>
      <c r="CP94" s="43"/>
      <c r="CQ94" s="43"/>
      <c r="CR94" s="43"/>
      <c r="CS94" s="43"/>
      <c r="CT94" s="43"/>
      <c r="CU94" s="43"/>
      <c r="CV94" s="43"/>
      <c r="CW94" s="315"/>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row>
    <row r="95" spans="1:131">
      <c r="A95" s="23"/>
      <c r="B95" s="341" t="s">
        <v>636</v>
      </c>
      <c r="C95" s="343"/>
      <c r="D95" s="343"/>
      <c r="E95" s="343"/>
      <c r="F95" s="343"/>
      <c r="G95" s="343"/>
      <c r="H95" s="343"/>
      <c r="I95" s="343"/>
      <c r="J95" s="343"/>
      <c r="K95" s="343"/>
      <c r="L95" s="315"/>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43"/>
      <c r="AN95" s="43"/>
      <c r="AO95" s="43"/>
      <c r="AP95" s="43"/>
      <c r="AQ95" s="43"/>
      <c r="AR95" s="43"/>
      <c r="AS95" s="315"/>
      <c r="AT95" s="43"/>
      <c r="AU95" s="43"/>
      <c r="AV95" s="43"/>
      <c r="AW95" s="43"/>
      <c r="AX95" s="43"/>
      <c r="AY95" s="43"/>
      <c r="AZ95" s="315"/>
      <c r="BA95" s="43"/>
      <c r="BB95" s="43"/>
      <c r="BC95" s="43"/>
      <c r="BD95" s="43"/>
      <c r="BE95" s="43"/>
      <c r="BF95" s="43"/>
      <c r="BG95" s="43"/>
      <c r="BH95" s="315"/>
      <c r="BI95" s="43"/>
      <c r="BJ95" s="43"/>
      <c r="BK95" s="43"/>
      <c r="BL95" s="43"/>
      <c r="BM95" s="43"/>
      <c r="BN95" s="43"/>
      <c r="BO95" s="43"/>
      <c r="BP95" s="43"/>
      <c r="BQ95" s="43"/>
      <c r="BR95" s="43"/>
      <c r="BS95" s="43"/>
      <c r="BT95" s="43"/>
      <c r="BU95" s="43"/>
      <c r="BV95" s="43"/>
      <c r="BW95" s="43"/>
      <c r="BX95" s="43"/>
      <c r="BY95" s="43"/>
      <c r="BZ95" s="43"/>
      <c r="CA95" s="43"/>
      <c r="CB95" s="43"/>
      <c r="CC95" s="43"/>
      <c r="CD95" s="315"/>
      <c r="CE95" s="43"/>
      <c r="CF95" s="43"/>
      <c r="CG95" s="43"/>
      <c r="CH95" s="43"/>
      <c r="CI95" s="43"/>
      <c r="CJ95" s="43"/>
      <c r="CK95" s="43"/>
      <c r="CL95" s="43"/>
      <c r="CM95" s="43"/>
      <c r="CN95" s="43"/>
      <c r="CO95" s="43"/>
      <c r="CP95" s="43"/>
      <c r="CQ95" s="43"/>
      <c r="CR95" s="43"/>
      <c r="CS95" s="43"/>
      <c r="CT95" s="43"/>
      <c r="CU95" s="43"/>
      <c r="CV95" s="43"/>
      <c r="CW95" s="315"/>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row>
    <row r="96" spans="1:131">
      <c r="A96" s="23"/>
      <c r="B96" s="23" t="s">
        <v>637</v>
      </c>
      <c r="C96" s="344">
        <v>0</v>
      </c>
      <c r="D96" s="344">
        <v>0</v>
      </c>
      <c r="E96" s="344">
        <v>0</v>
      </c>
      <c r="F96" s="344">
        <v>0</v>
      </c>
      <c r="G96" s="344">
        <v>0</v>
      </c>
      <c r="H96" s="344">
        <v>0</v>
      </c>
      <c r="I96" s="344">
        <v>0</v>
      </c>
      <c r="J96" s="344">
        <v>0</v>
      </c>
      <c r="K96" s="344">
        <v>0</v>
      </c>
      <c r="L96" s="315">
        <v>0</v>
      </c>
      <c r="M96" s="344">
        <v>0</v>
      </c>
      <c r="N96" s="344">
        <v>0</v>
      </c>
      <c r="O96" s="344">
        <v>0</v>
      </c>
      <c r="P96" s="344">
        <v>0</v>
      </c>
      <c r="Q96" s="344">
        <v>0</v>
      </c>
      <c r="R96" s="344">
        <v>0</v>
      </c>
      <c r="S96" s="344">
        <v>0</v>
      </c>
      <c r="T96" s="344">
        <v>0</v>
      </c>
      <c r="U96" s="344">
        <v>0</v>
      </c>
      <c r="V96" s="344">
        <v>0</v>
      </c>
      <c r="W96" s="344">
        <v>0</v>
      </c>
      <c r="X96" s="344">
        <v>0</v>
      </c>
      <c r="Y96" s="344">
        <v>0</v>
      </c>
      <c r="Z96" s="344"/>
      <c r="AA96" s="344">
        <v>0</v>
      </c>
      <c r="AB96" s="344">
        <v>0</v>
      </c>
      <c r="AC96" s="344">
        <v>0</v>
      </c>
      <c r="AD96" s="344">
        <v>0</v>
      </c>
      <c r="AE96" s="344">
        <v>0</v>
      </c>
      <c r="AF96" s="344">
        <v>0</v>
      </c>
      <c r="AG96" s="344">
        <v>0</v>
      </c>
      <c r="AH96" s="344">
        <v>0</v>
      </c>
      <c r="AI96" s="344">
        <v>0</v>
      </c>
      <c r="AJ96" s="344">
        <v>0</v>
      </c>
      <c r="AK96" s="344">
        <v>0</v>
      </c>
      <c r="AL96" s="344">
        <v>0</v>
      </c>
      <c r="AM96" s="43"/>
      <c r="AN96" s="43"/>
      <c r="AO96" s="43"/>
      <c r="AP96" s="43"/>
      <c r="AQ96" s="43"/>
      <c r="AR96" s="43"/>
      <c r="AS96" s="315"/>
      <c r="AT96" s="43"/>
      <c r="AU96" s="43"/>
      <c r="AV96" s="43"/>
      <c r="AW96" s="43"/>
      <c r="AX96" s="43"/>
      <c r="AY96" s="43"/>
      <c r="AZ96" s="315"/>
      <c r="BA96" s="43"/>
      <c r="BB96" s="43"/>
      <c r="BC96" s="43"/>
      <c r="BD96" s="43"/>
      <c r="BE96" s="43"/>
      <c r="BF96" s="43"/>
      <c r="BG96" s="43"/>
      <c r="BH96" s="315"/>
      <c r="BI96" s="43"/>
      <c r="BJ96" s="43"/>
      <c r="BK96" s="43"/>
      <c r="BL96" s="43"/>
      <c r="BM96" s="43"/>
      <c r="BN96" s="43"/>
      <c r="BO96" s="43"/>
      <c r="BP96" s="43"/>
      <c r="BQ96" s="43"/>
      <c r="BR96" s="43"/>
      <c r="BS96" s="43"/>
      <c r="BT96" s="43"/>
      <c r="BU96" s="43"/>
      <c r="BV96" s="43"/>
      <c r="BW96" s="43"/>
      <c r="BX96" s="43"/>
      <c r="BY96" s="43"/>
      <c r="BZ96" s="43"/>
      <c r="CA96" s="43"/>
      <c r="CB96" s="43"/>
      <c r="CC96" s="43"/>
      <c r="CD96" s="315"/>
      <c r="CE96" s="43"/>
      <c r="CF96" s="43"/>
      <c r="CG96" s="43"/>
      <c r="CH96" s="43"/>
      <c r="CI96" s="43"/>
      <c r="CJ96" s="43"/>
      <c r="CK96" s="43"/>
      <c r="CL96" s="43"/>
      <c r="CM96" s="43"/>
      <c r="CN96" s="43"/>
      <c r="CO96" s="43"/>
      <c r="CP96" s="43"/>
      <c r="CQ96" s="43"/>
      <c r="CR96" s="43"/>
      <c r="CS96" s="43"/>
      <c r="CT96" s="43"/>
      <c r="CU96" s="43"/>
      <c r="CV96" s="43"/>
      <c r="CW96" s="315"/>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row>
    <row r="97" spans="1:131">
      <c r="A97" s="23"/>
      <c r="B97" s="23" t="s">
        <v>638</v>
      </c>
      <c r="C97" s="344">
        <v>0</v>
      </c>
      <c r="D97" s="344">
        <v>0</v>
      </c>
      <c r="E97" s="344">
        <v>0</v>
      </c>
      <c r="F97" s="344">
        <v>0</v>
      </c>
      <c r="G97" s="344">
        <v>0</v>
      </c>
      <c r="H97" s="344">
        <v>0</v>
      </c>
      <c r="I97" s="344">
        <v>0</v>
      </c>
      <c r="J97" s="344">
        <v>0</v>
      </c>
      <c r="K97" s="344">
        <v>0</v>
      </c>
      <c r="L97" s="345">
        <v>0</v>
      </c>
      <c r="M97" s="344">
        <v>0</v>
      </c>
      <c r="N97" s="344">
        <v>0</v>
      </c>
      <c r="O97" s="344">
        <v>0</v>
      </c>
      <c r="P97" s="344">
        <v>0</v>
      </c>
      <c r="Q97" s="344">
        <v>0</v>
      </c>
      <c r="R97" s="344">
        <v>0</v>
      </c>
      <c r="S97" s="344">
        <v>0</v>
      </c>
      <c r="T97" s="344">
        <v>0</v>
      </c>
      <c r="U97" s="344">
        <v>0</v>
      </c>
      <c r="V97" s="344">
        <v>0</v>
      </c>
      <c r="W97" s="344">
        <v>0</v>
      </c>
      <c r="X97" s="344">
        <v>0</v>
      </c>
      <c r="Y97" s="344">
        <v>0</v>
      </c>
      <c r="Z97" s="344"/>
      <c r="AA97" s="344">
        <v>0</v>
      </c>
      <c r="AB97" s="344">
        <v>0</v>
      </c>
      <c r="AC97" s="344">
        <v>0</v>
      </c>
      <c r="AD97" s="344">
        <v>0</v>
      </c>
      <c r="AE97" s="344">
        <v>0</v>
      </c>
      <c r="AF97" s="344">
        <v>0</v>
      </c>
      <c r="AG97" s="344">
        <v>0</v>
      </c>
      <c r="AH97" s="344">
        <v>0</v>
      </c>
      <c r="AI97" s="344">
        <v>0</v>
      </c>
      <c r="AJ97" s="344">
        <v>0</v>
      </c>
      <c r="AK97" s="344">
        <v>0</v>
      </c>
      <c r="AL97" s="344">
        <v>0</v>
      </c>
      <c r="AM97" s="43"/>
      <c r="AN97" s="43"/>
      <c r="AO97" s="43"/>
      <c r="AP97" s="43"/>
      <c r="AQ97" s="43"/>
      <c r="AR97" s="43"/>
      <c r="AS97" s="315"/>
      <c r="AT97" s="43"/>
      <c r="AU97" s="43"/>
      <c r="AV97" s="43"/>
      <c r="AW97" s="43"/>
      <c r="AX97" s="43"/>
      <c r="AY97" s="43"/>
      <c r="AZ97" s="315"/>
      <c r="BA97" s="43"/>
      <c r="BB97" s="43"/>
      <c r="BC97" s="43"/>
      <c r="BD97" s="43"/>
      <c r="BE97" s="43"/>
      <c r="BF97" s="43"/>
      <c r="BG97" s="43"/>
      <c r="BH97" s="315"/>
      <c r="BI97" s="43"/>
      <c r="BJ97" s="43"/>
      <c r="BK97" s="43"/>
      <c r="BL97" s="43"/>
      <c r="BM97" s="43"/>
      <c r="BN97" s="43"/>
      <c r="BO97" s="43"/>
      <c r="BP97" s="43"/>
      <c r="BQ97" s="43"/>
      <c r="BR97" s="43"/>
      <c r="BS97" s="43"/>
      <c r="BT97" s="43"/>
      <c r="BU97" s="43"/>
      <c r="BV97" s="43"/>
      <c r="BW97" s="43"/>
      <c r="BX97" s="43"/>
      <c r="BY97" s="43"/>
      <c r="BZ97" s="43"/>
      <c r="CA97" s="43"/>
      <c r="CB97" s="43"/>
      <c r="CC97" s="43"/>
      <c r="CD97" s="315"/>
      <c r="CE97" s="43"/>
      <c r="CF97" s="43"/>
      <c r="CG97" s="43"/>
      <c r="CH97" s="43"/>
      <c r="CI97" s="43"/>
      <c r="CJ97" s="43"/>
      <c r="CK97" s="43"/>
      <c r="CL97" s="43"/>
      <c r="CM97" s="43"/>
      <c r="CN97" s="43"/>
      <c r="CO97" s="43"/>
      <c r="CP97" s="43"/>
      <c r="CQ97" s="43"/>
      <c r="CR97" s="43"/>
      <c r="CS97" s="43"/>
      <c r="CT97" s="43"/>
      <c r="CU97" s="43"/>
      <c r="CV97" s="43"/>
      <c r="CW97" s="315"/>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row>
    <row r="98" spans="1:131">
      <c r="A98" s="23"/>
      <c r="B98" s="23" t="s">
        <v>639</v>
      </c>
      <c r="C98" s="43">
        <v>480.12368554724708</v>
      </c>
      <c r="D98" s="43">
        <v>30.961500281902097</v>
      </c>
      <c r="E98" s="43">
        <v>6.1923000563804198</v>
      </c>
      <c r="F98" s="43">
        <v>37.153800338282515</v>
      </c>
      <c r="G98" s="43">
        <v>113.60797903388479</v>
      </c>
      <c r="H98" s="43">
        <v>288.24152050354127</v>
      </c>
      <c r="I98" s="43">
        <v>677.88218069763798</v>
      </c>
      <c r="J98" s="43">
        <v>-3.0490787161369473</v>
      </c>
      <c r="K98" s="43">
        <v>10.280201045728052</v>
      </c>
      <c r="L98" s="335">
        <v>2.5371591234588386</v>
      </c>
      <c r="M98" s="43">
        <v>4.5612124987638927</v>
      </c>
      <c r="N98" s="314">
        <v>23.18777878353416</v>
      </c>
      <c r="O98" s="314">
        <v>21.787338263540963</v>
      </c>
      <c r="P98" s="314">
        <v>24.711881303785237</v>
      </c>
      <c r="Q98" s="314">
        <v>22.516200591859871</v>
      </c>
      <c r="R98" s="314">
        <v>23.094089227391606</v>
      </c>
      <c r="S98" s="314">
        <v>23.020487421620441</v>
      </c>
      <c r="T98" s="314">
        <v>22.042053048682074</v>
      </c>
      <c r="U98" s="314">
        <v>25.144410875221443</v>
      </c>
      <c r="V98" s="314">
        <v>21.657202026036494</v>
      </c>
      <c r="W98" s="314">
        <v>24.604778562596838</v>
      </c>
      <c r="X98" s="314">
        <v>21.263385367509667</v>
      </c>
      <c r="Y98" s="314">
        <v>21.649837301680186</v>
      </c>
      <c r="Z98" s="314"/>
      <c r="AA98" s="314">
        <v>18.667876436645539</v>
      </c>
      <c r="AB98" s="314">
        <v>16.791839683540591</v>
      </c>
      <c r="AC98" s="314">
        <v>16.701348352437719</v>
      </c>
      <c r="AD98" s="314">
        <v>16.782391422992305</v>
      </c>
      <c r="AE98" s="314">
        <v>16.999189637069172</v>
      </c>
      <c r="AF98" s="314">
        <v>15.758792827661212</v>
      </c>
      <c r="AG98" s="314">
        <v>17.717879101971459</v>
      </c>
      <c r="AH98" s="314">
        <v>16.8850967445313</v>
      </c>
      <c r="AI98" s="314">
        <v>17.659203695336348</v>
      </c>
      <c r="AJ98" s="314">
        <v>16.56611635869692</v>
      </c>
      <c r="AK98" s="314">
        <v>17.423041895507691</v>
      </c>
      <c r="AL98" s="314">
        <v>17.491466617397801</v>
      </c>
      <c r="AM98" s="43"/>
      <c r="AN98" s="43"/>
      <c r="AO98" s="43"/>
      <c r="AP98" s="43"/>
      <c r="AQ98" s="43"/>
      <c r="AR98" s="43"/>
      <c r="AS98" s="315"/>
      <c r="AT98" s="43"/>
      <c r="AU98" s="43"/>
      <c r="AV98" s="43"/>
      <c r="AW98" s="43"/>
      <c r="AX98" s="43"/>
      <c r="AY98" s="43"/>
      <c r="AZ98" s="315"/>
      <c r="BA98" s="43"/>
      <c r="BB98" s="43"/>
      <c r="BC98" s="43"/>
      <c r="BD98" s="43"/>
      <c r="BE98" s="43"/>
      <c r="BF98" s="43"/>
      <c r="BG98" s="43"/>
      <c r="BH98" s="315"/>
      <c r="BI98" s="43"/>
      <c r="BJ98" s="43"/>
      <c r="BK98" s="43"/>
      <c r="BL98" s="43"/>
      <c r="BM98" s="43"/>
      <c r="BN98" s="43"/>
      <c r="BO98" s="43"/>
      <c r="BP98" s="43"/>
      <c r="BQ98" s="43"/>
      <c r="BR98" s="43"/>
      <c r="BS98" s="43"/>
      <c r="BT98" s="43"/>
      <c r="BU98" s="43"/>
      <c r="BV98" s="43"/>
      <c r="BW98" s="43"/>
      <c r="BX98" s="43"/>
      <c r="BY98" s="43"/>
      <c r="BZ98" s="43"/>
      <c r="CA98" s="43"/>
      <c r="CB98" s="43"/>
      <c r="CC98" s="43"/>
      <c r="CD98" s="315"/>
      <c r="CE98" s="43"/>
      <c r="CF98" s="43"/>
      <c r="CG98" s="43"/>
      <c r="CH98" s="43"/>
      <c r="CI98" s="43"/>
      <c r="CJ98" s="43"/>
      <c r="CK98" s="43"/>
      <c r="CL98" s="43"/>
      <c r="CM98" s="43"/>
      <c r="CN98" s="43"/>
      <c r="CO98" s="43"/>
      <c r="CP98" s="43"/>
      <c r="CQ98" s="43"/>
      <c r="CR98" s="43"/>
      <c r="CS98" s="43"/>
      <c r="CT98" s="43"/>
      <c r="CU98" s="43"/>
      <c r="CV98" s="43"/>
      <c r="CW98" s="315"/>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row>
    <row r="99" spans="1:131">
      <c r="A99" s="23"/>
      <c r="B99" s="23" t="s">
        <v>640</v>
      </c>
      <c r="C99" s="43">
        <v>274.12968681418818</v>
      </c>
      <c r="D99" s="43">
        <v>49.637082238931612</v>
      </c>
      <c r="E99" s="43">
        <v>9.9274164477863245</v>
      </c>
      <c r="F99" s="43">
        <v>59.56449868671794</v>
      </c>
      <c r="G99" s="43">
        <v>123.34134870123323</v>
      </c>
      <c r="H99" s="43">
        <v>164.5733383313902</v>
      </c>
      <c r="I99" s="43">
        <v>1903.4239398133038</v>
      </c>
      <c r="J99" s="43">
        <v>4.3304070094004192</v>
      </c>
      <c r="K99" s="43">
        <v>25.976338511085864</v>
      </c>
      <c r="L99" s="335">
        <v>1.3424591170994857</v>
      </c>
      <c r="M99" s="43">
        <v>2.6042534276432061</v>
      </c>
      <c r="N99" s="314">
        <v>13.239210493441451</v>
      </c>
      <c r="O99" s="314">
        <v>12.439620028101121</v>
      </c>
      <c r="P99" s="314">
        <v>14.109406568173583</v>
      </c>
      <c r="Q99" s="314">
        <v>12.85576863273617</v>
      </c>
      <c r="R99" s="314">
        <v>13.185717842576192</v>
      </c>
      <c r="S99" s="314">
        <v>13.143694421169663</v>
      </c>
      <c r="T99" s="314">
        <v>12.585051062602348</v>
      </c>
      <c r="U99" s="314">
        <v>14.356362091354109</v>
      </c>
      <c r="V99" s="314">
        <v>12.365317911575437</v>
      </c>
      <c r="W99" s="314">
        <v>14.048255573580491</v>
      </c>
      <c r="X99" s="314">
        <v>12.140465773441235</v>
      </c>
      <c r="Y99" s="314">
        <v>12.361112975135006</v>
      </c>
      <c r="Z99" s="314"/>
      <c r="AA99" s="314">
        <v>10.658543361031533</v>
      </c>
      <c r="AB99" s="314">
        <v>9.5874081867807792</v>
      </c>
      <c r="AC99" s="314">
        <v>9.5357415829423253</v>
      </c>
      <c r="AD99" s="314">
        <v>9.5820136420353208</v>
      </c>
      <c r="AE99" s="314">
        <v>9.7057959679562487</v>
      </c>
      <c r="AF99" s="314">
        <v>8.9975834820407599</v>
      </c>
      <c r="AG99" s="314">
        <v>10.1161363112071</v>
      </c>
      <c r="AH99" s="314">
        <v>9.6406539017749413</v>
      </c>
      <c r="AI99" s="314">
        <v>10.082635212784419</v>
      </c>
      <c r="AJ99" s="314">
        <v>9.4585300118256654</v>
      </c>
      <c r="AK99" s="314">
        <v>9.9477971238225802</v>
      </c>
      <c r="AL99" s="314">
        <v>9.9868646560996108</v>
      </c>
      <c r="AM99" s="43"/>
      <c r="AN99" s="43"/>
      <c r="AO99" s="43"/>
      <c r="AP99" s="43"/>
      <c r="AQ99" s="43"/>
      <c r="AR99" s="43"/>
      <c r="AS99" s="315"/>
      <c r="AT99" s="43"/>
      <c r="AU99" s="43"/>
      <c r="AV99" s="43"/>
      <c r="AW99" s="43"/>
      <c r="AX99" s="43"/>
      <c r="AY99" s="43"/>
      <c r="AZ99" s="315"/>
      <c r="BA99" s="43"/>
      <c r="BB99" s="43"/>
      <c r="BC99" s="43"/>
      <c r="BD99" s="43"/>
      <c r="BE99" s="43"/>
      <c r="BF99" s="43"/>
      <c r="BG99" s="43"/>
      <c r="BH99" s="315"/>
      <c r="BI99" s="43"/>
      <c r="BJ99" s="43"/>
      <c r="BK99" s="43"/>
      <c r="BL99" s="43"/>
      <c r="BM99" s="43"/>
      <c r="BN99" s="43"/>
      <c r="BO99" s="43"/>
      <c r="BP99" s="43"/>
      <c r="BQ99" s="43"/>
      <c r="BR99" s="43"/>
      <c r="BS99" s="43"/>
      <c r="BT99" s="43"/>
      <c r="BU99" s="43"/>
      <c r="BV99" s="43"/>
      <c r="BW99" s="43"/>
      <c r="BX99" s="43"/>
      <c r="BY99" s="43"/>
      <c r="BZ99" s="43"/>
      <c r="CA99" s="43"/>
      <c r="CB99" s="43"/>
      <c r="CC99" s="43"/>
      <c r="CD99" s="315"/>
      <c r="CE99" s="43"/>
      <c r="CF99" s="43"/>
      <c r="CG99" s="43"/>
      <c r="CH99" s="43"/>
      <c r="CI99" s="43"/>
      <c r="CJ99" s="43"/>
      <c r="CK99" s="43"/>
      <c r="CL99" s="43"/>
      <c r="CM99" s="43"/>
      <c r="CN99" s="43"/>
      <c r="CO99" s="43"/>
      <c r="CP99" s="43"/>
      <c r="CQ99" s="43"/>
      <c r="CR99" s="43"/>
      <c r="CS99" s="43"/>
      <c r="CT99" s="43"/>
      <c r="CU99" s="43"/>
      <c r="CV99" s="43"/>
      <c r="CW99" s="315"/>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row>
    <row r="100" spans="1:131">
      <c r="A100" s="23"/>
      <c r="B100" s="23" t="s">
        <v>641</v>
      </c>
      <c r="C100" s="344">
        <v>0</v>
      </c>
      <c r="D100" s="344">
        <v>0</v>
      </c>
      <c r="E100" s="344">
        <v>0</v>
      </c>
      <c r="F100" s="344">
        <v>0</v>
      </c>
      <c r="G100" s="344">
        <v>0</v>
      </c>
      <c r="H100" s="344">
        <v>0</v>
      </c>
      <c r="I100" s="344">
        <v>0</v>
      </c>
      <c r="J100" s="344">
        <v>0</v>
      </c>
      <c r="K100" s="344">
        <v>0</v>
      </c>
      <c r="L100" s="345">
        <v>0</v>
      </c>
      <c r="M100" s="344">
        <v>0</v>
      </c>
      <c r="N100" s="344">
        <v>0</v>
      </c>
      <c r="O100" s="344">
        <v>0</v>
      </c>
      <c r="P100" s="344">
        <v>0</v>
      </c>
      <c r="Q100" s="344">
        <v>0</v>
      </c>
      <c r="R100" s="344">
        <v>0</v>
      </c>
      <c r="S100" s="344">
        <v>0</v>
      </c>
      <c r="T100" s="344">
        <v>0</v>
      </c>
      <c r="U100" s="344">
        <v>0</v>
      </c>
      <c r="V100" s="344">
        <v>0</v>
      </c>
      <c r="W100" s="344">
        <v>0</v>
      </c>
      <c r="X100" s="344">
        <v>0</v>
      </c>
      <c r="Y100" s="344">
        <v>0</v>
      </c>
      <c r="Z100" s="344"/>
      <c r="AA100" s="344">
        <v>0</v>
      </c>
      <c r="AB100" s="344">
        <v>0</v>
      </c>
      <c r="AC100" s="344">
        <v>0</v>
      </c>
      <c r="AD100" s="344">
        <v>0</v>
      </c>
      <c r="AE100" s="344">
        <v>0</v>
      </c>
      <c r="AF100" s="344">
        <v>0</v>
      </c>
      <c r="AG100" s="344">
        <v>0</v>
      </c>
      <c r="AH100" s="344">
        <v>0</v>
      </c>
      <c r="AI100" s="344">
        <v>0</v>
      </c>
      <c r="AJ100" s="344">
        <v>0</v>
      </c>
      <c r="AK100" s="344">
        <v>0</v>
      </c>
      <c r="AL100" s="344">
        <v>0</v>
      </c>
      <c r="AM100" s="43"/>
      <c r="AN100" s="43"/>
      <c r="AO100" s="43"/>
      <c r="AP100" s="43"/>
      <c r="AQ100" s="43"/>
      <c r="AR100" s="43"/>
      <c r="AS100" s="315"/>
      <c r="AT100" s="43"/>
      <c r="AU100" s="43"/>
      <c r="AV100" s="43"/>
      <c r="AW100" s="43"/>
      <c r="AX100" s="43"/>
      <c r="AY100" s="43"/>
      <c r="AZ100" s="315"/>
      <c r="BA100" s="43"/>
      <c r="BB100" s="43"/>
      <c r="BC100" s="43"/>
      <c r="BD100" s="43"/>
      <c r="BE100" s="43"/>
      <c r="BF100" s="43"/>
      <c r="BG100" s="43"/>
      <c r="BH100" s="315"/>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315"/>
      <c r="CE100" s="43"/>
      <c r="CF100" s="43"/>
      <c r="CG100" s="43"/>
      <c r="CH100" s="43"/>
      <c r="CI100" s="43"/>
      <c r="CJ100" s="43"/>
      <c r="CK100" s="43"/>
      <c r="CL100" s="43"/>
      <c r="CM100" s="43"/>
      <c r="CN100" s="43"/>
      <c r="CO100" s="43"/>
      <c r="CP100" s="43"/>
      <c r="CQ100" s="43"/>
      <c r="CR100" s="43"/>
      <c r="CS100" s="43"/>
      <c r="CT100" s="43"/>
      <c r="CU100" s="43"/>
      <c r="CV100" s="43"/>
      <c r="CW100" s="315"/>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row>
    <row r="101" spans="1:131">
      <c r="A101" s="23"/>
      <c r="B101" s="23" t="s">
        <v>642</v>
      </c>
      <c r="C101" s="344">
        <v>0</v>
      </c>
      <c r="D101" s="344">
        <v>0</v>
      </c>
      <c r="E101" s="344">
        <v>0</v>
      </c>
      <c r="F101" s="344">
        <v>0</v>
      </c>
      <c r="G101" s="344">
        <v>0</v>
      </c>
      <c r="H101" s="344">
        <v>0</v>
      </c>
      <c r="I101" s="344">
        <v>0</v>
      </c>
      <c r="J101" s="344">
        <v>0</v>
      </c>
      <c r="K101" s="344">
        <v>0</v>
      </c>
      <c r="L101" s="345">
        <v>0</v>
      </c>
      <c r="M101" s="344">
        <v>0</v>
      </c>
      <c r="N101" s="344">
        <v>0</v>
      </c>
      <c r="O101" s="344">
        <v>0</v>
      </c>
      <c r="P101" s="344">
        <v>0</v>
      </c>
      <c r="Q101" s="344">
        <v>0</v>
      </c>
      <c r="R101" s="344">
        <v>0</v>
      </c>
      <c r="S101" s="344">
        <v>0</v>
      </c>
      <c r="T101" s="344">
        <v>0</v>
      </c>
      <c r="U101" s="344">
        <v>0</v>
      </c>
      <c r="V101" s="344">
        <v>0</v>
      </c>
      <c r="W101" s="344">
        <v>0</v>
      </c>
      <c r="X101" s="344">
        <v>0</v>
      </c>
      <c r="Y101" s="344">
        <v>0</v>
      </c>
      <c r="Z101" s="344"/>
      <c r="AA101" s="344">
        <v>0</v>
      </c>
      <c r="AB101" s="344">
        <v>0</v>
      </c>
      <c r="AC101" s="344">
        <v>0</v>
      </c>
      <c r="AD101" s="344">
        <v>0</v>
      </c>
      <c r="AE101" s="344">
        <v>0</v>
      </c>
      <c r="AF101" s="344">
        <v>0</v>
      </c>
      <c r="AG101" s="344">
        <v>0</v>
      </c>
      <c r="AH101" s="344">
        <v>0</v>
      </c>
      <c r="AI101" s="344">
        <v>0</v>
      </c>
      <c r="AJ101" s="344">
        <v>0</v>
      </c>
      <c r="AK101" s="344">
        <v>0</v>
      </c>
      <c r="AL101" s="344">
        <v>0</v>
      </c>
      <c r="AM101" s="43"/>
      <c r="AN101" s="43"/>
      <c r="AO101" s="43"/>
      <c r="AP101" s="43"/>
      <c r="AQ101" s="43"/>
      <c r="AR101" s="43"/>
      <c r="AS101" s="315"/>
      <c r="AT101" s="43"/>
      <c r="AU101" s="43"/>
      <c r="AV101" s="43"/>
      <c r="AW101" s="43"/>
      <c r="AX101" s="43"/>
      <c r="AY101" s="43"/>
      <c r="AZ101" s="315"/>
      <c r="BA101" s="43"/>
      <c r="BB101" s="43"/>
      <c r="BC101" s="43"/>
      <c r="BD101" s="43"/>
      <c r="BE101" s="43"/>
      <c r="BF101" s="43"/>
      <c r="BG101" s="43"/>
      <c r="BH101" s="315"/>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315"/>
      <c r="CE101" s="43"/>
      <c r="CF101" s="43"/>
      <c r="CG101" s="43"/>
      <c r="CH101" s="43"/>
      <c r="CI101" s="43"/>
      <c r="CJ101" s="43"/>
      <c r="CK101" s="43"/>
      <c r="CL101" s="43"/>
      <c r="CM101" s="43"/>
      <c r="CN101" s="43"/>
      <c r="CO101" s="43"/>
      <c r="CP101" s="43"/>
      <c r="CQ101" s="43"/>
      <c r="CR101" s="43"/>
      <c r="CS101" s="43"/>
      <c r="CT101" s="43"/>
      <c r="CU101" s="43"/>
      <c r="CV101" s="43"/>
      <c r="CW101" s="315"/>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row>
    <row r="102" spans="1:131">
      <c r="A102" s="23"/>
      <c r="B102" s="23" t="s">
        <v>643</v>
      </c>
      <c r="C102" s="344">
        <v>0</v>
      </c>
      <c r="D102" s="344">
        <v>0</v>
      </c>
      <c r="E102" s="344">
        <v>0</v>
      </c>
      <c r="F102" s="344">
        <v>0</v>
      </c>
      <c r="G102" s="344">
        <v>0</v>
      </c>
      <c r="H102" s="344">
        <v>0</v>
      </c>
      <c r="I102" s="344">
        <v>0</v>
      </c>
      <c r="J102" s="344">
        <v>0</v>
      </c>
      <c r="K102" s="344">
        <v>0</v>
      </c>
      <c r="L102" s="345">
        <v>0</v>
      </c>
      <c r="M102" s="344">
        <v>0</v>
      </c>
      <c r="N102" s="344">
        <v>0</v>
      </c>
      <c r="O102" s="344">
        <v>0</v>
      </c>
      <c r="P102" s="344">
        <v>0</v>
      </c>
      <c r="Q102" s="344">
        <v>0</v>
      </c>
      <c r="R102" s="344">
        <v>0</v>
      </c>
      <c r="S102" s="344">
        <v>0</v>
      </c>
      <c r="T102" s="344">
        <v>0</v>
      </c>
      <c r="U102" s="344">
        <v>0</v>
      </c>
      <c r="V102" s="344">
        <v>0</v>
      </c>
      <c r="W102" s="344">
        <v>0</v>
      </c>
      <c r="X102" s="344">
        <v>0</v>
      </c>
      <c r="Y102" s="344">
        <v>0</v>
      </c>
      <c r="Z102" s="344"/>
      <c r="AA102" s="344">
        <v>0</v>
      </c>
      <c r="AB102" s="344">
        <v>0</v>
      </c>
      <c r="AC102" s="344">
        <v>0</v>
      </c>
      <c r="AD102" s="344">
        <v>0</v>
      </c>
      <c r="AE102" s="344">
        <v>0</v>
      </c>
      <c r="AF102" s="344">
        <v>0</v>
      </c>
      <c r="AG102" s="344">
        <v>0</v>
      </c>
      <c r="AH102" s="344">
        <v>0</v>
      </c>
      <c r="AI102" s="344">
        <v>0</v>
      </c>
      <c r="AJ102" s="344">
        <v>0</v>
      </c>
      <c r="AK102" s="344">
        <v>0</v>
      </c>
      <c r="AL102" s="344">
        <v>0</v>
      </c>
      <c r="AM102" s="43"/>
      <c r="AN102" s="43"/>
      <c r="AO102" s="43"/>
      <c r="AP102" s="43"/>
      <c r="AQ102" s="43"/>
      <c r="AR102" s="43"/>
      <c r="AS102" s="315"/>
      <c r="AT102" s="43"/>
      <c r="AU102" s="43"/>
      <c r="AV102" s="43"/>
      <c r="AW102" s="43"/>
      <c r="AX102" s="43"/>
      <c r="AY102" s="43"/>
      <c r="AZ102" s="315"/>
      <c r="BA102" s="43"/>
      <c r="BB102" s="43"/>
      <c r="BC102" s="43"/>
      <c r="BD102" s="43"/>
      <c r="BE102" s="43"/>
      <c r="BF102" s="43"/>
      <c r="BG102" s="43"/>
      <c r="BH102" s="315"/>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315"/>
      <c r="CE102" s="43"/>
      <c r="CF102" s="43"/>
      <c r="CG102" s="43"/>
      <c r="CH102" s="43"/>
      <c r="CI102" s="43"/>
      <c r="CJ102" s="43"/>
      <c r="CK102" s="43"/>
      <c r="CL102" s="43"/>
      <c r="CM102" s="43"/>
      <c r="CN102" s="43"/>
      <c r="CO102" s="43"/>
      <c r="CP102" s="43"/>
      <c r="CQ102" s="43"/>
      <c r="CR102" s="43"/>
      <c r="CS102" s="43"/>
      <c r="CT102" s="43"/>
      <c r="CU102" s="43"/>
      <c r="CV102" s="43"/>
      <c r="CW102" s="315"/>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row>
    <row r="103" spans="1:131">
      <c r="A103" s="23"/>
      <c r="B103" s="23" t="s">
        <v>644</v>
      </c>
      <c r="C103" s="344">
        <v>0</v>
      </c>
      <c r="D103" s="344">
        <v>0</v>
      </c>
      <c r="E103" s="344">
        <v>0</v>
      </c>
      <c r="F103" s="344">
        <v>0</v>
      </c>
      <c r="G103" s="344">
        <v>0</v>
      </c>
      <c r="H103" s="344">
        <v>0</v>
      </c>
      <c r="I103" s="344">
        <v>0</v>
      </c>
      <c r="J103" s="344">
        <v>0</v>
      </c>
      <c r="K103" s="344">
        <v>0</v>
      </c>
      <c r="L103" s="345">
        <v>0</v>
      </c>
      <c r="M103" s="344">
        <v>0</v>
      </c>
      <c r="N103" s="344">
        <v>0</v>
      </c>
      <c r="O103" s="344">
        <v>0</v>
      </c>
      <c r="P103" s="344">
        <v>0</v>
      </c>
      <c r="Q103" s="344">
        <v>0</v>
      </c>
      <c r="R103" s="344">
        <v>0</v>
      </c>
      <c r="S103" s="344">
        <v>0</v>
      </c>
      <c r="T103" s="344">
        <v>0</v>
      </c>
      <c r="U103" s="344">
        <v>0</v>
      </c>
      <c r="V103" s="344">
        <v>0</v>
      </c>
      <c r="W103" s="344">
        <v>0</v>
      </c>
      <c r="X103" s="344">
        <v>0</v>
      </c>
      <c r="Y103" s="344">
        <v>0</v>
      </c>
      <c r="Z103" s="344"/>
      <c r="AA103" s="344">
        <v>0</v>
      </c>
      <c r="AB103" s="344">
        <v>0</v>
      </c>
      <c r="AC103" s="344">
        <v>0</v>
      </c>
      <c r="AD103" s="344">
        <v>0</v>
      </c>
      <c r="AE103" s="344">
        <v>0</v>
      </c>
      <c r="AF103" s="344">
        <v>0</v>
      </c>
      <c r="AG103" s="344">
        <v>0</v>
      </c>
      <c r="AH103" s="344">
        <v>0</v>
      </c>
      <c r="AI103" s="344">
        <v>0</v>
      </c>
      <c r="AJ103" s="344">
        <v>0</v>
      </c>
      <c r="AK103" s="344">
        <v>0</v>
      </c>
      <c r="AL103" s="344">
        <v>0</v>
      </c>
      <c r="AM103" s="43"/>
      <c r="AN103" s="43"/>
      <c r="AO103" s="43"/>
      <c r="AP103" s="43"/>
      <c r="AQ103" s="43"/>
      <c r="AR103" s="43"/>
      <c r="AS103" s="315"/>
      <c r="AT103" s="43"/>
      <c r="AU103" s="43"/>
      <c r="AV103" s="43"/>
      <c r="AW103" s="43"/>
      <c r="AX103" s="43"/>
      <c r="AY103" s="43"/>
      <c r="AZ103" s="315"/>
      <c r="BA103" s="43"/>
      <c r="BB103" s="43"/>
      <c r="BC103" s="43"/>
      <c r="BD103" s="43"/>
      <c r="BE103" s="43"/>
      <c r="BF103" s="43"/>
      <c r="BG103" s="43"/>
      <c r="BH103" s="315"/>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315"/>
      <c r="CE103" s="43"/>
      <c r="CF103" s="43"/>
      <c r="CG103" s="43"/>
      <c r="CH103" s="43"/>
      <c r="CI103" s="43"/>
      <c r="CJ103" s="43"/>
      <c r="CK103" s="43"/>
      <c r="CL103" s="43"/>
      <c r="CM103" s="43"/>
      <c r="CN103" s="43"/>
      <c r="CO103" s="43"/>
      <c r="CP103" s="43"/>
      <c r="CQ103" s="43"/>
      <c r="CR103" s="43"/>
      <c r="CS103" s="43"/>
      <c r="CT103" s="43"/>
      <c r="CU103" s="43"/>
      <c r="CV103" s="43"/>
      <c r="CW103" s="315"/>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row>
    <row r="104" spans="1:131">
      <c r="A104" s="23"/>
      <c r="B104" s="23" t="s">
        <v>645</v>
      </c>
      <c r="C104" s="344">
        <v>0</v>
      </c>
      <c r="D104" s="344">
        <v>0</v>
      </c>
      <c r="E104" s="344">
        <v>0</v>
      </c>
      <c r="F104" s="344">
        <v>0</v>
      </c>
      <c r="G104" s="344">
        <v>0</v>
      </c>
      <c r="H104" s="344">
        <v>0</v>
      </c>
      <c r="I104" s="344">
        <v>0</v>
      </c>
      <c r="J104" s="344">
        <v>0</v>
      </c>
      <c r="K104" s="344">
        <v>0</v>
      </c>
      <c r="L104" s="345">
        <v>0</v>
      </c>
      <c r="M104" s="344">
        <v>0</v>
      </c>
      <c r="N104" s="344">
        <v>0</v>
      </c>
      <c r="O104" s="344">
        <v>0</v>
      </c>
      <c r="P104" s="344">
        <v>0</v>
      </c>
      <c r="Q104" s="344">
        <v>0</v>
      </c>
      <c r="R104" s="344">
        <v>0</v>
      </c>
      <c r="S104" s="344">
        <v>0</v>
      </c>
      <c r="T104" s="344">
        <v>0</v>
      </c>
      <c r="U104" s="344">
        <v>0</v>
      </c>
      <c r="V104" s="344">
        <v>0</v>
      </c>
      <c r="W104" s="344">
        <v>0</v>
      </c>
      <c r="X104" s="344">
        <v>0</v>
      </c>
      <c r="Y104" s="344">
        <v>0</v>
      </c>
      <c r="Z104" s="344"/>
      <c r="AA104" s="344">
        <v>0</v>
      </c>
      <c r="AB104" s="344">
        <v>0</v>
      </c>
      <c r="AC104" s="344">
        <v>0</v>
      </c>
      <c r="AD104" s="344">
        <v>0</v>
      </c>
      <c r="AE104" s="344">
        <v>0</v>
      </c>
      <c r="AF104" s="344">
        <v>0</v>
      </c>
      <c r="AG104" s="344">
        <v>0</v>
      </c>
      <c r="AH104" s="344">
        <v>0</v>
      </c>
      <c r="AI104" s="344">
        <v>0</v>
      </c>
      <c r="AJ104" s="344">
        <v>0</v>
      </c>
      <c r="AK104" s="344">
        <v>0</v>
      </c>
      <c r="AL104" s="344">
        <v>0</v>
      </c>
      <c r="AM104" s="43"/>
      <c r="AN104" s="43"/>
      <c r="AO104" s="43"/>
      <c r="AP104" s="43"/>
      <c r="AQ104" s="43"/>
      <c r="AR104" s="43"/>
      <c r="AS104" s="315"/>
      <c r="AT104" s="43"/>
      <c r="AU104" s="43"/>
      <c r="AV104" s="43"/>
      <c r="AW104" s="43"/>
      <c r="AX104" s="43"/>
      <c r="AY104" s="43"/>
      <c r="AZ104" s="315"/>
      <c r="BA104" s="43"/>
      <c r="BB104" s="43"/>
      <c r="BC104" s="43"/>
      <c r="BD104" s="43"/>
      <c r="BE104" s="43"/>
      <c r="BF104" s="43"/>
      <c r="BG104" s="43"/>
      <c r="BH104" s="315"/>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315"/>
      <c r="CE104" s="43"/>
      <c r="CF104" s="43"/>
      <c r="CG104" s="43"/>
      <c r="CH104" s="43"/>
      <c r="CI104" s="43"/>
      <c r="CJ104" s="43"/>
      <c r="CK104" s="43"/>
      <c r="CL104" s="43"/>
      <c r="CM104" s="43"/>
      <c r="CN104" s="43"/>
      <c r="CO104" s="43"/>
      <c r="CP104" s="43"/>
      <c r="CQ104" s="43"/>
      <c r="CR104" s="43"/>
      <c r="CS104" s="43"/>
      <c r="CT104" s="43"/>
      <c r="CU104" s="43"/>
      <c r="CV104" s="43"/>
      <c r="CW104" s="315"/>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row>
    <row r="105" spans="1:131">
      <c r="A105" s="23"/>
      <c r="B105" s="23" t="s">
        <v>646</v>
      </c>
      <c r="C105" s="344">
        <v>0</v>
      </c>
      <c r="D105" s="344">
        <v>0</v>
      </c>
      <c r="E105" s="344">
        <v>0</v>
      </c>
      <c r="F105" s="344">
        <v>0</v>
      </c>
      <c r="G105" s="344">
        <v>0</v>
      </c>
      <c r="H105" s="344">
        <v>0</v>
      </c>
      <c r="I105" s="344">
        <v>0</v>
      </c>
      <c r="J105" s="344">
        <v>0</v>
      </c>
      <c r="K105" s="344">
        <v>0</v>
      </c>
      <c r="L105" s="345">
        <v>0</v>
      </c>
      <c r="M105" s="344">
        <v>0</v>
      </c>
      <c r="N105" s="344">
        <v>0</v>
      </c>
      <c r="O105" s="344">
        <v>0</v>
      </c>
      <c r="P105" s="344">
        <v>0</v>
      </c>
      <c r="Q105" s="344">
        <v>0</v>
      </c>
      <c r="R105" s="344">
        <v>0</v>
      </c>
      <c r="S105" s="344">
        <v>0</v>
      </c>
      <c r="T105" s="344">
        <v>0</v>
      </c>
      <c r="U105" s="344">
        <v>0</v>
      </c>
      <c r="V105" s="344">
        <v>0</v>
      </c>
      <c r="W105" s="344">
        <v>0</v>
      </c>
      <c r="X105" s="344">
        <v>0</v>
      </c>
      <c r="Y105" s="344">
        <v>0</v>
      </c>
      <c r="Z105" s="344"/>
      <c r="AA105" s="344">
        <v>0</v>
      </c>
      <c r="AB105" s="344">
        <v>0</v>
      </c>
      <c r="AC105" s="344">
        <v>0</v>
      </c>
      <c r="AD105" s="344">
        <v>0</v>
      </c>
      <c r="AE105" s="344">
        <v>0</v>
      </c>
      <c r="AF105" s="344">
        <v>0</v>
      </c>
      <c r="AG105" s="344">
        <v>0</v>
      </c>
      <c r="AH105" s="344">
        <v>0</v>
      </c>
      <c r="AI105" s="344">
        <v>0</v>
      </c>
      <c r="AJ105" s="344">
        <v>0</v>
      </c>
      <c r="AK105" s="344">
        <v>0</v>
      </c>
      <c r="AL105" s="344">
        <v>0</v>
      </c>
      <c r="AM105" s="43"/>
      <c r="AN105" s="43"/>
      <c r="AO105" s="43"/>
      <c r="AP105" s="43"/>
      <c r="AQ105" s="43"/>
      <c r="AR105" s="43"/>
      <c r="AS105" s="315"/>
      <c r="AT105" s="43"/>
      <c r="AU105" s="43"/>
      <c r="AV105" s="43"/>
      <c r="AW105" s="43"/>
      <c r="AX105" s="43"/>
      <c r="AY105" s="43"/>
      <c r="AZ105" s="315"/>
      <c r="BA105" s="43"/>
      <c r="BB105" s="43"/>
      <c r="BC105" s="43"/>
      <c r="BD105" s="43"/>
      <c r="BE105" s="43"/>
      <c r="BF105" s="43"/>
      <c r="BG105" s="43"/>
      <c r="BH105" s="315"/>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315"/>
      <c r="CE105" s="43"/>
      <c r="CF105" s="43"/>
      <c r="CG105" s="43"/>
      <c r="CH105" s="43"/>
      <c r="CI105" s="43"/>
      <c r="CJ105" s="43"/>
      <c r="CK105" s="43"/>
      <c r="CL105" s="43"/>
      <c r="CM105" s="43"/>
      <c r="CN105" s="43"/>
      <c r="CO105" s="43"/>
      <c r="CP105" s="43"/>
      <c r="CQ105" s="43"/>
      <c r="CR105" s="43"/>
      <c r="CS105" s="43"/>
      <c r="CT105" s="43"/>
      <c r="CU105" s="43"/>
      <c r="CV105" s="43"/>
      <c r="CW105" s="315"/>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row>
    <row r="106" spans="1:131">
      <c r="A106" s="23"/>
      <c r="B106" s="23" t="s">
        <v>647</v>
      </c>
      <c r="C106" s="344">
        <v>0</v>
      </c>
      <c r="D106" s="344">
        <v>0</v>
      </c>
      <c r="E106" s="344">
        <v>0</v>
      </c>
      <c r="F106" s="344">
        <v>0</v>
      </c>
      <c r="G106" s="344">
        <v>0</v>
      </c>
      <c r="H106" s="344">
        <v>0</v>
      </c>
      <c r="I106" s="344">
        <v>0</v>
      </c>
      <c r="J106" s="344">
        <v>0</v>
      </c>
      <c r="K106" s="344">
        <v>0</v>
      </c>
      <c r="L106" s="345">
        <v>0</v>
      </c>
      <c r="M106" s="344">
        <v>0</v>
      </c>
      <c r="N106" s="344">
        <v>0</v>
      </c>
      <c r="O106" s="344">
        <v>0</v>
      </c>
      <c r="P106" s="344">
        <v>0</v>
      </c>
      <c r="Q106" s="344">
        <v>0</v>
      </c>
      <c r="R106" s="344">
        <v>0</v>
      </c>
      <c r="S106" s="344">
        <v>0</v>
      </c>
      <c r="T106" s="344">
        <v>0</v>
      </c>
      <c r="U106" s="344">
        <v>0</v>
      </c>
      <c r="V106" s="344">
        <v>0</v>
      </c>
      <c r="W106" s="344">
        <v>0</v>
      </c>
      <c r="X106" s="344">
        <v>0</v>
      </c>
      <c r="Y106" s="344">
        <v>0</v>
      </c>
      <c r="Z106" s="344"/>
      <c r="AA106" s="344">
        <v>0</v>
      </c>
      <c r="AB106" s="344">
        <v>0</v>
      </c>
      <c r="AC106" s="344">
        <v>0</v>
      </c>
      <c r="AD106" s="344">
        <v>0</v>
      </c>
      <c r="AE106" s="344">
        <v>0</v>
      </c>
      <c r="AF106" s="344">
        <v>0</v>
      </c>
      <c r="AG106" s="344">
        <v>0</v>
      </c>
      <c r="AH106" s="344">
        <v>0</v>
      </c>
      <c r="AI106" s="344">
        <v>0</v>
      </c>
      <c r="AJ106" s="344">
        <v>0</v>
      </c>
      <c r="AK106" s="344">
        <v>0</v>
      </c>
      <c r="AL106" s="344">
        <v>0</v>
      </c>
      <c r="AM106" s="43"/>
      <c r="AN106" s="43"/>
      <c r="AO106" s="43"/>
      <c r="AP106" s="43"/>
      <c r="AQ106" s="43"/>
      <c r="AR106" s="43"/>
      <c r="AS106" s="315"/>
      <c r="AT106" s="43"/>
      <c r="AU106" s="43"/>
      <c r="AV106" s="43"/>
      <c r="AW106" s="43"/>
      <c r="AX106" s="43"/>
      <c r="AY106" s="43"/>
      <c r="AZ106" s="315"/>
      <c r="BA106" s="43"/>
      <c r="BB106" s="43"/>
      <c r="BC106" s="43"/>
      <c r="BD106" s="43"/>
      <c r="BE106" s="43"/>
      <c r="BF106" s="43"/>
      <c r="BG106" s="43"/>
      <c r="BH106" s="315"/>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315"/>
      <c r="CE106" s="43"/>
      <c r="CF106" s="43"/>
      <c r="CG106" s="43"/>
      <c r="CH106" s="43"/>
      <c r="CI106" s="43"/>
      <c r="CJ106" s="43"/>
      <c r="CK106" s="43"/>
      <c r="CL106" s="43"/>
      <c r="CM106" s="43"/>
      <c r="CN106" s="43"/>
      <c r="CO106" s="43"/>
      <c r="CP106" s="43"/>
      <c r="CQ106" s="43"/>
      <c r="CR106" s="43"/>
      <c r="CS106" s="43"/>
      <c r="CT106" s="43"/>
      <c r="CU106" s="43"/>
      <c r="CV106" s="43"/>
      <c r="CW106" s="315"/>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row>
    <row r="107" spans="1:131">
      <c r="A107" s="23"/>
      <c r="B107" s="23" t="s">
        <v>648</v>
      </c>
      <c r="C107" s="344">
        <v>0</v>
      </c>
      <c r="D107" s="344">
        <v>0</v>
      </c>
      <c r="E107" s="344">
        <v>0</v>
      </c>
      <c r="F107" s="344">
        <v>0</v>
      </c>
      <c r="G107" s="344">
        <v>0</v>
      </c>
      <c r="H107" s="344">
        <v>0</v>
      </c>
      <c r="I107" s="344">
        <v>0</v>
      </c>
      <c r="J107" s="344">
        <v>0</v>
      </c>
      <c r="K107" s="344">
        <v>0</v>
      </c>
      <c r="L107" s="345">
        <v>0</v>
      </c>
      <c r="M107" s="344">
        <v>0</v>
      </c>
      <c r="N107" s="344">
        <v>0</v>
      </c>
      <c r="O107" s="344">
        <v>0</v>
      </c>
      <c r="P107" s="344">
        <v>0</v>
      </c>
      <c r="Q107" s="344">
        <v>0</v>
      </c>
      <c r="R107" s="344">
        <v>0</v>
      </c>
      <c r="S107" s="344">
        <v>0</v>
      </c>
      <c r="T107" s="344">
        <v>0</v>
      </c>
      <c r="U107" s="344">
        <v>0</v>
      </c>
      <c r="V107" s="344">
        <v>0</v>
      </c>
      <c r="W107" s="344">
        <v>0</v>
      </c>
      <c r="X107" s="344">
        <v>0</v>
      </c>
      <c r="Y107" s="344">
        <v>0</v>
      </c>
      <c r="Z107" s="344"/>
      <c r="AA107" s="344">
        <v>0</v>
      </c>
      <c r="AB107" s="344">
        <v>0</v>
      </c>
      <c r="AC107" s="344">
        <v>0</v>
      </c>
      <c r="AD107" s="344">
        <v>0</v>
      </c>
      <c r="AE107" s="344">
        <v>0</v>
      </c>
      <c r="AF107" s="344">
        <v>0</v>
      </c>
      <c r="AG107" s="344">
        <v>0</v>
      </c>
      <c r="AH107" s="344">
        <v>0</v>
      </c>
      <c r="AI107" s="344">
        <v>0</v>
      </c>
      <c r="AJ107" s="344">
        <v>0</v>
      </c>
      <c r="AK107" s="344">
        <v>0</v>
      </c>
      <c r="AL107" s="344">
        <v>0</v>
      </c>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row>
    <row r="108" spans="1:131">
      <c r="A108" s="23"/>
      <c r="B108" s="23" t="s">
        <v>649</v>
      </c>
      <c r="C108" s="344">
        <v>0</v>
      </c>
      <c r="D108" s="344">
        <v>0</v>
      </c>
      <c r="E108" s="344">
        <v>0</v>
      </c>
      <c r="F108" s="344">
        <v>0</v>
      </c>
      <c r="G108" s="344">
        <v>0</v>
      </c>
      <c r="H108" s="344">
        <v>0</v>
      </c>
      <c r="I108" s="344">
        <v>0</v>
      </c>
      <c r="J108" s="344">
        <v>0</v>
      </c>
      <c r="K108" s="344">
        <v>0</v>
      </c>
      <c r="L108" s="345">
        <v>0</v>
      </c>
      <c r="M108" s="344">
        <v>0</v>
      </c>
      <c r="N108" s="344">
        <v>0</v>
      </c>
      <c r="O108" s="344">
        <v>0</v>
      </c>
      <c r="P108" s="344">
        <v>0</v>
      </c>
      <c r="Q108" s="344">
        <v>0</v>
      </c>
      <c r="R108" s="344">
        <v>0</v>
      </c>
      <c r="S108" s="344">
        <v>0</v>
      </c>
      <c r="T108" s="344">
        <v>0</v>
      </c>
      <c r="U108" s="344">
        <v>0</v>
      </c>
      <c r="V108" s="344">
        <v>0</v>
      </c>
      <c r="W108" s="344">
        <v>0</v>
      </c>
      <c r="X108" s="344">
        <v>0</v>
      </c>
      <c r="Y108" s="344">
        <v>0</v>
      </c>
      <c r="Z108" s="344"/>
      <c r="AA108" s="344">
        <v>0</v>
      </c>
      <c r="AB108" s="344">
        <v>0</v>
      </c>
      <c r="AC108" s="344">
        <v>0</v>
      </c>
      <c r="AD108" s="344">
        <v>0</v>
      </c>
      <c r="AE108" s="344">
        <v>0</v>
      </c>
      <c r="AF108" s="344">
        <v>0</v>
      </c>
      <c r="AG108" s="344">
        <v>0</v>
      </c>
      <c r="AH108" s="344">
        <v>0</v>
      </c>
      <c r="AI108" s="344">
        <v>0</v>
      </c>
      <c r="AJ108" s="344">
        <v>0</v>
      </c>
      <c r="AK108" s="344">
        <v>0</v>
      </c>
      <c r="AL108" s="344">
        <v>0</v>
      </c>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row>
    <row r="109" spans="1:131">
      <c r="A109" s="23"/>
      <c r="B109" s="23" t="s">
        <v>650</v>
      </c>
      <c r="C109" s="344">
        <v>0</v>
      </c>
      <c r="D109" s="344">
        <v>0</v>
      </c>
      <c r="E109" s="344">
        <v>0</v>
      </c>
      <c r="F109" s="344">
        <v>0</v>
      </c>
      <c r="G109" s="344">
        <v>0</v>
      </c>
      <c r="H109" s="344">
        <v>0</v>
      </c>
      <c r="I109" s="344">
        <v>0</v>
      </c>
      <c r="J109" s="344">
        <v>0</v>
      </c>
      <c r="K109" s="344">
        <v>0</v>
      </c>
      <c r="L109" s="345">
        <v>0</v>
      </c>
      <c r="M109" s="344">
        <v>0</v>
      </c>
      <c r="N109" s="344">
        <v>0</v>
      </c>
      <c r="O109" s="344">
        <v>0</v>
      </c>
      <c r="P109" s="344">
        <v>0</v>
      </c>
      <c r="Q109" s="344">
        <v>0</v>
      </c>
      <c r="R109" s="344">
        <v>0</v>
      </c>
      <c r="S109" s="344">
        <v>0</v>
      </c>
      <c r="T109" s="344">
        <v>0</v>
      </c>
      <c r="U109" s="344">
        <v>0</v>
      </c>
      <c r="V109" s="344">
        <v>0</v>
      </c>
      <c r="W109" s="344">
        <v>0</v>
      </c>
      <c r="X109" s="344">
        <v>0</v>
      </c>
      <c r="Y109" s="344">
        <v>0</v>
      </c>
      <c r="Z109" s="344"/>
      <c r="AA109" s="344">
        <v>0</v>
      </c>
      <c r="AB109" s="344">
        <v>0</v>
      </c>
      <c r="AC109" s="344">
        <v>0</v>
      </c>
      <c r="AD109" s="344">
        <v>0</v>
      </c>
      <c r="AE109" s="344">
        <v>0</v>
      </c>
      <c r="AF109" s="344">
        <v>0</v>
      </c>
      <c r="AG109" s="344">
        <v>0</v>
      </c>
      <c r="AH109" s="344">
        <v>0</v>
      </c>
      <c r="AI109" s="344">
        <v>0</v>
      </c>
      <c r="AJ109" s="344">
        <v>0</v>
      </c>
      <c r="AK109" s="344">
        <v>0</v>
      </c>
      <c r="AL109" s="344">
        <v>0</v>
      </c>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row>
    <row r="110" spans="1:131">
      <c r="A110" s="23"/>
      <c r="B110" s="23" t="s">
        <v>651</v>
      </c>
      <c r="C110" s="344">
        <v>0</v>
      </c>
      <c r="D110" s="344">
        <v>0</v>
      </c>
      <c r="E110" s="344">
        <v>0</v>
      </c>
      <c r="F110" s="344">
        <v>0</v>
      </c>
      <c r="G110" s="344">
        <v>0</v>
      </c>
      <c r="H110" s="344">
        <v>0</v>
      </c>
      <c r="I110" s="344">
        <v>0</v>
      </c>
      <c r="J110" s="344">
        <v>0</v>
      </c>
      <c r="K110" s="344">
        <v>0</v>
      </c>
      <c r="L110" s="345">
        <v>0</v>
      </c>
      <c r="M110" s="344">
        <v>0</v>
      </c>
      <c r="N110" s="344">
        <v>0</v>
      </c>
      <c r="O110" s="344">
        <v>0</v>
      </c>
      <c r="P110" s="344">
        <v>0</v>
      </c>
      <c r="Q110" s="344">
        <v>0</v>
      </c>
      <c r="R110" s="344">
        <v>0</v>
      </c>
      <c r="S110" s="344">
        <v>0</v>
      </c>
      <c r="T110" s="344">
        <v>0</v>
      </c>
      <c r="U110" s="344">
        <v>0</v>
      </c>
      <c r="V110" s="344">
        <v>0</v>
      </c>
      <c r="W110" s="344">
        <v>0</v>
      </c>
      <c r="X110" s="344">
        <v>0</v>
      </c>
      <c r="Y110" s="344">
        <v>0</v>
      </c>
      <c r="Z110" s="344"/>
      <c r="AA110" s="344">
        <v>0</v>
      </c>
      <c r="AB110" s="344">
        <v>0</v>
      </c>
      <c r="AC110" s="344">
        <v>0</v>
      </c>
      <c r="AD110" s="344">
        <v>0</v>
      </c>
      <c r="AE110" s="344">
        <v>0</v>
      </c>
      <c r="AF110" s="344">
        <v>0</v>
      </c>
      <c r="AG110" s="344">
        <v>0</v>
      </c>
      <c r="AH110" s="344">
        <v>0</v>
      </c>
      <c r="AI110" s="344">
        <v>0</v>
      </c>
      <c r="AJ110" s="344">
        <v>0</v>
      </c>
      <c r="AK110" s="344">
        <v>0</v>
      </c>
      <c r="AL110" s="344">
        <v>0</v>
      </c>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row>
    <row r="111" spans="1:131">
      <c r="A111" s="23"/>
      <c r="B111" s="23" t="s">
        <v>652</v>
      </c>
      <c r="C111" s="344">
        <v>0</v>
      </c>
      <c r="D111" s="344">
        <v>0</v>
      </c>
      <c r="E111" s="344">
        <v>0</v>
      </c>
      <c r="F111" s="344">
        <v>0</v>
      </c>
      <c r="G111" s="344">
        <v>0</v>
      </c>
      <c r="H111" s="344">
        <v>0</v>
      </c>
      <c r="I111" s="344">
        <v>0</v>
      </c>
      <c r="J111" s="344">
        <v>0</v>
      </c>
      <c r="K111" s="344">
        <v>0</v>
      </c>
      <c r="L111" s="345">
        <v>0</v>
      </c>
      <c r="M111" s="344">
        <v>0</v>
      </c>
      <c r="N111" s="344">
        <v>0</v>
      </c>
      <c r="O111" s="344">
        <v>0</v>
      </c>
      <c r="P111" s="344">
        <v>0</v>
      </c>
      <c r="Q111" s="344">
        <v>0</v>
      </c>
      <c r="R111" s="344">
        <v>0</v>
      </c>
      <c r="S111" s="344">
        <v>0</v>
      </c>
      <c r="T111" s="344">
        <v>0</v>
      </c>
      <c r="U111" s="344">
        <v>0</v>
      </c>
      <c r="V111" s="344">
        <v>0</v>
      </c>
      <c r="W111" s="344">
        <v>0</v>
      </c>
      <c r="X111" s="344">
        <v>0</v>
      </c>
      <c r="Y111" s="344">
        <v>0</v>
      </c>
      <c r="Z111" s="344"/>
      <c r="AA111" s="344">
        <v>0</v>
      </c>
      <c r="AB111" s="344">
        <v>0</v>
      </c>
      <c r="AC111" s="344">
        <v>0</v>
      </c>
      <c r="AD111" s="344">
        <v>0</v>
      </c>
      <c r="AE111" s="344">
        <v>0</v>
      </c>
      <c r="AF111" s="344">
        <v>0</v>
      </c>
      <c r="AG111" s="344">
        <v>0</v>
      </c>
      <c r="AH111" s="344">
        <v>0</v>
      </c>
      <c r="AI111" s="344">
        <v>0</v>
      </c>
      <c r="AJ111" s="344">
        <v>0</v>
      </c>
      <c r="AK111" s="344">
        <v>0</v>
      </c>
      <c r="AL111" s="344">
        <v>0</v>
      </c>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row>
    <row r="112" spans="1:131">
      <c r="A112" s="23"/>
      <c r="B112" s="23" t="s">
        <v>653</v>
      </c>
      <c r="C112" s="344">
        <v>0</v>
      </c>
      <c r="D112" s="344">
        <v>0</v>
      </c>
      <c r="E112" s="344">
        <v>0</v>
      </c>
      <c r="F112" s="344">
        <v>0</v>
      </c>
      <c r="G112" s="344">
        <v>0</v>
      </c>
      <c r="H112" s="344">
        <v>0</v>
      </c>
      <c r="I112" s="344">
        <v>0</v>
      </c>
      <c r="J112" s="344">
        <v>0</v>
      </c>
      <c r="K112" s="344">
        <v>0</v>
      </c>
      <c r="L112" s="345">
        <v>0</v>
      </c>
      <c r="M112" s="344">
        <v>0</v>
      </c>
      <c r="N112" s="344">
        <v>0</v>
      </c>
      <c r="O112" s="344">
        <v>0</v>
      </c>
      <c r="P112" s="344">
        <v>0</v>
      </c>
      <c r="Q112" s="344">
        <v>0</v>
      </c>
      <c r="R112" s="344">
        <v>0</v>
      </c>
      <c r="S112" s="344">
        <v>0</v>
      </c>
      <c r="T112" s="344">
        <v>0</v>
      </c>
      <c r="U112" s="344">
        <v>0</v>
      </c>
      <c r="V112" s="344">
        <v>0</v>
      </c>
      <c r="W112" s="344">
        <v>0</v>
      </c>
      <c r="X112" s="344">
        <v>0</v>
      </c>
      <c r="Y112" s="344">
        <v>0</v>
      </c>
      <c r="Z112" s="344"/>
      <c r="AA112" s="344">
        <v>0</v>
      </c>
      <c r="AB112" s="344">
        <v>0</v>
      </c>
      <c r="AC112" s="344">
        <v>0</v>
      </c>
      <c r="AD112" s="344">
        <v>0</v>
      </c>
      <c r="AE112" s="344">
        <v>0</v>
      </c>
      <c r="AF112" s="344">
        <v>0</v>
      </c>
      <c r="AG112" s="344">
        <v>0</v>
      </c>
      <c r="AH112" s="344">
        <v>0</v>
      </c>
      <c r="AI112" s="344">
        <v>0</v>
      </c>
      <c r="AJ112" s="344">
        <v>0</v>
      </c>
      <c r="AK112" s="344">
        <v>0</v>
      </c>
      <c r="AL112" s="344">
        <v>0</v>
      </c>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row>
    <row r="113" spans="1:131">
      <c r="A113" s="23"/>
      <c r="B113" s="23" t="s">
        <v>654</v>
      </c>
      <c r="C113" s="344">
        <v>0</v>
      </c>
      <c r="D113" s="344">
        <v>0</v>
      </c>
      <c r="E113" s="344">
        <v>0</v>
      </c>
      <c r="F113" s="344">
        <v>0</v>
      </c>
      <c r="G113" s="344">
        <v>0</v>
      </c>
      <c r="H113" s="344">
        <v>0</v>
      </c>
      <c r="I113" s="344">
        <v>0</v>
      </c>
      <c r="J113" s="344">
        <v>0</v>
      </c>
      <c r="K113" s="344">
        <v>0</v>
      </c>
      <c r="L113" s="345">
        <v>0</v>
      </c>
      <c r="M113" s="344">
        <v>0</v>
      </c>
      <c r="N113" s="344">
        <v>0</v>
      </c>
      <c r="O113" s="344">
        <v>0</v>
      </c>
      <c r="P113" s="344">
        <v>0</v>
      </c>
      <c r="Q113" s="344">
        <v>0</v>
      </c>
      <c r="R113" s="344">
        <v>0</v>
      </c>
      <c r="S113" s="344">
        <v>0</v>
      </c>
      <c r="T113" s="344">
        <v>0</v>
      </c>
      <c r="U113" s="344">
        <v>0</v>
      </c>
      <c r="V113" s="344">
        <v>0</v>
      </c>
      <c r="W113" s="344">
        <v>0</v>
      </c>
      <c r="X113" s="344">
        <v>0</v>
      </c>
      <c r="Y113" s="344">
        <v>0</v>
      </c>
      <c r="Z113" s="344"/>
      <c r="AA113" s="344">
        <v>0</v>
      </c>
      <c r="AB113" s="344">
        <v>0</v>
      </c>
      <c r="AC113" s="344">
        <v>0</v>
      </c>
      <c r="AD113" s="344">
        <v>0</v>
      </c>
      <c r="AE113" s="344">
        <v>0</v>
      </c>
      <c r="AF113" s="344">
        <v>0</v>
      </c>
      <c r="AG113" s="344">
        <v>0</v>
      </c>
      <c r="AH113" s="344">
        <v>0</v>
      </c>
      <c r="AI113" s="344">
        <v>0</v>
      </c>
      <c r="AJ113" s="344">
        <v>0</v>
      </c>
      <c r="AK113" s="344">
        <v>0</v>
      </c>
      <c r="AL113" s="344">
        <v>0</v>
      </c>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row>
    <row r="114" spans="1:131">
      <c r="A114" s="23"/>
      <c r="B114" s="23" t="s">
        <v>655</v>
      </c>
      <c r="C114" s="344">
        <v>0</v>
      </c>
      <c r="D114" s="344">
        <v>0</v>
      </c>
      <c r="E114" s="344">
        <v>0</v>
      </c>
      <c r="F114" s="344">
        <v>0</v>
      </c>
      <c r="G114" s="344">
        <v>0</v>
      </c>
      <c r="H114" s="344">
        <v>0</v>
      </c>
      <c r="I114" s="344">
        <v>0</v>
      </c>
      <c r="J114" s="344">
        <v>0</v>
      </c>
      <c r="K114" s="344">
        <v>0</v>
      </c>
      <c r="L114" s="345">
        <v>0</v>
      </c>
      <c r="M114" s="344">
        <v>0</v>
      </c>
      <c r="N114" s="344">
        <v>0</v>
      </c>
      <c r="O114" s="344">
        <v>0</v>
      </c>
      <c r="P114" s="344">
        <v>0</v>
      </c>
      <c r="Q114" s="344">
        <v>0</v>
      </c>
      <c r="R114" s="344">
        <v>0</v>
      </c>
      <c r="S114" s="344">
        <v>0</v>
      </c>
      <c r="T114" s="344">
        <v>0</v>
      </c>
      <c r="U114" s="344">
        <v>0</v>
      </c>
      <c r="V114" s="344">
        <v>0</v>
      </c>
      <c r="W114" s="344">
        <v>0</v>
      </c>
      <c r="X114" s="344">
        <v>0</v>
      </c>
      <c r="Y114" s="344">
        <v>0</v>
      </c>
      <c r="Z114" s="344"/>
      <c r="AA114" s="344">
        <v>0</v>
      </c>
      <c r="AB114" s="344">
        <v>0</v>
      </c>
      <c r="AC114" s="344">
        <v>0</v>
      </c>
      <c r="AD114" s="344">
        <v>0</v>
      </c>
      <c r="AE114" s="344">
        <v>0</v>
      </c>
      <c r="AF114" s="344">
        <v>0</v>
      </c>
      <c r="AG114" s="344">
        <v>0</v>
      </c>
      <c r="AH114" s="344">
        <v>0</v>
      </c>
      <c r="AI114" s="344">
        <v>0</v>
      </c>
      <c r="AJ114" s="344">
        <v>0</v>
      </c>
      <c r="AK114" s="344">
        <v>0</v>
      </c>
      <c r="AL114" s="344">
        <v>0</v>
      </c>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row>
    <row r="115" spans="1:131">
      <c r="A115" s="23"/>
      <c r="B115" s="23" t="s">
        <v>656</v>
      </c>
      <c r="C115" s="344">
        <v>0</v>
      </c>
      <c r="D115" s="344">
        <v>0</v>
      </c>
      <c r="E115" s="344">
        <v>0</v>
      </c>
      <c r="F115" s="344">
        <v>0</v>
      </c>
      <c r="G115" s="344">
        <v>0</v>
      </c>
      <c r="H115" s="344">
        <v>0</v>
      </c>
      <c r="I115" s="344">
        <v>0</v>
      </c>
      <c r="J115" s="344">
        <v>0</v>
      </c>
      <c r="K115" s="344">
        <v>0</v>
      </c>
      <c r="L115" s="345">
        <v>0</v>
      </c>
      <c r="M115" s="344">
        <v>0</v>
      </c>
      <c r="N115" s="344">
        <v>0</v>
      </c>
      <c r="O115" s="344">
        <v>0</v>
      </c>
      <c r="P115" s="344">
        <v>0</v>
      </c>
      <c r="Q115" s="344">
        <v>0</v>
      </c>
      <c r="R115" s="344">
        <v>0</v>
      </c>
      <c r="S115" s="344">
        <v>0</v>
      </c>
      <c r="T115" s="344">
        <v>0</v>
      </c>
      <c r="U115" s="344">
        <v>0</v>
      </c>
      <c r="V115" s="344">
        <v>0</v>
      </c>
      <c r="W115" s="344">
        <v>0</v>
      </c>
      <c r="X115" s="344">
        <v>0</v>
      </c>
      <c r="Y115" s="344">
        <v>0</v>
      </c>
      <c r="Z115" s="344"/>
      <c r="AA115" s="344">
        <v>0</v>
      </c>
      <c r="AB115" s="344">
        <v>0</v>
      </c>
      <c r="AC115" s="344">
        <v>0</v>
      </c>
      <c r="AD115" s="344">
        <v>0</v>
      </c>
      <c r="AE115" s="344">
        <v>0</v>
      </c>
      <c r="AF115" s="344">
        <v>0</v>
      </c>
      <c r="AG115" s="344">
        <v>0</v>
      </c>
      <c r="AH115" s="344">
        <v>0</v>
      </c>
      <c r="AI115" s="344">
        <v>0</v>
      </c>
      <c r="AJ115" s="344">
        <v>0</v>
      </c>
      <c r="AK115" s="344">
        <v>0</v>
      </c>
      <c r="AL115" s="344">
        <v>0</v>
      </c>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row>
    <row r="116" spans="1:131">
      <c r="A116" s="23"/>
      <c r="B116" s="23" t="s">
        <v>657</v>
      </c>
      <c r="C116" s="344">
        <v>0</v>
      </c>
      <c r="D116" s="344">
        <v>0</v>
      </c>
      <c r="E116" s="344">
        <v>0</v>
      </c>
      <c r="F116" s="344">
        <v>0</v>
      </c>
      <c r="G116" s="344">
        <v>0</v>
      </c>
      <c r="H116" s="344">
        <v>0</v>
      </c>
      <c r="I116" s="344">
        <v>0</v>
      </c>
      <c r="J116" s="344">
        <v>0</v>
      </c>
      <c r="K116" s="344">
        <v>0</v>
      </c>
      <c r="L116" s="345">
        <v>0</v>
      </c>
      <c r="M116" s="344">
        <v>0</v>
      </c>
      <c r="N116" s="344">
        <v>0</v>
      </c>
      <c r="O116" s="344">
        <v>0</v>
      </c>
      <c r="P116" s="344">
        <v>0</v>
      </c>
      <c r="Q116" s="344">
        <v>0</v>
      </c>
      <c r="R116" s="344">
        <v>0</v>
      </c>
      <c r="S116" s="344">
        <v>0</v>
      </c>
      <c r="T116" s="344">
        <v>0</v>
      </c>
      <c r="U116" s="344">
        <v>0</v>
      </c>
      <c r="V116" s="344">
        <v>0</v>
      </c>
      <c r="W116" s="344">
        <v>0</v>
      </c>
      <c r="X116" s="344">
        <v>0</v>
      </c>
      <c r="Y116" s="344">
        <v>0</v>
      </c>
      <c r="Z116" s="344"/>
      <c r="AA116" s="344">
        <v>0</v>
      </c>
      <c r="AB116" s="344">
        <v>0</v>
      </c>
      <c r="AC116" s="344">
        <v>0</v>
      </c>
      <c r="AD116" s="344">
        <v>0</v>
      </c>
      <c r="AE116" s="344">
        <v>0</v>
      </c>
      <c r="AF116" s="344">
        <v>0</v>
      </c>
      <c r="AG116" s="344">
        <v>0</v>
      </c>
      <c r="AH116" s="344">
        <v>0</v>
      </c>
      <c r="AI116" s="344">
        <v>0</v>
      </c>
      <c r="AJ116" s="344">
        <v>0</v>
      </c>
      <c r="AK116" s="344">
        <v>0</v>
      </c>
      <c r="AL116" s="344">
        <v>0</v>
      </c>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row>
    <row r="117" spans="1:131">
      <c r="A117" s="23"/>
      <c r="B117" s="23" t="s">
        <v>658</v>
      </c>
      <c r="C117" s="344">
        <v>0</v>
      </c>
      <c r="D117" s="344">
        <v>0</v>
      </c>
      <c r="E117" s="344">
        <v>0</v>
      </c>
      <c r="F117" s="344">
        <v>0</v>
      </c>
      <c r="G117" s="344">
        <v>0</v>
      </c>
      <c r="H117" s="344">
        <v>0</v>
      </c>
      <c r="I117" s="344">
        <v>0</v>
      </c>
      <c r="J117" s="344">
        <v>0</v>
      </c>
      <c r="K117" s="344">
        <v>0</v>
      </c>
      <c r="L117" s="345">
        <v>0</v>
      </c>
      <c r="M117" s="344">
        <v>0</v>
      </c>
      <c r="N117" s="344">
        <v>0</v>
      </c>
      <c r="O117" s="344">
        <v>0</v>
      </c>
      <c r="P117" s="344">
        <v>0</v>
      </c>
      <c r="Q117" s="344">
        <v>0</v>
      </c>
      <c r="R117" s="344">
        <v>0</v>
      </c>
      <c r="S117" s="344">
        <v>0</v>
      </c>
      <c r="T117" s="344">
        <v>0</v>
      </c>
      <c r="U117" s="344">
        <v>0</v>
      </c>
      <c r="V117" s="344">
        <v>0</v>
      </c>
      <c r="W117" s="344">
        <v>0</v>
      </c>
      <c r="X117" s="344">
        <v>0</v>
      </c>
      <c r="Y117" s="344">
        <v>0</v>
      </c>
      <c r="Z117" s="344"/>
      <c r="AA117" s="344">
        <v>0</v>
      </c>
      <c r="AB117" s="344">
        <v>0</v>
      </c>
      <c r="AC117" s="344">
        <v>0</v>
      </c>
      <c r="AD117" s="344">
        <v>0</v>
      </c>
      <c r="AE117" s="344">
        <v>0</v>
      </c>
      <c r="AF117" s="344">
        <v>0</v>
      </c>
      <c r="AG117" s="344">
        <v>0</v>
      </c>
      <c r="AH117" s="344">
        <v>0</v>
      </c>
      <c r="AI117" s="344">
        <v>0</v>
      </c>
      <c r="AJ117" s="344">
        <v>0</v>
      </c>
      <c r="AK117" s="344">
        <v>0</v>
      </c>
      <c r="AL117" s="344">
        <v>0</v>
      </c>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row>
    <row r="118" spans="1:131">
      <c r="A118" s="23"/>
      <c r="B118" s="2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row>
    <row r="119" spans="1:131">
      <c r="A119" s="23"/>
      <c r="B119" s="2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row>
    <row r="120" spans="1:131" ht="13.5" thickBot="1">
      <c r="A120" s="308" t="s">
        <v>447</v>
      </c>
      <c r="B120" s="309"/>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row>
    <row r="121" spans="1:131" ht="13.5" thickBot="1">
      <c r="A121" s="310"/>
      <c r="B121" s="311"/>
      <c r="C121" s="61"/>
      <c r="D121" s="61"/>
      <c r="E121" s="61"/>
      <c r="F121" s="61"/>
      <c r="G121" s="61"/>
      <c r="H121" s="61"/>
      <c r="I121" s="61"/>
      <c r="J121" s="61"/>
      <c r="K121" s="61"/>
      <c r="L121" s="61"/>
      <c r="M121" s="61"/>
      <c r="N121" s="61"/>
      <c r="O121" s="58" t="s">
        <v>58</v>
      </c>
      <c r="P121" s="59"/>
      <c r="Q121" s="59"/>
      <c r="R121" s="59"/>
      <c r="S121" s="59"/>
      <c r="T121" s="59"/>
      <c r="U121" s="59"/>
      <c r="V121" s="59"/>
      <c r="W121" s="59"/>
      <c r="X121" s="59"/>
      <c r="Y121" s="59"/>
      <c r="Z121" s="60"/>
      <c r="AA121" s="61"/>
      <c r="AB121" s="58" t="s">
        <v>59</v>
      </c>
      <c r="AC121" s="59"/>
      <c r="AD121" s="59"/>
      <c r="AE121" s="59"/>
      <c r="AF121" s="59"/>
      <c r="AG121" s="59"/>
      <c r="AH121" s="59"/>
      <c r="AI121" s="59"/>
      <c r="AJ121" s="59"/>
      <c r="AK121" s="59"/>
      <c r="AL121" s="59"/>
      <c r="AM121" s="60"/>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row>
    <row r="122" spans="1:131" ht="102">
      <c r="A122" s="312" t="s">
        <v>182</v>
      </c>
      <c r="B122" s="313" t="s">
        <v>183</v>
      </c>
      <c r="C122" s="63" t="s">
        <v>45</v>
      </c>
      <c r="D122" s="63" t="s">
        <v>448</v>
      </c>
      <c r="E122" s="63" t="s">
        <v>449</v>
      </c>
      <c r="F122" s="63" t="s">
        <v>450</v>
      </c>
      <c r="G122" s="63" t="s">
        <v>451</v>
      </c>
      <c r="H122" s="63" t="s">
        <v>452</v>
      </c>
      <c r="I122" s="63" t="s">
        <v>453</v>
      </c>
      <c r="J122" s="63" t="s">
        <v>454</v>
      </c>
      <c r="K122" s="63" t="s">
        <v>455</v>
      </c>
      <c r="L122" s="63" t="s">
        <v>456</v>
      </c>
      <c r="M122" s="63" t="s">
        <v>457</v>
      </c>
      <c r="N122" s="63" t="s">
        <v>60</v>
      </c>
      <c r="O122" s="63" t="s">
        <v>61</v>
      </c>
      <c r="P122" s="63" t="s">
        <v>62</v>
      </c>
      <c r="Q122" s="63" t="s">
        <v>63</v>
      </c>
      <c r="R122" s="63" t="s">
        <v>64</v>
      </c>
      <c r="S122" s="63" t="s">
        <v>65</v>
      </c>
      <c r="T122" s="63" t="s">
        <v>66</v>
      </c>
      <c r="U122" s="63" t="s">
        <v>67</v>
      </c>
      <c r="V122" s="63" t="s">
        <v>68</v>
      </c>
      <c r="W122" s="63" t="s">
        <v>69</v>
      </c>
      <c r="X122" s="63" t="s">
        <v>70</v>
      </c>
      <c r="Y122" s="63" t="s">
        <v>71</v>
      </c>
      <c r="Z122" s="63" t="s">
        <v>72</v>
      </c>
      <c r="AA122" s="63"/>
      <c r="AB122" s="63" t="s">
        <v>61</v>
      </c>
      <c r="AC122" s="63" t="s">
        <v>62</v>
      </c>
      <c r="AD122" s="63" t="s">
        <v>63</v>
      </c>
      <c r="AE122" s="63" t="s">
        <v>64</v>
      </c>
      <c r="AF122" s="63" t="s">
        <v>65</v>
      </c>
      <c r="AG122" s="63" t="s">
        <v>66</v>
      </c>
      <c r="AH122" s="63" t="s">
        <v>67</v>
      </c>
      <c r="AI122" s="63" t="s">
        <v>68</v>
      </c>
      <c r="AJ122" s="63" t="s">
        <v>69</v>
      </c>
      <c r="AK122" s="63" t="s">
        <v>70</v>
      </c>
      <c r="AL122" s="63" t="s">
        <v>71</v>
      </c>
      <c r="AM122" s="63" t="s">
        <v>72</v>
      </c>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row>
    <row r="123" spans="1:131">
      <c r="A123" s="23" t="s">
        <v>436</v>
      </c>
      <c r="B123" s="23"/>
      <c r="C123" s="314">
        <v>480.12368554724708</v>
      </c>
      <c r="D123" s="314">
        <v>30.961500281902097</v>
      </c>
      <c r="E123" s="314">
        <v>6.1923000563804198</v>
      </c>
      <c r="F123" s="314">
        <v>37.153800338282515</v>
      </c>
      <c r="G123" s="314">
        <v>113.60797903388479</v>
      </c>
      <c r="H123" s="314">
        <v>288.24152050354127</v>
      </c>
      <c r="I123" s="314">
        <v>677.88218069763798</v>
      </c>
      <c r="J123" s="314">
        <v>-3.0490787161369473</v>
      </c>
      <c r="K123" s="314">
        <v>10.280201045728052</v>
      </c>
      <c r="L123" s="335">
        <v>2.5371591234588386</v>
      </c>
      <c r="M123" s="314">
        <v>4.5612124987638927</v>
      </c>
      <c r="N123" s="314">
        <v>6.0301720851307701E-2</v>
      </c>
      <c r="O123" s="314">
        <v>23.18777878353416</v>
      </c>
      <c r="P123" s="314">
        <v>21.787338263540963</v>
      </c>
      <c r="Q123" s="314">
        <v>24.711881303785237</v>
      </c>
      <c r="R123" s="314">
        <v>22.516200591859871</v>
      </c>
      <c r="S123" s="314">
        <v>23.094089227391606</v>
      </c>
      <c r="T123" s="314">
        <v>23.020487421620441</v>
      </c>
      <c r="U123" s="314">
        <v>22.042053048682074</v>
      </c>
      <c r="V123" s="314">
        <v>25.144410875221443</v>
      </c>
      <c r="W123" s="314">
        <v>21.657202026036494</v>
      </c>
      <c r="X123" s="314">
        <v>24.604778562596838</v>
      </c>
      <c r="Y123" s="314">
        <v>21.263385367509667</v>
      </c>
      <c r="Z123" s="314">
        <v>21.649837301680186</v>
      </c>
      <c r="AA123" s="314"/>
      <c r="AB123" s="314">
        <v>18.667876436645539</v>
      </c>
      <c r="AC123" s="314">
        <v>16.791839683540591</v>
      </c>
      <c r="AD123" s="314">
        <v>16.701348352437719</v>
      </c>
      <c r="AE123" s="314">
        <v>16.782391422992305</v>
      </c>
      <c r="AF123" s="314">
        <v>16.999189637069172</v>
      </c>
      <c r="AG123" s="314">
        <v>15.758792827661212</v>
      </c>
      <c r="AH123" s="314">
        <v>17.717879101971459</v>
      </c>
      <c r="AI123" s="314">
        <v>16.8850967445313</v>
      </c>
      <c r="AJ123" s="314">
        <v>17.659203695336348</v>
      </c>
      <c r="AK123" s="314">
        <v>16.56611635869692</v>
      </c>
      <c r="AL123" s="314">
        <v>17.423041895507691</v>
      </c>
      <c r="AM123" s="43">
        <v>17.491466617397801</v>
      </c>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row>
    <row r="124" spans="1:131">
      <c r="A124" s="23" t="s">
        <v>444</v>
      </c>
      <c r="B124" s="23"/>
      <c r="C124" s="314">
        <v>52.405790292175645</v>
      </c>
      <c r="D124" s="314">
        <v>6.2711987883631313</v>
      </c>
      <c r="E124" s="314">
        <v>1.2542397576726263</v>
      </c>
      <c r="F124" s="314">
        <v>7.5254385460357573</v>
      </c>
      <c r="G124" s="314">
        <v>20.020972750863134</v>
      </c>
      <c r="H124" s="314">
        <v>31.461736072839415</v>
      </c>
      <c r="I124" s="314">
        <v>1257.9304938583425</v>
      </c>
      <c r="J124" s="314">
        <v>0.44362825631266162</v>
      </c>
      <c r="K124" s="314">
        <v>20.980098599086904</v>
      </c>
      <c r="L124" s="335">
        <v>1.5714389337792316</v>
      </c>
      <c r="M124" s="314">
        <v>0.49785909940231166</v>
      </c>
      <c r="N124" s="314">
        <v>6.5819692556699921E-3</v>
      </c>
      <c r="O124" s="314">
        <v>2.5309600606064464</v>
      </c>
      <c r="P124" s="314">
        <v>2.3781011319248142</v>
      </c>
      <c r="Q124" s="314">
        <v>2.697316771313222</v>
      </c>
      <c r="R124" s="314">
        <v>2.4576568953240119</v>
      </c>
      <c r="S124" s="314">
        <v>2.5207337889610941</v>
      </c>
      <c r="T124" s="314">
        <v>2.5127001074026167</v>
      </c>
      <c r="U124" s="314">
        <v>2.4059034045813008</v>
      </c>
      <c r="V124" s="314">
        <v>2.7445276353013512</v>
      </c>
      <c r="W124" s="314">
        <v>2.3638966829934969</v>
      </c>
      <c r="X124" s="314">
        <v>2.6856264424179943</v>
      </c>
      <c r="Y124" s="314">
        <v>2.320911356833637</v>
      </c>
      <c r="Z124" s="314">
        <v>2.3630928188814058</v>
      </c>
      <c r="AA124" s="314"/>
      <c r="AB124" s="314">
        <v>2.037609989234372</v>
      </c>
      <c r="AC124" s="314">
        <v>1.8328394444286691</v>
      </c>
      <c r="AD124" s="314">
        <v>1.8229622609782592</v>
      </c>
      <c r="AE124" s="314">
        <v>1.8318081610826806</v>
      </c>
      <c r="AF124" s="314">
        <v>1.8554718171043172</v>
      </c>
      <c r="AG124" s="314">
        <v>1.7200817561061279</v>
      </c>
      <c r="AH124" s="314">
        <v>1.9339172063167578</v>
      </c>
      <c r="AI124" s="314">
        <v>1.8430185089669517</v>
      </c>
      <c r="AJ124" s="314">
        <v>1.9275127502401472</v>
      </c>
      <c r="AK124" s="314">
        <v>1.8082016071756972</v>
      </c>
      <c r="AL124" s="314">
        <v>1.9017355471372905</v>
      </c>
      <c r="AM124" s="43">
        <v>1.9092041468629766</v>
      </c>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row>
    <row r="125" spans="1:131">
      <c r="A125" s="23" t="s">
        <v>442</v>
      </c>
      <c r="B125" s="23"/>
      <c r="C125" s="314">
        <v>221.72389652201252</v>
      </c>
      <c r="D125" s="314">
        <v>43.365883450568482</v>
      </c>
      <c r="E125" s="314">
        <v>8.6731766901136975</v>
      </c>
      <c r="F125" s="314">
        <v>52.039060140682182</v>
      </c>
      <c r="G125" s="314">
        <v>103.32037595037009</v>
      </c>
      <c r="H125" s="314">
        <v>133.11160225855079</v>
      </c>
      <c r="I125" s="314">
        <v>2055.9902382336059</v>
      </c>
      <c r="J125" s="314">
        <v>5.2490707864740731</v>
      </c>
      <c r="K125" s="314">
        <v>27.157230174928788</v>
      </c>
      <c r="L125" s="335">
        <v>1.2883383459859932</v>
      </c>
      <c r="M125" s="314">
        <v>2.1063943282408943</v>
      </c>
      <c r="N125" s="314">
        <v>2.7847683662794227E-2</v>
      </c>
      <c r="O125" s="314">
        <v>10.708250432835005</v>
      </c>
      <c r="P125" s="314">
        <v>10.061518896176306</v>
      </c>
      <c r="Q125" s="314">
        <v>11.412089796860361</v>
      </c>
      <c r="R125" s="314">
        <v>10.398111737412158</v>
      </c>
      <c r="S125" s="314">
        <v>10.664984053615099</v>
      </c>
      <c r="T125" s="314">
        <v>10.630994313767046</v>
      </c>
      <c r="U125" s="314">
        <v>10.179147658021048</v>
      </c>
      <c r="V125" s="314">
        <v>11.611834456052758</v>
      </c>
      <c r="W125" s="314">
        <v>10.00142122858194</v>
      </c>
      <c r="X125" s="314">
        <v>11.362629131162496</v>
      </c>
      <c r="Y125" s="314">
        <v>9.8195544166075983</v>
      </c>
      <c r="Z125" s="314">
        <v>9.9980201562536006</v>
      </c>
      <c r="AA125" s="314"/>
      <c r="AB125" s="314">
        <v>8.620933371797161</v>
      </c>
      <c r="AC125" s="314">
        <v>7.7545687423521104</v>
      </c>
      <c r="AD125" s="314">
        <v>7.7127793219640655</v>
      </c>
      <c r="AE125" s="314">
        <v>7.7502054809526397</v>
      </c>
      <c r="AF125" s="314">
        <v>7.8503241508519306</v>
      </c>
      <c r="AG125" s="314">
        <v>7.2775017259346315</v>
      </c>
      <c r="AH125" s="314">
        <v>8.1822191048903417</v>
      </c>
      <c r="AI125" s="314">
        <v>7.7976353928079893</v>
      </c>
      <c r="AJ125" s="314">
        <v>8.1551224625442718</v>
      </c>
      <c r="AK125" s="314">
        <v>7.6503284046499678</v>
      </c>
      <c r="AL125" s="314">
        <v>8.0460615766852897</v>
      </c>
      <c r="AM125" s="43">
        <v>8.0776605092366349</v>
      </c>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row>
    <row r="126" spans="1:131">
      <c r="A126" s="23"/>
      <c r="B126" s="2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B2:Y32"/>
  <sheetViews>
    <sheetView topLeftCell="B1" zoomScale="115" zoomScaleNormal="115" workbookViewId="0">
      <selection activeCell="R14" sqref="R14"/>
    </sheetView>
  </sheetViews>
  <sheetFormatPr defaultRowHeight="15"/>
  <cols>
    <col min="1" max="1" width="6.28515625" style="71" customWidth="1"/>
    <col min="2" max="2" width="27.5703125" style="71" customWidth="1"/>
    <col min="3" max="13" width="9.140625" style="71"/>
    <col min="14" max="15" width="15.7109375" style="71" customWidth="1"/>
    <col min="16" max="16" width="14.28515625" style="71" customWidth="1"/>
    <col min="17" max="17" width="10.140625" style="71" bestFit="1" customWidth="1"/>
    <col min="18" max="18" width="9.140625" style="71"/>
    <col min="19" max="19" width="25.85546875" style="71" customWidth="1"/>
    <col min="20" max="20" width="12.140625" style="71" customWidth="1"/>
    <col min="21" max="21" width="11" style="71" customWidth="1"/>
    <col min="22" max="24" width="9.140625" style="71"/>
    <col min="25" max="25" width="126.5703125" style="71" customWidth="1"/>
    <col min="26" max="16384" width="9.140625" style="71"/>
  </cols>
  <sheetData>
    <row r="2" spans="2:25" ht="15.75" thickBot="1">
      <c r="B2" s="71" t="s">
        <v>184</v>
      </c>
    </row>
    <row r="3" spans="2:25" ht="68.25" thickBot="1">
      <c r="B3" s="103" t="s">
        <v>183</v>
      </c>
      <c r="C3" s="103" t="s">
        <v>182</v>
      </c>
      <c r="D3" s="103" t="s">
        <v>437</v>
      </c>
      <c r="E3" s="103" t="s">
        <v>181</v>
      </c>
      <c r="F3" s="103" t="s">
        <v>180</v>
      </c>
      <c r="G3" s="103" t="s">
        <v>179</v>
      </c>
      <c r="H3" s="103" t="s">
        <v>178</v>
      </c>
      <c r="I3" s="103" t="s">
        <v>177</v>
      </c>
      <c r="J3" s="103" t="s">
        <v>176</v>
      </c>
      <c r="K3" s="103" t="s">
        <v>175</v>
      </c>
      <c r="L3" s="103" t="s">
        <v>174</v>
      </c>
      <c r="M3" s="103" t="s">
        <v>173</v>
      </c>
      <c r="N3" s="103" t="s">
        <v>443</v>
      </c>
      <c r="O3" s="103" t="s">
        <v>439</v>
      </c>
      <c r="P3" s="348" t="s">
        <v>659</v>
      </c>
      <c r="S3" s="102" t="s">
        <v>172</v>
      </c>
      <c r="T3" s="101" t="s">
        <v>171</v>
      </c>
      <c r="U3" s="101" t="s">
        <v>438</v>
      </c>
      <c r="V3" s="101" t="s">
        <v>439</v>
      </c>
      <c r="Y3" s="70" t="s">
        <v>115</v>
      </c>
    </row>
    <row r="4" spans="2:25" ht="23.25" customHeight="1" thickBot="1">
      <c r="B4" s="104" t="s">
        <v>74</v>
      </c>
      <c r="C4" s="105" t="s">
        <v>162</v>
      </c>
      <c r="D4" s="105" t="s">
        <v>146</v>
      </c>
      <c r="E4" s="105" t="s">
        <v>160</v>
      </c>
      <c r="F4" s="105">
        <v>0.1</v>
      </c>
      <c r="G4" s="105">
        <v>0.5</v>
      </c>
      <c r="H4" s="105">
        <f t="shared" ref="H4:H30" si="0">AVERAGE(F4:G4)</f>
        <v>0.3</v>
      </c>
      <c r="I4" s="106">
        <v>0.1032</v>
      </c>
      <c r="J4" s="107">
        <f t="shared" ref="J4:J30" si="1">H4*I4</f>
        <v>3.0959999999999998E-2</v>
      </c>
      <c r="K4" s="105">
        <v>5</v>
      </c>
      <c r="L4" s="108">
        <v>0.04</v>
      </c>
      <c r="M4" s="351">
        <f t="shared" ref="M4:M30" si="2">((L4*(1+L4)^K4)/(((1+L4)^K4)-1))*J4</f>
        <v>6.9544554337443209E-3</v>
      </c>
      <c r="N4" s="110">
        <v>0.15</v>
      </c>
      <c r="O4" s="300">
        <f>N4*$V$4</f>
        <v>6.7107537765569894E-2</v>
      </c>
      <c r="P4" s="106">
        <f>J4*O4</f>
        <v>2.077649369222044E-3</v>
      </c>
      <c r="S4" s="111" t="s">
        <v>440</v>
      </c>
      <c r="T4" s="111">
        <f>+SUMPRODUCT(M4:M7,N4:N7)</f>
        <v>1.5545479694172965E-2</v>
      </c>
      <c r="U4" s="112">
        <f>SUMPRODUCT(J4:J7,N4:N7)</f>
        <v>6.9205713648878273E-2</v>
      </c>
      <c r="V4" s="355">
        <f>'[3]Scenarios Graphs'!$Z$83</f>
        <v>0.44738358510379928</v>
      </c>
      <c r="Y4" s="72" t="s">
        <v>116</v>
      </c>
    </row>
    <row r="5" spans="2:25" ht="23.25" customHeight="1" thickBot="1">
      <c r="B5" s="104" t="s">
        <v>75</v>
      </c>
      <c r="C5" s="105" t="s">
        <v>162</v>
      </c>
      <c r="D5" s="105" t="s">
        <v>146</v>
      </c>
      <c r="E5" s="105" t="s">
        <v>170</v>
      </c>
      <c r="F5" s="105">
        <v>0.1</v>
      </c>
      <c r="G5" s="105">
        <v>1.5</v>
      </c>
      <c r="H5" s="105">
        <f t="shared" si="0"/>
        <v>0.8</v>
      </c>
      <c r="I5" s="106">
        <v>0.1032</v>
      </c>
      <c r="J5" s="107">
        <f t="shared" si="1"/>
        <v>8.2560000000000008E-2</v>
      </c>
      <c r="K5" s="105">
        <v>5</v>
      </c>
      <c r="L5" s="108">
        <v>0.04</v>
      </c>
      <c r="M5" s="351">
        <f t="shared" si="2"/>
        <v>1.8545214489984859E-2</v>
      </c>
      <c r="N5" s="110">
        <v>0.67295949089523077</v>
      </c>
      <c r="O5" s="300">
        <f t="shared" ref="O5:O7" si="3">N5*$V$4</f>
        <v>0.30107102966633592</v>
      </c>
      <c r="P5" s="106">
        <f t="shared" ref="P5:P25" si="4">J5*O5</f>
        <v>2.4856424209252697E-2</v>
      </c>
      <c r="Q5" s="350"/>
      <c r="S5" s="98" t="s">
        <v>442</v>
      </c>
      <c r="T5" s="98">
        <f>+SUMPRODUCT(M8:M21,N8:N21)</f>
        <v>2.952996272697158E-2</v>
      </c>
      <c r="U5" s="97">
        <f>SUMPRODUCT(N8:N21,J8:J21)</f>
        <v>0.20558540382571167</v>
      </c>
      <c r="V5" s="356">
        <f>'[3]Scenarios Graphs'!$Z$84</f>
        <v>0.21093853281205022</v>
      </c>
      <c r="Y5" s="72" t="s">
        <v>117</v>
      </c>
    </row>
    <row r="6" spans="2:25" ht="23.25" customHeight="1" thickBot="1">
      <c r="B6" s="104" t="s">
        <v>76</v>
      </c>
      <c r="C6" s="105" t="s">
        <v>162</v>
      </c>
      <c r="D6" s="105" t="s">
        <v>146</v>
      </c>
      <c r="E6" s="105" t="s">
        <v>160</v>
      </c>
      <c r="F6" s="105">
        <v>0</v>
      </c>
      <c r="G6" s="105">
        <v>0</v>
      </c>
      <c r="H6" s="105">
        <f t="shared" si="0"/>
        <v>0</v>
      </c>
      <c r="I6" s="106">
        <v>0.1032</v>
      </c>
      <c r="J6" s="107">
        <f t="shared" si="1"/>
        <v>0</v>
      </c>
      <c r="K6" s="105">
        <v>5</v>
      </c>
      <c r="L6" s="108">
        <v>0.04</v>
      </c>
      <c r="M6" s="109">
        <f t="shared" si="2"/>
        <v>0</v>
      </c>
      <c r="N6" s="110">
        <v>5.2252795300389621E-2</v>
      </c>
      <c r="O6" s="300">
        <f t="shared" si="3"/>
        <v>2.3377042893183264E-2</v>
      </c>
      <c r="P6" s="106">
        <f t="shared" si="4"/>
        <v>0</v>
      </c>
      <c r="S6" s="100" t="s">
        <v>441</v>
      </c>
      <c r="T6" s="100">
        <f>+SUMPRODUCT(M22:M25,N22:N25)</f>
        <v>2.4273559318362722E-2</v>
      </c>
      <c r="U6" s="99">
        <f>SUMPRODUCT(N22:N25,J22:J25)</f>
        <v>0.12472404181476089</v>
      </c>
      <c r="V6" s="357">
        <f>'[3]Scenarios Graphs'!$Z$85</f>
        <v>5.0280593036561974E-2</v>
      </c>
      <c r="Y6" s="72" t="s">
        <v>118</v>
      </c>
    </row>
    <row r="7" spans="2:25" ht="23.25" customHeight="1" thickBot="1">
      <c r="B7" s="104" t="s">
        <v>77</v>
      </c>
      <c r="C7" s="105" t="s">
        <v>162</v>
      </c>
      <c r="D7" s="105" t="s">
        <v>146</v>
      </c>
      <c r="E7" s="105" t="s">
        <v>169</v>
      </c>
      <c r="F7" s="105">
        <v>0.5</v>
      </c>
      <c r="G7" s="105">
        <v>0.9</v>
      </c>
      <c r="H7" s="105">
        <f t="shared" si="0"/>
        <v>0.7</v>
      </c>
      <c r="I7" s="106">
        <v>0.1032</v>
      </c>
      <c r="J7" s="107">
        <f t="shared" si="1"/>
        <v>7.2239999999999999E-2</v>
      </c>
      <c r="K7" s="105">
        <v>5</v>
      </c>
      <c r="L7" s="108">
        <v>0.04</v>
      </c>
      <c r="M7" s="109">
        <f t="shared" si="2"/>
        <v>1.6227062678736748E-2</v>
      </c>
      <c r="N7" s="110">
        <v>0.12461486822491707</v>
      </c>
      <c r="O7" s="300">
        <f t="shared" si="3"/>
        <v>5.5750646503700922E-2</v>
      </c>
      <c r="P7" s="106">
        <f t="shared" si="4"/>
        <v>4.0274267034273543E-3</v>
      </c>
      <c r="Y7" s="72" t="s">
        <v>119</v>
      </c>
    </row>
    <row r="8" spans="2:25" ht="23.25" customHeight="1" thickBot="1">
      <c r="B8" s="79" t="s">
        <v>79</v>
      </c>
      <c r="C8" s="76" t="s">
        <v>147</v>
      </c>
      <c r="D8" s="76" t="s">
        <v>146</v>
      </c>
      <c r="E8" s="76" t="s">
        <v>157</v>
      </c>
      <c r="F8" s="76">
        <v>1</v>
      </c>
      <c r="G8" s="76">
        <v>1.5</v>
      </c>
      <c r="H8" s="76">
        <f t="shared" si="0"/>
        <v>1.25</v>
      </c>
      <c r="I8" s="78">
        <v>0.1032</v>
      </c>
      <c r="J8" s="77">
        <f t="shared" si="1"/>
        <v>0.129</v>
      </c>
      <c r="K8" s="76">
        <v>5</v>
      </c>
      <c r="L8" s="75">
        <v>0.04</v>
      </c>
      <c r="M8" s="74">
        <f t="shared" si="2"/>
        <v>2.8976897640601341E-2</v>
      </c>
      <c r="N8" s="73">
        <v>0.36778914517581429</v>
      </c>
      <c r="O8" s="303">
        <f t="shared" ref="O8:O21" si="5">N8*$V$5</f>
        <v>7.7580902667584398E-2</v>
      </c>
      <c r="P8" s="77">
        <f t="shared" si="4"/>
        <v>1.0007936444118388E-2</v>
      </c>
      <c r="Q8" s="81"/>
      <c r="R8" s="81"/>
      <c r="V8" s="358">
        <f>SUM(V4:V6)</f>
        <v>0.70860271095241145</v>
      </c>
      <c r="Y8" s="72" t="s">
        <v>120</v>
      </c>
    </row>
    <row r="9" spans="2:25" ht="23.25" customHeight="1" thickBot="1">
      <c r="B9" s="79" t="s">
        <v>80</v>
      </c>
      <c r="C9" s="76" t="s">
        <v>147</v>
      </c>
      <c r="D9" s="76" t="s">
        <v>146</v>
      </c>
      <c r="E9" s="76" t="s">
        <v>157</v>
      </c>
      <c r="F9" s="76">
        <v>1</v>
      </c>
      <c r="G9" s="76">
        <v>1.5</v>
      </c>
      <c r="H9" s="76">
        <f t="shared" si="0"/>
        <v>1.25</v>
      </c>
      <c r="I9" s="78">
        <v>0.1032</v>
      </c>
      <c r="J9" s="77">
        <f t="shared" si="1"/>
        <v>0.129</v>
      </c>
      <c r="K9" s="76">
        <v>5</v>
      </c>
      <c r="L9" s="75">
        <v>0.04</v>
      </c>
      <c r="M9" s="74">
        <f t="shared" si="2"/>
        <v>2.8976897640601341E-2</v>
      </c>
      <c r="N9" s="73">
        <v>0.11039669362698101</v>
      </c>
      <c r="O9" s="303">
        <f t="shared" si="5"/>
        <v>2.3286916580976789E-2</v>
      </c>
      <c r="P9" s="77">
        <f t="shared" si="4"/>
        <v>3.0040122389460057E-3</v>
      </c>
      <c r="Q9" s="81"/>
      <c r="R9" s="81"/>
      <c r="Y9" s="72" t="s">
        <v>121</v>
      </c>
    </row>
    <row r="10" spans="2:25" ht="23.25" customHeight="1" thickBot="1">
      <c r="B10" s="79" t="s">
        <v>81</v>
      </c>
      <c r="C10" s="76" t="s">
        <v>147</v>
      </c>
      <c r="D10" s="76" t="s">
        <v>146</v>
      </c>
      <c r="E10" s="76"/>
      <c r="F10" s="76">
        <v>0</v>
      </c>
      <c r="G10" s="76">
        <v>0</v>
      </c>
      <c r="H10" s="76">
        <f t="shared" si="0"/>
        <v>0</v>
      </c>
      <c r="I10" s="78">
        <v>0.1032</v>
      </c>
      <c r="J10" s="77">
        <f t="shared" si="1"/>
        <v>0</v>
      </c>
      <c r="K10" s="76">
        <v>5</v>
      </c>
      <c r="L10" s="75">
        <v>0.04</v>
      </c>
      <c r="M10" s="74">
        <f t="shared" si="2"/>
        <v>0</v>
      </c>
      <c r="N10" s="73">
        <v>0.12411548973828523</v>
      </c>
      <c r="O10" s="303">
        <f t="shared" si="5"/>
        <v>2.6180739304642962E-2</v>
      </c>
      <c r="P10" s="77">
        <f t="shared" si="4"/>
        <v>0</v>
      </c>
      <c r="Q10" s="81"/>
      <c r="R10" s="81"/>
      <c r="Y10" s="72" t="s">
        <v>122</v>
      </c>
    </row>
    <row r="11" spans="2:25" ht="23.25" customHeight="1" thickBot="1">
      <c r="B11" s="79" t="s">
        <v>82</v>
      </c>
      <c r="C11" s="76" t="s">
        <v>147</v>
      </c>
      <c r="D11" s="76" t="s">
        <v>146</v>
      </c>
      <c r="E11" s="80" t="s">
        <v>156</v>
      </c>
      <c r="F11" s="76">
        <v>2</v>
      </c>
      <c r="G11" s="76">
        <v>4</v>
      </c>
      <c r="H11" s="76">
        <f t="shared" si="0"/>
        <v>3</v>
      </c>
      <c r="I11" s="78">
        <v>0.1032</v>
      </c>
      <c r="J11" s="77">
        <f t="shared" si="1"/>
        <v>0.30959999999999999</v>
      </c>
      <c r="K11" s="76">
        <v>5</v>
      </c>
      <c r="L11" s="75">
        <v>0.04</v>
      </c>
      <c r="M11" s="74">
        <f t="shared" si="2"/>
        <v>6.9544554337443207E-2</v>
      </c>
      <c r="N11" s="73">
        <v>2.2781566575615697E-2</v>
      </c>
      <c r="O11" s="303">
        <f t="shared" si="5"/>
        <v>4.8055102286204184E-3</v>
      </c>
      <c r="P11" s="77">
        <f t="shared" si="4"/>
        <v>1.4877859667808814E-3</v>
      </c>
      <c r="Q11" s="81"/>
      <c r="R11" s="81"/>
      <c r="S11" s="420" t="s">
        <v>800</v>
      </c>
      <c r="T11" s="421">
        <f>1/ROUND(T12,0)</f>
        <v>0.16666666666666666</v>
      </c>
      <c r="Y11" s="72" t="s">
        <v>123</v>
      </c>
    </row>
    <row r="12" spans="2:25" ht="23.25" customHeight="1" thickBot="1">
      <c r="B12" s="79" t="s">
        <v>83</v>
      </c>
      <c r="C12" s="76" t="s">
        <v>147</v>
      </c>
      <c r="D12" s="76" t="s">
        <v>146</v>
      </c>
      <c r="E12" s="76" t="s">
        <v>155</v>
      </c>
      <c r="F12" s="76">
        <v>1</v>
      </c>
      <c r="G12" s="76">
        <v>6.7</v>
      </c>
      <c r="H12" s="76">
        <f t="shared" si="0"/>
        <v>3.85</v>
      </c>
      <c r="I12" s="78">
        <v>0.1032</v>
      </c>
      <c r="J12" s="77">
        <f t="shared" si="1"/>
        <v>0.39732000000000001</v>
      </c>
      <c r="K12" s="76">
        <v>15</v>
      </c>
      <c r="L12" s="75">
        <v>0.04</v>
      </c>
      <c r="M12" s="74">
        <f t="shared" si="2"/>
        <v>3.5735397999395048E-2</v>
      </c>
      <c r="N12" s="73">
        <v>0.21</v>
      </c>
      <c r="O12" s="303">
        <f t="shared" si="5"/>
        <v>4.4297091890530542E-2</v>
      </c>
      <c r="P12" s="77">
        <f t="shared" si="4"/>
        <v>1.7600120549945596E-2</v>
      </c>
      <c r="Q12" s="81"/>
      <c r="R12" s="81"/>
      <c r="S12" s="71" t="s">
        <v>801</v>
      </c>
      <c r="T12" s="419">
        <f>SUMPRODUCT(K4:K25,O4:O25)/SUM(O4:O25)</f>
        <v>5.9321810646311013</v>
      </c>
      <c r="Y12" s="72" t="s">
        <v>124</v>
      </c>
    </row>
    <row r="13" spans="2:25" ht="23.25" customHeight="1" thickBot="1">
      <c r="B13" s="79" t="s">
        <v>84</v>
      </c>
      <c r="C13" s="76" t="s">
        <v>147</v>
      </c>
      <c r="D13" s="76" t="s">
        <v>146</v>
      </c>
      <c r="E13" s="76" t="s">
        <v>154</v>
      </c>
      <c r="F13" s="76">
        <v>2.2000000000000002</v>
      </c>
      <c r="G13" s="76">
        <v>3</v>
      </c>
      <c r="H13" s="76">
        <v>5</v>
      </c>
      <c r="I13" s="78">
        <v>0.1032</v>
      </c>
      <c r="J13" s="77">
        <f t="shared" si="1"/>
        <v>0.51600000000000001</v>
      </c>
      <c r="K13" s="76">
        <v>10</v>
      </c>
      <c r="L13" s="75">
        <v>0.04</v>
      </c>
      <c r="M13" s="74">
        <f t="shared" si="2"/>
        <v>6.3618127274350386E-2</v>
      </c>
      <c r="N13" s="73">
        <v>0.05</v>
      </c>
      <c r="O13" s="303">
        <f t="shared" si="5"/>
        <v>1.0546926640602512E-2</v>
      </c>
      <c r="P13" s="77">
        <f t="shared" si="4"/>
        <v>5.4422141465508963E-3</v>
      </c>
      <c r="Y13" s="72" t="s">
        <v>125</v>
      </c>
    </row>
    <row r="14" spans="2:25" ht="23.25" customHeight="1" thickBot="1">
      <c r="B14" s="79" t="s">
        <v>85</v>
      </c>
      <c r="C14" s="76" t="s">
        <v>147</v>
      </c>
      <c r="D14" s="76" t="s">
        <v>146</v>
      </c>
      <c r="E14" s="76" t="s">
        <v>153</v>
      </c>
      <c r="F14" s="76">
        <v>1</v>
      </c>
      <c r="G14" s="76">
        <v>2.2000000000000002</v>
      </c>
      <c r="H14" s="76">
        <f t="shared" si="0"/>
        <v>1.6</v>
      </c>
      <c r="I14" s="78">
        <v>0.1032</v>
      </c>
      <c r="J14" s="77">
        <f t="shared" si="1"/>
        <v>0.16512000000000002</v>
      </c>
      <c r="K14" s="76">
        <v>10</v>
      </c>
      <c r="L14" s="75">
        <v>0.04</v>
      </c>
      <c r="M14" s="74">
        <f t="shared" si="2"/>
        <v>2.0357800727792124E-2</v>
      </c>
      <c r="N14" s="73">
        <f>5.02403057254075%/8</f>
        <v>6.2800382156759371E-3</v>
      </c>
      <c r="O14" s="303">
        <f t="shared" si="5"/>
        <v>1.324702047218288E-3</v>
      </c>
      <c r="P14" s="77">
        <f t="shared" si="4"/>
        <v>2.1873480203668373E-4</v>
      </c>
      <c r="Y14" s="72" t="s">
        <v>126</v>
      </c>
    </row>
    <row r="15" spans="2:25" ht="23.25" customHeight="1" thickBot="1">
      <c r="B15" s="79" t="s">
        <v>86</v>
      </c>
      <c r="C15" s="76" t="s">
        <v>147</v>
      </c>
      <c r="D15" s="76" t="s">
        <v>146</v>
      </c>
      <c r="E15" s="76" t="s">
        <v>152</v>
      </c>
      <c r="F15" s="76">
        <v>0.7</v>
      </c>
      <c r="G15" s="76">
        <v>3.3</v>
      </c>
      <c r="H15" s="76">
        <f t="shared" si="0"/>
        <v>2</v>
      </c>
      <c r="I15" s="78">
        <v>0.1032</v>
      </c>
      <c r="J15" s="77">
        <f t="shared" si="1"/>
        <v>0.2064</v>
      </c>
      <c r="K15" s="76">
        <v>10</v>
      </c>
      <c r="L15" s="75">
        <v>0.04</v>
      </c>
      <c r="M15" s="74">
        <f t="shared" si="2"/>
        <v>2.5447250909740152E-2</v>
      </c>
      <c r="N15" s="73">
        <f t="shared" ref="N15:N21" si="6">5.02403057254075%/4</f>
        <v>1.2560076431351874E-2</v>
      </c>
      <c r="O15" s="303">
        <f t="shared" si="5"/>
        <v>2.6494040944365759E-3</v>
      </c>
      <c r="P15" s="77">
        <f t="shared" si="4"/>
        <v>5.4683700509170928E-4</v>
      </c>
      <c r="Y15" s="72" t="s">
        <v>127</v>
      </c>
    </row>
    <row r="16" spans="2:25" ht="23.25" customHeight="1" thickBot="1">
      <c r="B16" s="79" t="s">
        <v>87</v>
      </c>
      <c r="C16" s="76" t="s">
        <v>147</v>
      </c>
      <c r="D16" s="76" t="s">
        <v>146</v>
      </c>
      <c r="E16" s="76" t="s">
        <v>151</v>
      </c>
      <c r="F16" s="76">
        <v>0.5</v>
      </c>
      <c r="G16" s="76">
        <v>2.4</v>
      </c>
      <c r="H16" s="76">
        <f t="shared" si="0"/>
        <v>1.45</v>
      </c>
      <c r="I16" s="78">
        <v>0.1032</v>
      </c>
      <c r="J16" s="77">
        <f t="shared" si="1"/>
        <v>0.14964</v>
      </c>
      <c r="K16" s="76">
        <v>10</v>
      </c>
      <c r="L16" s="75">
        <v>0.04</v>
      </c>
      <c r="M16" s="74">
        <f t="shared" si="2"/>
        <v>1.8449256909561611E-2</v>
      </c>
      <c r="N16" s="73">
        <f t="shared" si="6"/>
        <v>1.2560076431351874E-2</v>
      </c>
      <c r="O16" s="303">
        <f t="shared" si="5"/>
        <v>2.6494040944365759E-3</v>
      </c>
      <c r="P16" s="77">
        <f t="shared" si="4"/>
        <v>3.9645682869148918E-4</v>
      </c>
      <c r="Y16" s="72" t="s">
        <v>128</v>
      </c>
    </row>
    <row r="17" spans="2:25" s="81" customFormat="1" ht="23.25" customHeight="1" thickBot="1">
      <c r="B17" s="79" t="s">
        <v>88</v>
      </c>
      <c r="C17" s="76" t="s">
        <v>147</v>
      </c>
      <c r="D17" s="76" t="s">
        <v>146</v>
      </c>
      <c r="E17" s="76">
        <v>2.6</v>
      </c>
      <c r="F17" s="76">
        <v>2.6</v>
      </c>
      <c r="G17" s="76">
        <v>2.6</v>
      </c>
      <c r="H17" s="76">
        <f t="shared" si="0"/>
        <v>2.6</v>
      </c>
      <c r="I17" s="78">
        <v>0.1032</v>
      </c>
      <c r="J17" s="77">
        <f t="shared" si="1"/>
        <v>0.26832</v>
      </c>
      <c r="K17" s="76">
        <v>10</v>
      </c>
      <c r="L17" s="75">
        <v>0.04</v>
      </c>
      <c r="M17" s="74">
        <f t="shared" si="2"/>
        <v>3.3081426182662202E-2</v>
      </c>
      <c r="N17" s="73">
        <f t="shared" si="6"/>
        <v>1.2560076431351874E-2</v>
      </c>
      <c r="O17" s="303">
        <f t="shared" si="5"/>
        <v>2.6494040944365759E-3</v>
      </c>
      <c r="P17" s="77">
        <f t="shared" si="4"/>
        <v>7.1088810661922204E-4</v>
      </c>
      <c r="Q17" s="71"/>
      <c r="R17" s="71"/>
      <c r="Y17" s="72" t="s">
        <v>129</v>
      </c>
    </row>
    <row r="18" spans="2:25" s="81" customFormat="1" ht="23.25" customHeight="1" thickBot="1">
      <c r="B18" s="79" t="s">
        <v>89</v>
      </c>
      <c r="C18" s="76" t="s">
        <v>147</v>
      </c>
      <c r="D18" s="76" t="s">
        <v>146</v>
      </c>
      <c r="E18" s="76" t="s">
        <v>150</v>
      </c>
      <c r="F18" s="76">
        <v>0.8</v>
      </c>
      <c r="G18" s="76">
        <v>6.9</v>
      </c>
      <c r="H18" s="76">
        <f t="shared" si="0"/>
        <v>3.85</v>
      </c>
      <c r="I18" s="78">
        <v>0.1032</v>
      </c>
      <c r="J18" s="77">
        <f t="shared" si="1"/>
        <v>0.39732000000000001</v>
      </c>
      <c r="K18" s="76">
        <v>10</v>
      </c>
      <c r="L18" s="75">
        <v>0.04</v>
      </c>
      <c r="M18" s="74">
        <f t="shared" si="2"/>
        <v>4.8985958001249795E-2</v>
      </c>
      <c r="N18" s="73">
        <f t="shared" si="6"/>
        <v>1.2560076431351874E-2</v>
      </c>
      <c r="O18" s="303">
        <f t="shared" si="5"/>
        <v>2.6494040944365759E-3</v>
      </c>
      <c r="P18" s="77">
        <f t="shared" si="4"/>
        <v>1.0526612348015403E-3</v>
      </c>
      <c r="Q18" s="71"/>
      <c r="R18" s="71"/>
      <c r="Y18" s="72" t="s">
        <v>130</v>
      </c>
    </row>
    <row r="19" spans="2:25" s="81" customFormat="1" ht="23.25" customHeight="1" thickBot="1">
      <c r="B19" s="79" t="s">
        <v>90</v>
      </c>
      <c r="C19" s="76" t="s">
        <v>147</v>
      </c>
      <c r="D19" s="76" t="s">
        <v>146</v>
      </c>
      <c r="E19" s="80" t="s">
        <v>149</v>
      </c>
      <c r="F19" s="76">
        <v>2</v>
      </c>
      <c r="G19" s="76">
        <v>3</v>
      </c>
      <c r="H19" s="76">
        <f t="shared" si="0"/>
        <v>2.5</v>
      </c>
      <c r="I19" s="78">
        <v>0.1032</v>
      </c>
      <c r="J19" s="77">
        <f t="shared" si="1"/>
        <v>0.25800000000000001</v>
      </c>
      <c r="K19" s="76">
        <v>10</v>
      </c>
      <c r="L19" s="75">
        <v>0.04</v>
      </c>
      <c r="M19" s="74">
        <f t="shared" si="2"/>
        <v>3.1809063637175193E-2</v>
      </c>
      <c r="N19" s="73">
        <f t="shared" si="6"/>
        <v>1.2560076431351874E-2</v>
      </c>
      <c r="O19" s="303">
        <f t="shared" si="5"/>
        <v>2.6494040944365759E-3</v>
      </c>
      <c r="P19" s="77">
        <f t="shared" si="4"/>
        <v>6.835462563646366E-4</v>
      </c>
      <c r="Q19" s="71"/>
      <c r="R19" s="71"/>
      <c r="Y19" s="72" t="s">
        <v>131</v>
      </c>
    </row>
    <row r="20" spans="2:25" s="81" customFormat="1" ht="23.25" customHeight="1" thickBot="1">
      <c r="B20" s="79" t="s">
        <v>91</v>
      </c>
      <c r="C20" s="76" t="s">
        <v>147</v>
      </c>
      <c r="D20" s="76" t="s">
        <v>146</v>
      </c>
      <c r="E20" s="76" t="s">
        <v>148</v>
      </c>
      <c r="F20" s="76">
        <v>2.2999999999999998</v>
      </c>
      <c r="G20" s="76">
        <v>6.9</v>
      </c>
      <c r="H20" s="76">
        <f t="shared" si="0"/>
        <v>4.5999999999999996</v>
      </c>
      <c r="I20" s="78">
        <v>0.1032</v>
      </c>
      <c r="J20" s="77">
        <f t="shared" si="1"/>
        <v>0.47471999999999998</v>
      </c>
      <c r="K20" s="76">
        <v>10</v>
      </c>
      <c r="L20" s="75">
        <v>0.04</v>
      </c>
      <c r="M20" s="74">
        <f t="shared" si="2"/>
        <v>5.8528677092402351E-2</v>
      </c>
      <c r="N20" s="73">
        <f t="shared" si="6"/>
        <v>1.2560076431351874E-2</v>
      </c>
      <c r="O20" s="303">
        <f t="shared" si="5"/>
        <v>2.6494040944365759E-3</v>
      </c>
      <c r="P20" s="77">
        <f t="shared" si="4"/>
        <v>1.2577251117109312E-3</v>
      </c>
      <c r="Q20" s="71"/>
      <c r="R20" s="71"/>
      <c r="Y20" s="72" t="s">
        <v>132</v>
      </c>
    </row>
    <row r="21" spans="2:25" s="81" customFormat="1" ht="23.25" customHeight="1" thickBot="1">
      <c r="B21" s="79" t="s">
        <v>92</v>
      </c>
      <c r="C21" s="76" t="s">
        <v>147</v>
      </c>
      <c r="D21" s="76" t="s">
        <v>146</v>
      </c>
      <c r="E21" s="76" t="s">
        <v>145</v>
      </c>
      <c r="F21" s="76">
        <v>1.9</v>
      </c>
      <c r="G21" s="76">
        <v>5.0999999999999996</v>
      </c>
      <c r="H21" s="76">
        <f t="shared" si="0"/>
        <v>3.5</v>
      </c>
      <c r="I21" s="78">
        <v>0.1032</v>
      </c>
      <c r="J21" s="77">
        <f t="shared" si="1"/>
        <v>0.36120000000000002</v>
      </c>
      <c r="K21" s="76">
        <v>10</v>
      </c>
      <c r="L21" s="75">
        <v>0.04</v>
      </c>
      <c r="M21" s="74">
        <f t="shared" si="2"/>
        <v>4.4532689092045274E-2</v>
      </c>
      <c r="N21" s="73">
        <f t="shared" si="6"/>
        <v>1.2560076431351874E-2</v>
      </c>
      <c r="O21" s="303">
        <f t="shared" si="5"/>
        <v>2.6494040944365759E-3</v>
      </c>
      <c r="P21" s="77">
        <f t="shared" si="4"/>
        <v>9.5696475891049123E-4</v>
      </c>
      <c r="Q21" s="71"/>
      <c r="R21" s="71"/>
      <c r="Y21" s="72" t="s">
        <v>133</v>
      </c>
    </row>
    <row r="22" spans="2:25" ht="23.25" customHeight="1" thickBot="1">
      <c r="B22" s="89" t="s">
        <v>95</v>
      </c>
      <c r="C22" s="85" t="s">
        <v>159</v>
      </c>
      <c r="D22" s="85" t="s">
        <v>146</v>
      </c>
      <c r="E22" s="88" t="s">
        <v>149</v>
      </c>
      <c r="F22" s="85">
        <v>2</v>
      </c>
      <c r="G22" s="85">
        <v>3</v>
      </c>
      <c r="H22" s="85">
        <f t="shared" si="0"/>
        <v>2.5</v>
      </c>
      <c r="I22" s="87">
        <v>0.1032</v>
      </c>
      <c r="J22" s="86">
        <f t="shared" si="1"/>
        <v>0.25800000000000001</v>
      </c>
      <c r="K22" s="85">
        <v>5</v>
      </c>
      <c r="L22" s="84">
        <v>0.04</v>
      </c>
      <c r="M22" s="83">
        <f t="shared" si="2"/>
        <v>5.7953795281202682E-2</v>
      </c>
      <c r="N22" s="82">
        <v>0.25576392051702135</v>
      </c>
      <c r="O22" s="302">
        <f>N22*$V$6</f>
        <v>1.2859961600951934E-2</v>
      </c>
      <c r="P22" s="86">
        <f t="shared" si="4"/>
        <v>3.3178700930455991E-3</v>
      </c>
      <c r="Y22" s="72" t="s">
        <v>134</v>
      </c>
    </row>
    <row r="23" spans="2:25" ht="37.5" customHeight="1" thickBot="1">
      <c r="B23" s="89" t="s">
        <v>81</v>
      </c>
      <c r="C23" s="85" t="s">
        <v>159</v>
      </c>
      <c r="D23" s="85" t="s">
        <v>146</v>
      </c>
      <c r="E23" s="85"/>
      <c r="F23" s="85">
        <v>0</v>
      </c>
      <c r="G23" s="85">
        <v>0</v>
      </c>
      <c r="H23" s="85">
        <f t="shared" si="0"/>
        <v>0</v>
      </c>
      <c r="I23" s="87">
        <v>0.1032</v>
      </c>
      <c r="J23" s="86">
        <f t="shared" si="1"/>
        <v>0</v>
      </c>
      <c r="K23" s="85">
        <v>5</v>
      </c>
      <c r="L23" s="84">
        <v>0.04</v>
      </c>
      <c r="M23" s="83">
        <f t="shared" si="2"/>
        <v>0</v>
      </c>
      <c r="N23" s="82">
        <v>0.43680378361002281</v>
      </c>
      <c r="O23" s="302">
        <f>N23*$V$6</f>
        <v>2.1962753280526038E-2</v>
      </c>
      <c r="P23" s="86">
        <f t="shared" si="4"/>
        <v>0</v>
      </c>
      <c r="Y23" s="72" t="s">
        <v>135</v>
      </c>
    </row>
    <row r="24" spans="2:25" ht="41.25" customHeight="1" thickBot="1">
      <c r="B24" s="89" t="s">
        <v>96</v>
      </c>
      <c r="C24" s="85" t="s">
        <v>159</v>
      </c>
      <c r="D24" s="85" t="s">
        <v>146</v>
      </c>
      <c r="E24" s="85">
        <v>5.3</v>
      </c>
      <c r="F24" s="85">
        <v>5.3</v>
      </c>
      <c r="G24" s="85">
        <v>5.3</v>
      </c>
      <c r="H24" s="85">
        <f t="shared" si="0"/>
        <v>5.3</v>
      </c>
      <c r="I24" s="87">
        <v>0.1032</v>
      </c>
      <c r="J24" s="86">
        <f t="shared" si="1"/>
        <v>0.54696</v>
      </c>
      <c r="K24" s="85">
        <v>5</v>
      </c>
      <c r="L24" s="84">
        <v>0.04</v>
      </c>
      <c r="M24" s="83">
        <f t="shared" si="2"/>
        <v>0.12286204599614968</v>
      </c>
      <c r="N24" s="82">
        <v>3.9860394558835832E-2</v>
      </c>
      <c r="O24" s="302">
        <f>N24*$V$6</f>
        <v>2.0042042770896137E-3</v>
      </c>
      <c r="P24" s="86">
        <f t="shared" si="4"/>
        <v>1.096219571396935E-3</v>
      </c>
      <c r="Y24" s="72" t="s">
        <v>136</v>
      </c>
    </row>
    <row r="25" spans="2:25" ht="23.25" customHeight="1" thickBot="1">
      <c r="B25" s="89" t="s">
        <v>97</v>
      </c>
      <c r="C25" s="85" t="s">
        <v>159</v>
      </c>
      <c r="D25" s="85" t="s">
        <v>146</v>
      </c>
      <c r="E25" s="88" t="s">
        <v>158</v>
      </c>
      <c r="F25" s="85">
        <v>1</v>
      </c>
      <c r="G25" s="85">
        <v>2</v>
      </c>
      <c r="H25" s="85">
        <f t="shared" si="0"/>
        <v>1.5</v>
      </c>
      <c r="I25" s="87">
        <v>0.1032</v>
      </c>
      <c r="J25" s="86">
        <f t="shared" si="1"/>
        <v>0.15479999999999999</v>
      </c>
      <c r="K25" s="85">
        <v>10</v>
      </c>
      <c r="L25" s="84">
        <v>0.04</v>
      </c>
      <c r="M25" s="83">
        <f t="shared" si="2"/>
        <v>1.9085438182305115E-2</v>
      </c>
      <c r="N25" s="82">
        <v>0.23859760280018438</v>
      </c>
      <c r="O25" s="302">
        <f>N25*$V$6</f>
        <v>1.199682896589533E-2</v>
      </c>
      <c r="P25" s="86">
        <f t="shared" si="4"/>
        <v>1.8571091239205971E-3</v>
      </c>
      <c r="Y25" s="72" t="s">
        <v>137</v>
      </c>
    </row>
    <row r="26" spans="2:25" ht="23.25" customHeight="1" thickBot="1">
      <c r="B26" s="96" t="s">
        <v>168</v>
      </c>
      <c r="C26" s="93" t="s">
        <v>162</v>
      </c>
      <c r="D26" s="93" t="s">
        <v>161</v>
      </c>
      <c r="E26" s="93" t="s">
        <v>167</v>
      </c>
      <c r="F26" s="93">
        <v>0</v>
      </c>
      <c r="G26" s="93">
        <v>1</v>
      </c>
      <c r="H26" s="93">
        <f t="shared" si="0"/>
        <v>0.5</v>
      </c>
      <c r="I26" s="95">
        <v>0.1032</v>
      </c>
      <c r="J26" s="94">
        <f t="shared" si="1"/>
        <v>5.16E-2</v>
      </c>
      <c r="K26" s="93">
        <v>10</v>
      </c>
      <c r="L26" s="92">
        <v>0.04</v>
      </c>
      <c r="M26" s="91">
        <f t="shared" si="2"/>
        <v>6.3618127274350381E-3</v>
      </c>
      <c r="N26" s="90"/>
      <c r="O26" s="301"/>
      <c r="P26" s="349"/>
      <c r="Y26" s="72" t="s">
        <v>138</v>
      </c>
    </row>
    <row r="27" spans="2:25" ht="23.25" customHeight="1" thickBot="1">
      <c r="B27" s="96" t="s">
        <v>166</v>
      </c>
      <c r="C27" s="93" t="s">
        <v>162</v>
      </c>
      <c r="D27" s="93" t="s">
        <v>161</v>
      </c>
      <c r="E27" s="93">
        <v>1</v>
      </c>
      <c r="F27" s="93">
        <v>1</v>
      </c>
      <c r="G27" s="93">
        <v>14</v>
      </c>
      <c r="H27" s="93">
        <f t="shared" si="0"/>
        <v>7.5</v>
      </c>
      <c r="I27" s="95">
        <v>0.1032</v>
      </c>
      <c r="J27" s="94">
        <f t="shared" si="1"/>
        <v>0.77400000000000002</v>
      </c>
      <c r="K27" s="93">
        <v>10</v>
      </c>
      <c r="L27" s="92">
        <v>0.04</v>
      </c>
      <c r="M27" s="91">
        <f t="shared" si="2"/>
        <v>9.5427190911525572E-2</v>
      </c>
      <c r="N27" s="90"/>
      <c r="O27" s="301"/>
      <c r="P27" s="349"/>
      <c r="Y27" s="72" t="s">
        <v>139</v>
      </c>
    </row>
    <row r="28" spans="2:25" ht="23.25" customHeight="1" thickBot="1">
      <c r="B28" s="96" t="s">
        <v>165</v>
      </c>
      <c r="C28" s="93" t="s">
        <v>162</v>
      </c>
      <c r="D28" s="93" t="s">
        <v>161</v>
      </c>
      <c r="E28" s="93" t="s">
        <v>160</v>
      </c>
      <c r="F28" s="93">
        <v>0</v>
      </c>
      <c r="G28" s="93">
        <v>0</v>
      </c>
      <c r="H28" s="93">
        <f t="shared" si="0"/>
        <v>0</v>
      </c>
      <c r="I28" s="95">
        <v>0.1032</v>
      </c>
      <c r="J28" s="94">
        <f t="shared" si="1"/>
        <v>0</v>
      </c>
      <c r="K28" s="93">
        <v>10</v>
      </c>
      <c r="L28" s="92">
        <v>0.04</v>
      </c>
      <c r="M28" s="91">
        <f t="shared" si="2"/>
        <v>0</v>
      </c>
      <c r="N28" s="90"/>
      <c r="O28" s="301"/>
      <c r="P28" s="349"/>
      <c r="Y28" s="72" t="s">
        <v>140</v>
      </c>
    </row>
    <row r="29" spans="2:25" ht="23.25" customHeight="1" thickBot="1">
      <c r="B29" s="96" t="s">
        <v>164</v>
      </c>
      <c r="C29" s="93" t="s">
        <v>162</v>
      </c>
      <c r="D29" s="93" t="s">
        <v>161</v>
      </c>
      <c r="E29" s="93" t="s">
        <v>160</v>
      </c>
      <c r="F29" s="93">
        <v>0</v>
      </c>
      <c r="G29" s="93">
        <v>0</v>
      </c>
      <c r="H29" s="93">
        <f t="shared" si="0"/>
        <v>0</v>
      </c>
      <c r="I29" s="95">
        <v>0.1032</v>
      </c>
      <c r="J29" s="94">
        <f t="shared" si="1"/>
        <v>0</v>
      </c>
      <c r="K29" s="93">
        <v>10</v>
      </c>
      <c r="L29" s="92">
        <v>0.04</v>
      </c>
      <c r="M29" s="91">
        <f t="shared" si="2"/>
        <v>0</v>
      </c>
      <c r="N29" s="90"/>
      <c r="O29" s="301"/>
      <c r="P29" s="349"/>
      <c r="Y29" s="72" t="s">
        <v>141</v>
      </c>
    </row>
    <row r="30" spans="2:25" ht="23.25" customHeight="1" thickBot="1">
      <c r="B30" s="96" t="s">
        <v>163</v>
      </c>
      <c r="C30" s="93" t="s">
        <v>162</v>
      </c>
      <c r="D30" s="93" t="s">
        <v>161</v>
      </c>
      <c r="E30" s="93" t="s">
        <v>160</v>
      </c>
      <c r="F30" s="93">
        <v>0</v>
      </c>
      <c r="G30" s="93">
        <v>0</v>
      </c>
      <c r="H30" s="93">
        <f t="shared" si="0"/>
        <v>0</v>
      </c>
      <c r="I30" s="95">
        <v>0.1032</v>
      </c>
      <c r="J30" s="94">
        <f t="shared" si="1"/>
        <v>0</v>
      </c>
      <c r="K30" s="93">
        <v>10</v>
      </c>
      <c r="L30" s="92">
        <v>0.04</v>
      </c>
      <c r="M30" s="91">
        <f t="shared" si="2"/>
        <v>0</v>
      </c>
      <c r="N30" s="90"/>
      <c r="O30" s="301"/>
      <c r="P30" s="349"/>
      <c r="Y30" s="72" t="s">
        <v>142</v>
      </c>
    </row>
    <row r="31" spans="2:25" ht="28.5" customHeight="1" thickBot="1">
      <c r="Y31" s="72" t="s">
        <v>143</v>
      </c>
    </row>
    <row r="32" spans="2:25" ht="28.5" customHeight="1" thickBot="1">
      <c r="Y32" s="72" t="s">
        <v>144</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dimension ref="A1:O44"/>
  <sheetViews>
    <sheetView workbookViewId="0">
      <selection activeCell="F46" sqref="F46"/>
    </sheetView>
  </sheetViews>
  <sheetFormatPr defaultRowHeight="15"/>
  <cols>
    <col min="1" max="1" width="9.140625" style="122"/>
    <col min="2" max="2" width="43" style="121" customWidth="1"/>
    <col min="3" max="3" width="21.5703125" style="121" customWidth="1"/>
    <col min="4" max="4" width="24.7109375" style="121" customWidth="1"/>
    <col min="5" max="5" width="19.140625" style="121" customWidth="1"/>
    <col min="6" max="6" width="18.140625" style="121" customWidth="1"/>
    <col min="7" max="7" width="16.140625" style="121" customWidth="1"/>
    <col min="8" max="8" width="13.5703125" style="121" bestFit="1" customWidth="1"/>
    <col min="9" max="9" width="12" style="121" bestFit="1" customWidth="1"/>
    <col min="10" max="10" width="15.28515625" style="121" bestFit="1" customWidth="1"/>
    <col min="11" max="11" width="14.7109375" style="121" bestFit="1" customWidth="1"/>
    <col min="12" max="12" width="8.28515625" style="121" bestFit="1" customWidth="1"/>
    <col min="13" max="13" width="9" style="121" bestFit="1" customWidth="1"/>
    <col min="14" max="14" width="10" style="121" bestFit="1" customWidth="1"/>
    <col min="15" max="15" width="13.28515625" style="121" bestFit="1" customWidth="1"/>
    <col min="16" max="16384" width="9.140625" style="122"/>
  </cols>
  <sheetData>
    <row r="1" spans="1:15" s="116" customFormat="1">
      <c r="A1" s="113" t="s">
        <v>185</v>
      </c>
      <c r="B1" s="114"/>
      <c r="C1" s="115"/>
      <c r="D1" s="115"/>
      <c r="E1" s="115"/>
      <c r="F1" s="115"/>
      <c r="G1" s="115"/>
      <c r="H1" s="115"/>
      <c r="I1" s="115"/>
      <c r="J1" s="115"/>
      <c r="K1" s="115"/>
      <c r="L1" s="115"/>
      <c r="M1" s="115"/>
      <c r="N1" s="115"/>
      <c r="O1" s="115"/>
    </row>
    <row r="2" spans="1:15" s="120" customFormat="1">
      <c r="A2" s="117" t="s">
        <v>186</v>
      </c>
      <c r="B2" s="118"/>
      <c r="C2" s="119"/>
      <c r="D2" s="119"/>
      <c r="E2" s="119"/>
      <c r="F2" s="119"/>
      <c r="G2" s="119"/>
      <c r="H2" s="119"/>
      <c r="I2" s="119"/>
      <c r="J2" s="119"/>
      <c r="K2" s="119"/>
      <c r="L2" s="119"/>
      <c r="M2" s="119"/>
      <c r="N2" s="119"/>
    </row>
    <row r="3" spans="1:15">
      <c r="A3" s="117" t="s">
        <v>187</v>
      </c>
      <c r="O3" s="122"/>
    </row>
    <row r="4" spans="1:15" ht="75">
      <c r="B4" s="123" t="s">
        <v>188</v>
      </c>
      <c r="C4" s="123" t="s">
        <v>189</v>
      </c>
      <c r="D4" s="123" t="s">
        <v>190</v>
      </c>
      <c r="E4" s="124" t="s">
        <v>191</v>
      </c>
      <c r="F4" s="123" t="s">
        <v>192</v>
      </c>
      <c r="G4" s="125" t="s">
        <v>193</v>
      </c>
      <c r="H4" s="123" t="s">
        <v>194</v>
      </c>
      <c r="I4" s="123" t="s">
        <v>195</v>
      </c>
      <c r="J4" s="122"/>
      <c r="K4" s="126"/>
      <c r="L4" s="126"/>
      <c r="M4" s="126"/>
      <c r="N4" s="122"/>
      <c r="O4" s="122"/>
    </row>
    <row r="5" spans="1:15">
      <c r="B5" s="127" t="s">
        <v>196</v>
      </c>
      <c r="C5" s="127" t="s">
        <v>197</v>
      </c>
      <c r="D5" s="128" t="s">
        <v>197</v>
      </c>
      <c r="E5" s="129">
        <v>14338</v>
      </c>
      <c r="F5" s="130">
        <f>HLOOKUP($B5, $C$34:$O$37, 3,FALSE)</f>
        <v>0.11</v>
      </c>
      <c r="G5" s="131">
        <f>F5*E5/1000</f>
        <v>1.57718</v>
      </c>
      <c r="H5" s="130">
        <f t="shared" ref="H5:H17" si="0">$C$26/1000</f>
        <v>3.4629629629629632</v>
      </c>
      <c r="I5" s="132">
        <f t="shared" ref="I5:I17" si="1">$C$28/1000</f>
        <v>2.9629629629629632</v>
      </c>
      <c r="J5" s="133"/>
      <c r="K5" s="133"/>
      <c r="L5" s="134"/>
      <c r="M5" s="134"/>
      <c r="N5" s="122"/>
      <c r="O5" s="122"/>
    </row>
    <row r="6" spans="1:15">
      <c r="B6" s="127" t="s">
        <v>198</v>
      </c>
      <c r="C6" s="127" t="s">
        <v>199</v>
      </c>
      <c r="D6" s="135" t="s">
        <v>200</v>
      </c>
      <c r="E6" s="129">
        <v>14395</v>
      </c>
      <c r="F6" s="130">
        <f t="shared" ref="F6:F16" si="2">HLOOKUP($B6, $C$34:$O$37, 3,FALSE)</f>
        <v>0.08</v>
      </c>
      <c r="G6" s="131">
        <f t="shared" ref="G6:G16" si="3">F6*E6/1000</f>
        <v>1.1516000000000002</v>
      </c>
      <c r="H6" s="130">
        <f t="shared" si="0"/>
        <v>3.4629629629629632</v>
      </c>
      <c r="I6" s="132">
        <f t="shared" si="1"/>
        <v>2.9629629629629632</v>
      </c>
      <c r="J6" s="133"/>
      <c r="K6" s="133"/>
      <c r="L6" s="134"/>
      <c r="M6" s="134"/>
      <c r="N6" s="122"/>
      <c r="O6" s="122"/>
    </row>
    <row r="7" spans="1:15">
      <c r="B7" s="127" t="s">
        <v>201</v>
      </c>
      <c r="C7" s="127" t="s">
        <v>202</v>
      </c>
      <c r="D7" s="135" t="s">
        <v>203</v>
      </c>
      <c r="E7" s="129">
        <v>17096</v>
      </c>
      <c r="F7" s="130">
        <f t="shared" si="2"/>
        <v>0</v>
      </c>
      <c r="G7" s="131">
        <f t="shared" si="3"/>
        <v>0</v>
      </c>
      <c r="H7" s="130">
        <f t="shared" si="0"/>
        <v>3.4629629629629632</v>
      </c>
      <c r="I7" s="132">
        <f t="shared" si="1"/>
        <v>2.9629629629629632</v>
      </c>
      <c r="J7" s="133"/>
      <c r="K7" s="133"/>
      <c r="L7" s="134"/>
      <c r="M7" s="134"/>
      <c r="N7" s="122"/>
      <c r="O7" s="122"/>
    </row>
    <row r="8" spans="1:15">
      <c r="B8" s="127" t="s">
        <v>204</v>
      </c>
      <c r="C8" s="127" t="s">
        <v>205</v>
      </c>
      <c r="D8" s="135" t="s">
        <v>205</v>
      </c>
      <c r="E8" s="129">
        <v>17635</v>
      </c>
      <c r="F8" s="130">
        <f t="shared" si="2"/>
        <v>0.18</v>
      </c>
      <c r="G8" s="131">
        <f t="shared" si="3"/>
        <v>3.1742999999999997</v>
      </c>
      <c r="H8" s="130">
        <f t="shared" si="0"/>
        <v>3.4629629629629632</v>
      </c>
      <c r="I8" s="132">
        <f t="shared" si="1"/>
        <v>2.9629629629629632</v>
      </c>
      <c r="J8" s="133"/>
      <c r="K8" s="133"/>
      <c r="L8" s="134"/>
      <c r="M8" s="134"/>
      <c r="N8" s="122"/>
      <c r="O8" s="122"/>
    </row>
    <row r="9" spans="1:15">
      <c r="B9" s="127" t="s">
        <v>206</v>
      </c>
      <c r="C9" s="127" t="s">
        <v>207</v>
      </c>
      <c r="D9" s="135" t="s">
        <v>208</v>
      </c>
      <c r="E9" s="129">
        <v>4486</v>
      </c>
      <c r="F9" s="130">
        <f t="shared" si="2"/>
        <v>0</v>
      </c>
      <c r="G9" s="131">
        <f t="shared" si="3"/>
        <v>0</v>
      </c>
      <c r="H9" s="130">
        <f t="shared" si="0"/>
        <v>3.4629629629629632</v>
      </c>
      <c r="I9" s="132">
        <f t="shared" si="1"/>
        <v>2.9629629629629632</v>
      </c>
      <c r="J9" s="133"/>
      <c r="K9" s="133"/>
      <c r="L9" s="134"/>
      <c r="M9" s="134"/>
      <c r="N9" s="122"/>
      <c r="O9" s="122"/>
    </row>
    <row r="10" spans="1:15">
      <c r="B10" s="127" t="s">
        <v>209</v>
      </c>
      <c r="C10" s="127" t="s">
        <v>210</v>
      </c>
      <c r="D10" s="135" t="s">
        <v>210</v>
      </c>
      <c r="E10" s="129">
        <v>21176</v>
      </c>
      <c r="F10" s="130">
        <f t="shared" si="2"/>
        <v>0.04</v>
      </c>
      <c r="G10" s="131">
        <f t="shared" si="3"/>
        <v>0.84704000000000002</v>
      </c>
      <c r="H10" s="130">
        <f t="shared" si="0"/>
        <v>3.4629629629629632</v>
      </c>
      <c r="I10" s="132">
        <f t="shared" si="1"/>
        <v>2.9629629629629632</v>
      </c>
      <c r="J10" s="133"/>
      <c r="K10" s="133"/>
      <c r="L10" s="134"/>
      <c r="M10" s="134"/>
      <c r="N10" s="122"/>
      <c r="O10" s="122"/>
    </row>
    <row r="11" spans="1:15">
      <c r="B11" s="127" t="s">
        <v>211</v>
      </c>
      <c r="C11" s="127" t="s">
        <v>212</v>
      </c>
      <c r="D11" s="135" t="s">
        <v>213</v>
      </c>
      <c r="E11" s="129">
        <v>37989</v>
      </c>
      <c r="F11" s="130">
        <f t="shared" si="2"/>
        <v>0</v>
      </c>
      <c r="G11" s="131">
        <f t="shared" si="3"/>
        <v>0</v>
      </c>
      <c r="H11" s="130">
        <f t="shared" si="0"/>
        <v>3.4629629629629632</v>
      </c>
      <c r="I11" s="132">
        <f t="shared" si="1"/>
        <v>2.9629629629629632</v>
      </c>
      <c r="J11" s="133"/>
      <c r="K11" s="133"/>
      <c r="L11" s="134"/>
      <c r="M11" s="134"/>
      <c r="N11" s="122"/>
      <c r="O11" s="122"/>
    </row>
    <row r="12" spans="1:15">
      <c r="B12" s="136" t="s">
        <v>214</v>
      </c>
      <c r="C12" s="136" t="s">
        <v>215</v>
      </c>
      <c r="D12" s="135" t="s">
        <v>216</v>
      </c>
      <c r="E12" s="129">
        <v>28126</v>
      </c>
      <c r="F12" s="130">
        <f t="shared" si="2"/>
        <v>0</v>
      </c>
      <c r="G12" s="131">
        <f t="shared" si="3"/>
        <v>0</v>
      </c>
      <c r="H12" s="130">
        <f t="shared" si="0"/>
        <v>3.4629629629629632</v>
      </c>
      <c r="I12" s="132">
        <f t="shared" si="1"/>
        <v>2.9629629629629632</v>
      </c>
      <c r="J12" s="133"/>
      <c r="K12" s="133"/>
      <c r="L12" s="134"/>
      <c r="M12" s="134"/>
      <c r="N12" s="122"/>
      <c r="O12" s="122"/>
    </row>
    <row r="13" spans="1:15">
      <c r="B13" s="136" t="s">
        <v>217</v>
      </c>
      <c r="C13" s="136" t="s">
        <v>218</v>
      </c>
      <c r="D13" s="135" t="s">
        <v>219</v>
      </c>
      <c r="E13" s="129">
        <v>16637</v>
      </c>
      <c r="F13" s="130">
        <f t="shared" si="2"/>
        <v>0.1</v>
      </c>
      <c r="G13" s="131">
        <f t="shared" si="3"/>
        <v>1.6637</v>
      </c>
      <c r="H13" s="130">
        <f t="shared" si="0"/>
        <v>3.4629629629629632</v>
      </c>
      <c r="I13" s="132">
        <f t="shared" si="1"/>
        <v>2.9629629629629632</v>
      </c>
      <c r="J13" s="133"/>
      <c r="K13" s="133"/>
      <c r="L13" s="134"/>
      <c r="M13" s="134"/>
      <c r="N13" s="122"/>
      <c r="O13" s="122"/>
    </row>
    <row r="14" spans="1:15">
      <c r="B14" s="136" t="s">
        <v>220</v>
      </c>
      <c r="C14" s="136" t="s">
        <v>221</v>
      </c>
      <c r="D14" s="137" t="s">
        <v>221</v>
      </c>
      <c r="E14" s="129">
        <v>8062</v>
      </c>
      <c r="F14" s="130">
        <f t="shared" si="2"/>
        <v>0.03</v>
      </c>
      <c r="G14" s="130">
        <f t="shared" si="3"/>
        <v>0.24185999999999999</v>
      </c>
      <c r="H14" s="130">
        <f t="shared" si="0"/>
        <v>3.4629629629629632</v>
      </c>
      <c r="I14" s="132">
        <f t="shared" si="1"/>
        <v>2.9629629629629632</v>
      </c>
      <c r="J14" s="133"/>
      <c r="K14" s="133"/>
      <c r="L14" s="134"/>
      <c r="M14" s="134"/>
      <c r="N14" s="122"/>
      <c r="O14" s="122"/>
    </row>
    <row r="15" spans="1:15">
      <c r="B15" s="136" t="s">
        <v>222</v>
      </c>
      <c r="C15" s="136" t="s">
        <v>223</v>
      </c>
      <c r="D15" s="138" t="s">
        <v>224</v>
      </c>
      <c r="E15" s="129">
        <v>30768</v>
      </c>
      <c r="F15" s="130">
        <f t="shared" si="2"/>
        <v>0.16</v>
      </c>
      <c r="G15" s="131">
        <f t="shared" si="3"/>
        <v>4.9228800000000001</v>
      </c>
      <c r="H15" s="130">
        <f t="shared" si="0"/>
        <v>3.4629629629629632</v>
      </c>
      <c r="I15" s="132">
        <f t="shared" si="1"/>
        <v>2.9629629629629632</v>
      </c>
      <c r="J15" s="133"/>
      <c r="K15" s="133"/>
      <c r="L15" s="134"/>
      <c r="M15" s="134"/>
      <c r="N15" s="122"/>
      <c r="O15" s="122"/>
    </row>
    <row r="16" spans="1:15">
      <c r="B16" s="136" t="s">
        <v>225</v>
      </c>
      <c r="C16" s="136" t="s">
        <v>226</v>
      </c>
      <c r="D16" s="138" t="s">
        <v>224</v>
      </c>
      <c r="E16" s="129">
        <v>37795</v>
      </c>
      <c r="F16" s="130">
        <f t="shared" si="2"/>
        <v>0.1</v>
      </c>
      <c r="G16" s="131">
        <f t="shared" si="3"/>
        <v>3.7795000000000001</v>
      </c>
      <c r="H16" s="130">
        <f t="shared" si="0"/>
        <v>3.4629629629629632</v>
      </c>
      <c r="I16" s="132">
        <f t="shared" si="1"/>
        <v>2.9629629629629632</v>
      </c>
      <c r="J16" s="133"/>
      <c r="K16" s="133"/>
      <c r="L16" s="134"/>
      <c r="M16" s="134"/>
      <c r="N16" s="122"/>
      <c r="O16" s="122"/>
    </row>
    <row r="17" spans="2:15" s="148" customFormat="1">
      <c r="B17" s="139" t="s">
        <v>227</v>
      </c>
      <c r="C17" s="139" t="s">
        <v>228</v>
      </c>
      <c r="D17" s="139" t="s">
        <v>228</v>
      </c>
      <c r="E17" s="140">
        <v>334000</v>
      </c>
      <c r="F17" s="141">
        <f>(G17/E17)*1000</f>
        <v>506.18389389445406</v>
      </c>
      <c r="G17" s="142">
        <v>169065.42056074765</v>
      </c>
      <c r="H17" s="143">
        <f t="shared" si="0"/>
        <v>3.4629629629629632</v>
      </c>
      <c r="I17" s="144">
        <f t="shared" si="1"/>
        <v>2.9629629629629632</v>
      </c>
      <c r="J17" s="145"/>
      <c r="K17" s="146"/>
      <c r="L17" s="147"/>
      <c r="M17" s="147"/>
    </row>
    <row r="18" spans="2:15">
      <c r="F18" s="149"/>
      <c r="O18" s="122"/>
    </row>
    <row r="19" spans="2:15">
      <c r="B19" s="150" t="s">
        <v>229</v>
      </c>
      <c r="C19" s="122"/>
      <c r="D19" s="150" t="s">
        <v>230</v>
      </c>
      <c r="E19" s="122"/>
      <c r="F19" s="122"/>
      <c r="G19" s="122"/>
      <c r="H19" s="122"/>
      <c r="I19" s="122"/>
      <c r="O19" s="122"/>
    </row>
    <row r="20" spans="2:15">
      <c r="B20" s="151">
        <f>1-37%</f>
        <v>0.63</v>
      </c>
      <c r="C20" s="152" t="s">
        <v>231</v>
      </c>
      <c r="D20" s="153">
        <v>0.05</v>
      </c>
      <c r="E20" s="122"/>
      <c r="F20" s="122"/>
      <c r="G20" s="122"/>
      <c r="H20" s="122"/>
      <c r="I20" s="122"/>
    </row>
    <row r="21" spans="2:15">
      <c r="B21" s="150" t="s">
        <v>232</v>
      </c>
      <c r="C21" s="122"/>
      <c r="D21" s="150" t="s">
        <v>233</v>
      </c>
      <c r="E21" s="122"/>
      <c r="F21" s="122"/>
      <c r="G21" s="122"/>
      <c r="H21" s="122"/>
      <c r="I21" s="122"/>
    </row>
    <row r="22" spans="2:15">
      <c r="C22" s="122"/>
      <c r="D22" s="122"/>
      <c r="E22" s="122"/>
      <c r="F22" s="122"/>
      <c r="G22" s="122"/>
      <c r="H22" s="122"/>
      <c r="I22" s="122"/>
    </row>
    <row r="23" spans="2:15">
      <c r="B23" s="150" t="s">
        <v>234</v>
      </c>
      <c r="C23" s="122"/>
      <c r="D23" s="122"/>
      <c r="E23" s="122"/>
      <c r="F23" s="122"/>
      <c r="G23" s="122"/>
      <c r="H23" s="122"/>
      <c r="I23" s="122"/>
    </row>
    <row r="24" spans="2:15">
      <c r="B24" s="122" t="s">
        <v>235</v>
      </c>
      <c r="C24" s="154">
        <v>54</v>
      </c>
      <c r="D24" s="122"/>
      <c r="E24" s="122"/>
      <c r="F24" s="122"/>
      <c r="G24" s="122"/>
      <c r="H24" s="122"/>
      <c r="I24" s="122"/>
    </row>
    <row r="25" spans="2:15">
      <c r="B25" s="122" t="s">
        <v>236</v>
      </c>
      <c r="C25" s="154">
        <v>187000</v>
      </c>
      <c r="D25" s="122"/>
      <c r="E25" s="122"/>
      <c r="F25" s="122"/>
      <c r="G25" s="122"/>
      <c r="H25" s="122"/>
      <c r="I25" s="122"/>
    </row>
    <row r="26" spans="2:15">
      <c r="B26" s="122" t="s">
        <v>237</v>
      </c>
      <c r="C26" s="154">
        <f>C25/C24</f>
        <v>3462.962962962963</v>
      </c>
      <c r="D26" s="122"/>
      <c r="E26" s="122"/>
      <c r="F26" s="122"/>
      <c r="G26" s="122"/>
      <c r="H26" s="122"/>
      <c r="I26" s="122"/>
    </row>
    <row r="27" spans="2:15">
      <c r="B27" s="122" t="s">
        <v>238</v>
      </c>
      <c r="C27" s="155">
        <v>160000</v>
      </c>
      <c r="D27" s="122"/>
      <c r="E27" s="122"/>
      <c r="F27" s="122"/>
      <c r="G27" s="122"/>
      <c r="H27" s="122"/>
      <c r="I27" s="122"/>
    </row>
    <row r="28" spans="2:15">
      <c r="B28" s="122" t="s">
        <v>239</v>
      </c>
      <c r="C28" s="155">
        <f>C27/C24</f>
        <v>2962.962962962963</v>
      </c>
      <c r="D28" s="122"/>
      <c r="E28" s="122"/>
      <c r="F28" s="122"/>
      <c r="G28" s="122"/>
      <c r="H28" s="122"/>
      <c r="I28" s="122"/>
    </row>
    <row r="29" spans="2:15">
      <c r="B29" s="122" t="s">
        <v>240</v>
      </c>
      <c r="C29" s="156">
        <f>C27/C25</f>
        <v>0.85561497326203206</v>
      </c>
      <c r="D29" s="122"/>
      <c r="E29" s="122"/>
      <c r="F29" s="122"/>
      <c r="G29" s="122"/>
      <c r="H29" s="122"/>
      <c r="I29" s="122"/>
    </row>
    <row r="30" spans="2:15">
      <c r="B30" s="157" t="s">
        <v>241</v>
      </c>
      <c r="C30" s="158">
        <v>4</v>
      </c>
      <c r="D30" s="159" t="s">
        <v>242</v>
      </c>
    </row>
    <row r="31" spans="2:15">
      <c r="B31" s="150" t="s">
        <v>243</v>
      </c>
      <c r="D31" s="160"/>
    </row>
    <row r="32" spans="2:15">
      <c r="D32" s="160"/>
    </row>
    <row r="33" spans="2:15">
      <c r="B33" s="161" t="s">
        <v>244</v>
      </c>
    </row>
    <row r="34" spans="2:15">
      <c r="B34" s="162" t="s">
        <v>188</v>
      </c>
      <c r="C34" s="162" t="s">
        <v>196</v>
      </c>
      <c r="D34" s="162" t="s">
        <v>198</v>
      </c>
      <c r="E34" s="162" t="s">
        <v>201</v>
      </c>
      <c r="F34" s="162" t="s">
        <v>204</v>
      </c>
      <c r="G34" s="162" t="s">
        <v>206</v>
      </c>
      <c r="H34" s="162" t="s">
        <v>209</v>
      </c>
      <c r="I34" s="162" t="s">
        <v>211</v>
      </c>
      <c r="J34" s="162" t="s">
        <v>214</v>
      </c>
      <c r="K34" s="162" t="s">
        <v>217</v>
      </c>
      <c r="L34" s="162" t="s">
        <v>220</v>
      </c>
      <c r="M34" s="162" t="s">
        <v>222</v>
      </c>
      <c r="N34" s="162" t="s">
        <v>225</v>
      </c>
      <c r="O34" s="163" t="s">
        <v>245</v>
      </c>
    </row>
    <row r="35" spans="2:15">
      <c r="B35" s="163" t="s">
        <v>246</v>
      </c>
      <c r="C35" s="164" t="s">
        <v>196</v>
      </c>
      <c r="D35" s="164" t="s">
        <v>199</v>
      </c>
      <c r="E35" s="164" t="s">
        <v>202</v>
      </c>
      <c r="F35" s="164" t="s">
        <v>205</v>
      </c>
      <c r="G35" s="164" t="s">
        <v>207</v>
      </c>
      <c r="H35" s="164" t="s">
        <v>210</v>
      </c>
      <c r="I35" s="164" t="s">
        <v>212</v>
      </c>
      <c r="J35" s="164" t="s">
        <v>215</v>
      </c>
      <c r="K35" s="164" t="s">
        <v>218</v>
      </c>
      <c r="L35" s="164" t="s">
        <v>221</v>
      </c>
      <c r="M35" s="164" t="s">
        <v>223</v>
      </c>
      <c r="N35" s="164" t="s">
        <v>226</v>
      </c>
      <c r="O35" s="164" t="s">
        <v>247</v>
      </c>
    </row>
    <row r="36" spans="2:15">
      <c r="B36" s="163" t="s">
        <v>248</v>
      </c>
      <c r="C36" s="163">
        <v>0.11</v>
      </c>
      <c r="D36" s="163">
        <v>0.08</v>
      </c>
      <c r="E36" s="163">
        <f>$C$41</f>
        <v>0</v>
      </c>
      <c r="F36" s="163">
        <v>0.18</v>
      </c>
      <c r="G36" s="163">
        <f>$C$41</f>
        <v>0</v>
      </c>
      <c r="H36" s="163">
        <v>0.04</v>
      </c>
      <c r="I36" s="163">
        <f>$C$41</f>
        <v>0</v>
      </c>
      <c r="J36" s="163">
        <f>$C$41</f>
        <v>0</v>
      </c>
      <c r="K36" s="163">
        <v>0.1</v>
      </c>
      <c r="L36" s="163">
        <v>0.03</v>
      </c>
      <c r="M36" s="163">
        <v>0.16</v>
      </c>
      <c r="N36" s="165">
        <f>$C$43</f>
        <v>0.1</v>
      </c>
      <c r="O36" s="163">
        <f>$C$41</f>
        <v>0</v>
      </c>
    </row>
    <row r="37" spans="2:15">
      <c r="B37" s="163" t="s">
        <v>249</v>
      </c>
      <c r="C37" s="163">
        <v>165</v>
      </c>
      <c r="D37" s="163">
        <v>16</v>
      </c>
      <c r="E37" s="163">
        <v>5</v>
      </c>
      <c r="F37" s="163">
        <v>74</v>
      </c>
      <c r="G37" s="163">
        <v>2</v>
      </c>
      <c r="H37" s="163">
        <v>12</v>
      </c>
      <c r="I37" s="163">
        <v>3</v>
      </c>
      <c r="J37" s="163">
        <v>3</v>
      </c>
      <c r="K37" s="163">
        <v>11</v>
      </c>
      <c r="L37" s="163">
        <v>17</v>
      </c>
      <c r="M37" s="163">
        <v>20</v>
      </c>
      <c r="N37" s="163" t="s">
        <v>250</v>
      </c>
      <c r="O37" s="163">
        <v>2</v>
      </c>
    </row>
    <row r="38" spans="2:15">
      <c r="E38" s="121" t="s">
        <v>251</v>
      </c>
      <c r="G38" s="121" t="s">
        <v>251</v>
      </c>
      <c r="I38" s="121" t="s">
        <v>251</v>
      </c>
      <c r="J38" s="121" t="s">
        <v>251</v>
      </c>
      <c r="N38" s="121" t="s">
        <v>252</v>
      </c>
    </row>
    <row r="39" spans="2:15">
      <c r="B39" s="166" t="s">
        <v>253</v>
      </c>
    </row>
    <row r="40" spans="2:15">
      <c r="B40" s="441" t="s">
        <v>254</v>
      </c>
      <c r="C40" s="441"/>
    </row>
    <row r="41" spans="2:15">
      <c r="B41" s="167" t="s">
        <v>255</v>
      </c>
      <c r="C41" s="163">
        <v>0</v>
      </c>
    </row>
    <row r="42" spans="2:15">
      <c r="B42" s="167" t="s">
        <v>256</v>
      </c>
      <c r="C42" s="163">
        <v>0.18</v>
      </c>
    </row>
    <row r="43" spans="2:15">
      <c r="B43" s="167" t="s">
        <v>257</v>
      </c>
      <c r="C43" s="165">
        <v>0.1</v>
      </c>
    </row>
    <row r="44" spans="2:15">
      <c r="B44" s="167" t="s">
        <v>258</v>
      </c>
      <c r="C44" s="165">
        <v>0.1</v>
      </c>
    </row>
  </sheetData>
  <mergeCells count="1">
    <mergeCell ref="B40:C4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K18"/>
  <sheetViews>
    <sheetView workbookViewId="0">
      <selection activeCell="F46" sqref="F46"/>
    </sheetView>
  </sheetViews>
  <sheetFormatPr defaultRowHeight="15"/>
  <cols>
    <col min="1" max="1" width="9.140625" style="71"/>
    <col min="2" max="2" width="61.42578125" style="71" customWidth="1"/>
    <col min="3" max="4" width="12.28515625" style="71" customWidth="1"/>
    <col min="5" max="5" width="13.85546875" style="71" customWidth="1"/>
    <col min="6" max="6" width="10.85546875" style="71" customWidth="1"/>
    <col min="7" max="7" width="12.7109375" style="71" customWidth="1"/>
    <col min="8" max="9" width="9.140625" style="71"/>
    <col min="10" max="10" width="19.28515625" style="71" customWidth="1"/>
    <col min="11" max="11" width="15.42578125" style="71" customWidth="1"/>
    <col min="12" max="16384" width="9.140625" style="71"/>
  </cols>
  <sheetData>
    <row r="1" spans="1:11">
      <c r="A1" s="168"/>
      <c r="B1" s="168"/>
      <c r="C1" s="168"/>
      <c r="D1" s="168"/>
      <c r="E1" s="168"/>
      <c r="F1" s="168"/>
      <c r="G1" s="168"/>
      <c r="H1" s="168"/>
      <c r="I1" s="168"/>
      <c r="J1" s="168"/>
    </row>
    <row r="2" spans="1:11">
      <c r="A2" s="168"/>
      <c r="B2" s="168"/>
      <c r="C2" s="168"/>
      <c r="D2" s="168"/>
      <c r="E2" s="168"/>
      <c r="F2" s="168" t="s">
        <v>259</v>
      </c>
      <c r="G2" s="168"/>
      <c r="H2" s="168"/>
      <c r="I2" s="168"/>
      <c r="J2" s="168"/>
    </row>
    <row r="3" spans="1:11">
      <c r="A3" s="168"/>
      <c r="B3" s="169" t="s">
        <v>260</v>
      </c>
      <c r="C3" s="168"/>
      <c r="D3" s="168"/>
      <c r="E3" s="168"/>
      <c r="F3" s="168">
        <v>1.6</v>
      </c>
      <c r="G3" s="168"/>
      <c r="H3" s="168"/>
      <c r="I3" s="168"/>
      <c r="J3" s="168"/>
    </row>
    <row r="4" spans="1:11" ht="51.75">
      <c r="A4" s="168"/>
      <c r="B4" s="170" t="s">
        <v>261</v>
      </c>
      <c r="C4" s="170" t="s">
        <v>262</v>
      </c>
      <c r="D4" s="170" t="s">
        <v>263</v>
      </c>
      <c r="E4" s="170" t="s">
        <v>264</v>
      </c>
      <c r="F4" s="170" t="s">
        <v>265</v>
      </c>
      <c r="G4" s="168"/>
      <c r="H4" s="168"/>
      <c r="I4" s="168"/>
      <c r="J4" s="168"/>
    </row>
    <row r="5" spans="1:11">
      <c r="A5" s="168"/>
      <c r="B5" s="168" t="s">
        <v>266</v>
      </c>
      <c r="C5" s="171">
        <v>1916</v>
      </c>
      <c r="D5" s="171">
        <v>17245</v>
      </c>
      <c r="E5" s="168" t="s">
        <v>267</v>
      </c>
      <c r="F5" s="172">
        <f>C5*($F$3-0.3)</f>
        <v>2490.8000000000002</v>
      </c>
      <c r="G5" s="168"/>
      <c r="H5" s="168"/>
      <c r="I5" s="168"/>
      <c r="J5" s="168"/>
    </row>
    <row r="6" spans="1:11">
      <c r="A6" s="168"/>
      <c r="B6" s="168" t="s">
        <v>268</v>
      </c>
      <c r="C6" s="171">
        <f>[4]VMWare!V9</f>
        <v>2857.0468350383635</v>
      </c>
      <c r="D6" s="171">
        <f>[4]VMWare!W9</f>
        <v>32856.038602941182</v>
      </c>
      <c r="E6" s="168" t="s">
        <v>269</v>
      </c>
      <c r="F6" s="173">
        <f>C6*$F$3</f>
        <v>4571.2749360613816</v>
      </c>
      <c r="G6" s="168"/>
      <c r="H6" s="168"/>
      <c r="I6" s="168"/>
      <c r="J6" s="168"/>
    </row>
    <row r="7" spans="1:11">
      <c r="A7" s="168"/>
      <c r="B7" s="168" t="s">
        <v>270</v>
      </c>
      <c r="C7" s="171">
        <v>2541</v>
      </c>
      <c r="D7" s="171">
        <v>25000</v>
      </c>
      <c r="E7" s="168" t="s">
        <v>271</v>
      </c>
      <c r="F7" s="172">
        <f>C7</f>
        <v>2541</v>
      </c>
      <c r="G7" s="168"/>
      <c r="H7" s="168"/>
      <c r="I7" s="168"/>
      <c r="J7" s="168"/>
    </row>
    <row r="8" spans="1:11">
      <c r="A8" s="168"/>
      <c r="B8" s="168" t="s">
        <v>272</v>
      </c>
      <c r="C8" s="171">
        <v>1500</v>
      </c>
      <c r="D8" s="171">
        <f>'[4]Notes Sources'!$AF$190</f>
        <v>13140</v>
      </c>
      <c r="E8" s="168" t="s">
        <v>269</v>
      </c>
      <c r="F8" s="173">
        <f>C8*$F$3</f>
        <v>2400</v>
      </c>
      <c r="G8" s="168"/>
      <c r="H8" s="168"/>
      <c r="I8" s="168"/>
      <c r="J8" s="168"/>
    </row>
    <row r="9" spans="1:11">
      <c r="A9" s="168"/>
      <c r="B9" s="168" t="s">
        <v>273</v>
      </c>
      <c r="C9" s="174">
        <v>7000</v>
      </c>
      <c r="D9" s="168"/>
      <c r="E9" s="168" t="s">
        <v>274</v>
      </c>
      <c r="F9" s="173">
        <f>C9</f>
        <v>7000</v>
      </c>
      <c r="G9" s="168"/>
      <c r="H9" s="168"/>
      <c r="I9" s="168"/>
      <c r="J9" s="168"/>
    </row>
    <row r="10" spans="1:11">
      <c r="A10" s="168"/>
      <c r="B10" s="168"/>
      <c r="C10" s="174"/>
      <c r="D10" s="168"/>
      <c r="E10" s="168"/>
      <c r="F10" s="173"/>
      <c r="G10" s="168"/>
      <c r="H10" s="168"/>
      <c r="I10" s="168"/>
      <c r="J10" s="168"/>
    </row>
    <row r="11" spans="1:11">
      <c r="A11" s="168"/>
      <c r="B11" s="169" t="s">
        <v>275</v>
      </c>
      <c r="C11" s="168"/>
      <c r="D11" s="168"/>
      <c r="E11" s="168"/>
      <c r="F11" s="175">
        <v>2500</v>
      </c>
      <c r="G11" s="168"/>
      <c r="H11" s="168"/>
      <c r="I11" s="168"/>
      <c r="J11" s="168"/>
    </row>
    <row r="12" spans="1:11">
      <c r="A12" s="168"/>
      <c r="B12" s="168"/>
      <c r="C12" s="168"/>
      <c r="D12" s="168"/>
      <c r="E12" s="168"/>
      <c r="F12" s="168"/>
      <c r="G12" s="168"/>
      <c r="H12" s="168"/>
      <c r="I12" s="168"/>
      <c r="J12" s="168"/>
    </row>
    <row r="13" spans="1:11">
      <c r="B13" s="169" t="s">
        <v>276</v>
      </c>
      <c r="C13" s="168"/>
      <c r="D13" s="168"/>
      <c r="E13" s="168"/>
      <c r="F13" s="168"/>
      <c r="I13" s="168"/>
    </row>
    <row r="14" spans="1:11" ht="30">
      <c r="A14" s="170" t="s">
        <v>277</v>
      </c>
      <c r="B14" s="170" t="s">
        <v>278</v>
      </c>
      <c r="C14" s="170" t="s">
        <v>279</v>
      </c>
      <c r="D14" s="170" t="s">
        <v>280</v>
      </c>
      <c r="E14" s="170" t="s">
        <v>281</v>
      </c>
      <c r="F14" s="170" t="s">
        <v>282</v>
      </c>
      <c r="G14" s="170" t="s">
        <v>283</v>
      </c>
      <c r="H14" s="170" t="s">
        <v>284</v>
      </c>
      <c r="I14" s="168"/>
      <c r="J14" s="176" t="s">
        <v>285</v>
      </c>
      <c r="K14" s="170" t="s">
        <v>286</v>
      </c>
    </row>
    <row r="15" spans="1:11">
      <c r="A15" s="168">
        <v>9</v>
      </c>
      <c r="B15" s="168" t="s">
        <v>287</v>
      </c>
      <c r="C15" s="173">
        <f>$F$11*$A15</f>
        <v>22500</v>
      </c>
      <c r="D15" s="168">
        <v>4</v>
      </c>
      <c r="E15" s="177">
        <f>[4]ETO!$M$18</f>
        <v>19000</v>
      </c>
      <c r="F15" s="177">
        <f>[4]ETO!M82*$A15</f>
        <v>-18423</v>
      </c>
      <c r="G15" s="168" t="s">
        <v>288</v>
      </c>
      <c r="H15" s="168"/>
      <c r="I15" s="168"/>
      <c r="J15" s="178">
        <f>SUM(E15:F15)/C15</f>
        <v>2.5644444444444445E-2</v>
      </c>
      <c r="K15" s="179">
        <f>-PMT(4%,D15,J15)</f>
        <v>7.0647891633551464E-3</v>
      </c>
    </row>
    <row r="16" spans="1:11">
      <c r="A16" s="168">
        <v>9</v>
      </c>
      <c r="B16" s="168" t="s">
        <v>289</v>
      </c>
      <c r="C16" s="173">
        <f>$F$11*$A16</f>
        <v>22500</v>
      </c>
      <c r="D16" s="168">
        <v>4</v>
      </c>
      <c r="E16" s="177">
        <f>[4]ETO!$M$18</f>
        <v>19000</v>
      </c>
      <c r="F16" s="177">
        <f>[4]ETO!M46*'[4]Cost &amp; Savings'!A15</f>
        <v>-7560</v>
      </c>
      <c r="G16" s="168" t="s">
        <v>288</v>
      </c>
      <c r="H16" s="168"/>
      <c r="I16" s="168"/>
      <c r="J16" s="178">
        <f t="shared" ref="J16:J17" si="0">SUM(E16:F16)/C16</f>
        <v>0.50844444444444448</v>
      </c>
      <c r="K16" s="179">
        <f t="shared" ref="K16:K17" si="1">-PMT(4%,D16,J16)</f>
        <v>0.14007138306548159</v>
      </c>
    </row>
    <row r="17" spans="1:11">
      <c r="A17" s="168">
        <v>9</v>
      </c>
      <c r="B17" s="168" t="s">
        <v>290</v>
      </c>
      <c r="C17" s="173">
        <f>$F$11*$A17</f>
        <v>22500</v>
      </c>
      <c r="D17" s="168">
        <v>4</v>
      </c>
      <c r="E17" s="177">
        <f>[4]ETO!$M$18</f>
        <v>19000</v>
      </c>
      <c r="F17" s="168">
        <v>0</v>
      </c>
      <c r="G17" s="168" t="s">
        <v>288</v>
      </c>
      <c r="H17" s="168"/>
      <c r="I17" s="168"/>
      <c r="J17" s="178">
        <f t="shared" si="0"/>
        <v>0.84444444444444444</v>
      </c>
      <c r="K17" s="179">
        <f t="shared" si="1"/>
        <v>0.23263603830805507</v>
      </c>
    </row>
    <row r="18" spans="1:11">
      <c r="A18" s="168"/>
      <c r="B18" s="168"/>
      <c r="C18" s="168"/>
      <c r="D18" s="168"/>
      <c r="E18" s="168"/>
      <c r="F18" s="168"/>
      <c r="G18" s="168"/>
      <c r="H18" s="168"/>
      <c r="I18" s="168"/>
      <c r="J18" s="16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I526"/>
  <sheetViews>
    <sheetView workbookViewId="0">
      <selection activeCell="F46" sqref="F46"/>
    </sheetView>
  </sheetViews>
  <sheetFormatPr defaultRowHeight="15"/>
  <cols>
    <col min="1" max="1" width="7" style="71" customWidth="1"/>
    <col min="2" max="2" width="60.28515625" style="71" customWidth="1"/>
    <col min="3" max="3" width="47.28515625" style="71" customWidth="1"/>
    <col min="4" max="4" width="43.85546875" style="71" customWidth="1"/>
    <col min="5" max="5" width="26.42578125" style="71" bestFit="1" customWidth="1"/>
    <col min="6" max="6" width="47.5703125" style="71" customWidth="1"/>
    <col min="7" max="9" width="39.42578125" style="71" customWidth="1"/>
    <col min="10" max="10" width="26.28515625" style="71" customWidth="1"/>
    <col min="11" max="11" width="37.7109375" style="71" bestFit="1" customWidth="1"/>
    <col min="12" max="12" width="77.5703125" style="71" bestFit="1" customWidth="1"/>
    <col min="13" max="17" width="9.140625" style="71"/>
    <col min="18" max="18" width="47.28515625" style="71" customWidth="1"/>
    <col min="19" max="19" width="35.7109375" style="71" customWidth="1"/>
    <col min="20" max="20" width="15" style="71" bestFit="1" customWidth="1"/>
    <col min="21" max="21" width="142.140625" style="71" bestFit="1" customWidth="1"/>
    <col min="22" max="22" width="20.140625" style="71" customWidth="1"/>
    <col min="23" max="16384" width="9.140625" style="71"/>
  </cols>
  <sheetData>
    <row r="1" spans="1:14" s="116" customFormat="1">
      <c r="A1" s="113" t="s">
        <v>113</v>
      </c>
      <c r="B1" s="113"/>
    </row>
    <row r="3" spans="1:14" ht="120">
      <c r="B3" s="180" t="s">
        <v>291</v>
      </c>
      <c r="C3" s="180" t="s">
        <v>292</v>
      </c>
      <c r="D3" s="180" t="s">
        <v>293</v>
      </c>
      <c r="E3" s="180" t="s">
        <v>294</v>
      </c>
      <c r="F3" s="180" t="s">
        <v>295</v>
      </c>
      <c r="G3" s="180" t="s">
        <v>296</v>
      </c>
      <c r="H3" s="180" t="s">
        <v>297</v>
      </c>
      <c r="I3" s="180" t="s">
        <v>298</v>
      </c>
      <c r="J3" s="180" t="s">
        <v>299</v>
      </c>
      <c r="K3" s="180" t="s">
        <v>300</v>
      </c>
      <c r="L3" s="180" t="s">
        <v>301</v>
      </c>
      <c r="M3" s="180" t="s">
        <v>302</v>
      </c>
      <c r="N3" s="180" t="s">
        <v>261</v>
      </c>
    </row>
    <row r="4" spans="1:14">
      <c r="B4" s="446">
        <v>1</v>
      </c>
      <c r="C4" s="181" t="s">
        <v>303</v>
      </c>
      <c r="D4" s="447" t="s">
        <v>304</v>
      </c>
      <c r="E4" s="447">
        <v>15</v>
      </c>
      <c r="F4" s="448">
        <v>5170000</v>
      </c>
      <c r="G4" s="449">
        <v>700000</v>
      </c>
      <c r="H4" s="450">
        <f>G4/10000</f>
        <v>70</v>
      </c>
      <c r="I4" s="442">
        <v>245000</v>
      </c>
      <c r="J4" s="443">
        <v>19</v>
      </c>
      <c r="K4" s="443">
        <v>6.7</v>
      </c>
      <c r="L4" s="444">
        <v>0</v>
      </c>
      <c r="M4" s="445">
        <v>1.2</v>
      </c>
      <c r="N4" s="445" t="s">
        <v>305</v>
      </c>
    </row>
    <row r="5" spans="1:14">
      <c r="B5" s="446"/>
      <c r="C5" s="181" t="s">
        <v>306</v>
      </c>
      <c r="D5" s="447"/>
      <c r="E5" s="447"/>
      <c r="F5" s="448"/>
      <c r="G5" s="449"/>
      <c r="H5" s="450"/>
      <c r="I5" s="442"/>
      <c r="J5" s="443"/>
      <c r="K5" s="443"/>
      <c r="L5" s="444"/>
      <c r="M5" s="445"/>
      <c r="N5" s="445"/>
    </row>
    <row r="6" spans="1:14" s="182" customFormat="1">
      <c r="B6" s="183" t="s">
        <v>307</v>
      </c>
      <c r="E6" s="184" t="s">
        <v>248</v>
      </c>
      <c r="F6" s="185">
        <f>F4/1000</f>
        <v>5170</v>
      </c>
      <c r="G6" s="185">
        <f>G4/1000</f>
        <v>700</v>
      </c>
    </row>
    <row r="7" spans="1:14" s="182" customFormat="1">
      <c r="C7" s="186"/>
      <c r="F7" s="187"/>
      <c r="G7" s="187"/>
    </row>
    <row r="8" spans="1:14" s="182" customFormat="1">
      <c r="B8" s="188" t="s">
        <v>308</v>
      </c>
      <c r="C8" s="188" t="s">
        <v>309</v>
      </c>
      <c r="D8" s="188" t="s">
        <v>261</v>
      </c>
    </row>
    <row r="9" spans="1:14" s="182" customFormat="1">
      <c r="B9" s="189" t="s">
        <v>310</v>
      </c>
      <c r="C9" s="190">
        <f>(1/$E$94)*1000</f>
        <v>2.9940119760479044E-3</v>
      </c>
      <c r="D9" s="191" t="s">
        <v>311</v>
      </c>
    </row>
    <row r="10" spans="1:14" s="182" customFormat="1">
      <c r="B10" s="167" t="s">
        <v>230</v>
      </c>
      <c r="C10" s="192">
        <v>0.9</v>
      </c>
      <c r="D10" s="193" t="s">
        <v>312</v>
      </c>
    </row>
    <row r="11" spans="1:14" s="182" customFormat="1"/>
    <row r="12" spans="1:14" s="182" customFormat="1" ht="120">
      <c r="B12" s="180" t="s">
        <v>291</v>
      </c>
      <c r="C12" s="180" t="s">
        <v>292</v>
      </c>
      <c r="D12" s="180" t="s">
        <v>293</v>
      </c>
      <c r="E12" s="180" t="s">
        <v>294</v>
      </c>
      <c r="F12" s="180" t="s">
        <v>295</v>
      </c>
      <c r="G12" s="180" t="s">
        <v>296</v>
      </c>
      <c r="H12" s="180" t="s">
        <v>297</v>
      </c>
      <c r="I12" s="180" t="s">
        <v>298</v>
      </c>
      <c r="J12" s="180" t="s">
        <v>299</v>
      </c>
      <c r="K12" s="180" t="s">
        <v>300</v>
      </c>
      <c r="L12" s="180" t="s">
        <v>301</v>
      </c>
      <c r="M12" s="180" t="s">
        <v>302</v>
      </c>
      <c r="N12" s="180" t="s">
        <v>261</v>
      </c>
    </row>
    <row r="13" spans="1:14">
      <c r="B13" s="446">
        <v>1</v>
      </c>
      <c r="C13" s="194" t="s">
        <v>313</v>
      </c>
      <c r="D13" s="447" t="s">
        <v>314</v>
      </c>
      <c r="E13" s="447">
        <v>3</v>
      </c>
      <c r="F13" s="447">
        <v>78</v>
      </c>
      <c r="G13" s="449">
        <v>13</v>
      </c>
      <c r="H13" s="450">
        <f>G13/10000</f>
        <v>1.2999999999999999E-3</v>
      </c>
      <c r="I13" s="442">
        <v>4</v>
      </c>
      <c r="J13" s="443">
        <v>3.6</v>
      </c>
      <c r="K13" s="443">
        <v>1.3</v>
      </c>
      <c r="L13" s="444">
        <v>0.02</v>
      </c>
      <c r="M13" s="445">
        <v>1.4</v>
      </c>
      <c r="N13" s="445" t="s">
        <v>315</v>
      </c>
    </row>
    <row r="14" spans="1:14">
      <c r="B14" s="446"/>
      <c r="C14" s="181" t="s">
        <v>306</v>
      </c>
      <c r="D14" s="447"/>
      <c r="E14" s="447"/>
      <c r="F14" s="447"/>
      <c r="G14" s="449"/>
      <c r="H14" s="450"/>
      <c r="I14" s="442"/>
      <c r="J14" s="443"/>
      <c r="K14" s="443"/>
      <c r="L14" s="444"/>
      <c r="M14" s="445"/>
      <c r="N14" s="445"/>
    </row>
    <row r="15" spans="1:14">
      <c r="B15" s="451">
        <v>2</v>
      </c>
      <c r="C15" s="195" t="s">
        <v>316</v>
      </c>
      <c r="D15" s="452" t="s">
        <v>314</v>
      </c>
      <c r="E15" s="452">
        <v>3</v>
      </c>
      <c r="F15" s="452">
        <v>565</v>
      </c>
      <c r="G15" s="453">
        <v>45</v>
      </c>
      <c r="H15" s="454">
        <f>G15/10000</f>
        <v>4.4999999999999997E-3</v>
      </c>
      <c r="I15" s="453">
        <v>98</v>
      </c>
      <c r="J15" s="451">
        <v>1.2</v>
      </c>
      <c r="K15" s="451">
        <v>2.5</v>
      </c>
      <c r="L15" s="455">
        <v>0.06</v>
      </c>
      <c r="M15" s="456">
        <v>-1.3</v>
      </c>
      <c r="N15" s="456" t="s">
        <v>315</v>
      </c>
    </row>
    <row r="16" spans="1:14">
      <c r="B16" s="451"/>
      <c r="C16" s="195" t="s">
        <v>317</v>
      </c>
      <c r="D16" s="452"/>
      <c r="E16" s="452"/>
      <c r="F16" s="452"/>
      <c r="G16" s="453"/>
      <c r="H16" s="454"/>
      <c r="I16" s="453"/>
      <c r="J16" s="451"/>
      <c r="K16" s="451"/>
      <c r="L16" s="455"/>
      <c r="M16" s="456"/>
      <c r="N16" s="456"/>
    </row>
    <row r="17" spans="1:18" s="196" customFormat="1">
      <c r="B17" s="183" t="s">
        <v>318</v>
      </c>
      <c r="C17" s="197"/>
      <c r="D17" s="197"/>
      <c r="E17" s="184" t="s">
        <v>248</v>
      </c>
      <c r="F17" s="184">
        <f>F15/1000</f>
        <v>0.56499999999999995</v>
      </c>
      <c r="G17" s="184">
        <f>G15/1000</f>
        <v>4.4999999999999998E-2</v>
      </c>
      <c r="H17" s="198"/>
      <c r="I17" s="199"/>
      <c r="J17" s="200"/>
      <c r="K17" s="199"/>
      <c r="L17" s="200"/>
      <c r="M17" s="201"/>
      <c r="N17" s="201"/>
      <c r="O17" s="202"/>
      <c r="P17" s="203"/>
      <c r="Q17" s="203"/>
    </row>
    <row r="18" spans="1:18" s="196" customFormat="1">
      <c r="B18" s="183"/>
      <c r="C18" s="197"/>
      <c r="D18" s="197"/>
      <c r="E18" s="197"/>
      <c r="F18" s="197"/>
      <c r="G18" s="197"/>
      <c r="H18" s="198"/>
      <c r="I18" s="199"/>
      <c r="J18" s="200"/>
      <c r="K18" s="199"/>
      <c r="L18" s="200"/>
      <c r="M18" s="201"/>
      <c r="N18" s="201"/>
      <c r="O18" s="202"/>
      <c r="P18" s="203"/>
      <c r="Q18" s="203"/>
    </row>
    <row r="19" spans="1:18" s="196" customFormat="1">
      <c r="B19" s="188" t="s">
        <v>308</v>
      </c>
      <c r="C19" s="188" t="s">
        <v>309</v>
      </c>
      <c r="D19" s="188" t="s">
        <v>261</v>
      </c>
      <c r="E19" s="197"/>
      <c r="F19" s="197"/>
      <c r="G19" s="197"/>
      <c r="H19" s="198"/>
      <c r="I19" s="199"/>
      <c r="J19" s="200"/>
      <c r="K19" s="199"/>
      <c r="L19" s="200"/>
      <c r="M19" s="201"/>
      <c r="N19" s="201"/>
      <c r="O19" s="202"/>
      <c r="P19" s="203"/>
      <c r="Q19" s="203"/>
    </row>
    <row r="20" spans="1:18" s="196" customFormat="1">
      <c r="B20" s="189" t="s">
        <v>319</v>
      </c>
      <c r="C20" s="204">
        <f>($C$51/$E$94)*1000</f>
        <v>506.18389389445406</v>
      </c>
      <c r="D20" s="191" t="s">
        <v>320</v>
      </c>
      <c r="E20" s="197"/>
      <c r="F20" s="197"/>
      <c r="G20" s="197"/>
      <c r="H20" s="198"/>
      <c r="I20" s="199"/>
      <c r="J20" s="200"/>
      <c r="K20" s="199"/>
      <c r="L20" s="200"/>
      <c r="M20" s="201"/>
      <c r="N20" s="201"/>
      <c r="O20" s="202"/>
      <c r="P20" s="203"/>
      <c r="Q20" s="203"/>
    </row>
    <row r="21" spans="1:18" s="196" customFormat="1">
      <c r="B21" s="167" t="s">
        <v>230</v>
      </c>
      <c r="C21" s="192">
        <v>0.05</v>
      </c>
      <c r="D21" s="193" t="s">
        <v>321</v>
      </c>
      <c r="E21" s="197"/>
      <c r="F21" s="197"/>
      <c r="G21" s="197"/>
      <c r="H21" s="198"/>
      <c r="I21" s="199"/>
      <c r="J21" s="200"/>
      <c r="K21" s="199"/>
      <c r="L21" s="200"/>
      <c r="M21" s="201"/>
      <c r="N21" s="201"/>
      <c r="O21" s="202"/>
      <c r="P21" s="203"/>
      <c r="Q21" s="203"/>
    </row>
    <row r="22" spans="1:18" s="196" customFormat="1">
      <c r="B22" s="183"/>
      <c r="C22" s="197"/>
      <c r="D22" s="197"/>
      <c r="E22" s="197"/>
      <c r="F22" s="197"/>
      <c r="G22" s="197"/>
      <c r="H22" s="198"/>
      <c r="I22" s="199"/>
      <c r="J22" s="200"/>
      <c r="K22" s="199"/>
      <c r="L22" s="200"/>
      <c r="M22" s="201"/>
      <c r="N22" s="201"/>
      <c r="O22" s="202"/>
      <c r="P22" s="203"/>
      <c r="Q22" s="203"/>
    </row>
    <row r="23" spans="1:18" s="196" customFormat="1">
      <c r="B23" s="201"/>
      <c r="C23" s="197"/>
      <c r="D23" s="197"/>
      <c r="E23" s="197"/>
      <c r="F23" s="197"/>
      <c r="G23" s="205"/>
      <c r="H23" s="197"/>
      <c r="I23" s="197"/>
      <c r="J23" s="199"/>
      <c r="K23" s="200"/>
      <c r="L23" s="199"/>
      <c r="M23" s="200"/>
      <c r="N23" s="201"/>
      <c r="O23" s="201"/>
      <c r="P23" s="202"/>
      <c r="Q23" s="203"/>
      <c r="R23" s="203"/>
    </row>
    <row r="24" spans="1:18" s="196" customFormat="1">
      <c r="B24" s="201"/>
      <c r="C24" s="197"/>
      <c r="D24" s="197"/>
      <c r="E24" s="197"/>
      <c r="F24" s="197"/>
      <c r="G24" s="205"/>
      <c r="H24" s="197"/>
      <c r="I24" s="197"/>
      <c r="J24" s="199"/>
      <c r="K24" s="200"/>
      <c r="L24" s="199"/>
      <c r="M24" s="200"/>
      <c r="N24" s="201"/>
      <c r="O24" s="201"/>
      <c r="P24" s="202"/>
      <c r="Q24" s="203"/>
      <c r="R24" s="203"/>
    </row>
    <row r="25" spans="1:18" s="196" customFormat="1">
      <c r="B25" s="201"/>
      <c r="C25" s="197"/>
      <c r="D25" s="197"/>
      <c r="E25" s="197"/>
      <c r="F25" s="197"/>
      <c r="G25" s="205"/>
      <c r="H25" s="197"/>
      <c r="I25" s="197"/>
      <c r="J25" s="199"/>
      <c r="K25" s="200"/>
      <c r="L25" s="199"/>
      <c r="M25" s="200"/>
      <c r="N25" s="201"/>
      <c r="O25" s="201"/>
      <c r="P25" s="202"/>
      <c r="Q25" s="203"/>
      <c r="R25" s="203"/>
    </row>
    <row r="26" spans="1:18" s="196" customFormat="1">
      <c r="B26" s="71" t="s">
        <v>322</v>
      </c>
      <c r="C26" s="197"/>
      <c r="D26" s="197"/>
      <c r="E26" s="197"/>
      <c r="F26" s="197"/>
      <c r="G26" s="205"/>
      <c r="H26" s="197"/>
      <c r="I26" s="197"/>
      <c r="J26" s="199"/>
      <c r="K26" s="200"/>
      <c r="L26" s="199"/>
      <c r="M26" s="200"/>
      <c r="N26" s="201"/>
      <c r="O26" s="201"/>
      <c r="P26" s="202"/>
      <c r="Q26" s="203"/>
      <c r="R26" s="203"/>
    </row>
    <row r="27" spans="1:18" s="206" customFormat="1">
      <c r="B27" s="201"/>
      <c r="C27" s="197"/>
      <c r="D27" s="197"/>
      <c r="E27" s="197"/>
      <c r="F27" s="197"/>
      <c r="G27" s="197"/>
      <c r="H27" s="197"/>
      <c r="I27" s="197"/>
      <c r="J27" s="200"/>
      <c r="K27" s="199"/>
      <c r="L27" s="200"/>
      <c r="M27" s="201"/>
      <c r="N27" s="201"/>
      <c r="O27" s="202"/>
      <c r="P27" s="203"/>
      <c r="Q27" s="203"/>
    </row>
    <row r="28" spans="1:18" s="206" customFormat="1" ht="120">
      <c r="B28" s="180" t="s">
        <v>291</v>
      </c>
      <c r="C28" s="180" t="s">
        <v>292</v>
      </c>
      <c r="D28" s="180" t="s">
        <v>293</v>
      </c>
      <c r="E28" s="180" t="s">
        <v>323</v>
      </c>
      <c r="F28" s="180" t="s">
        <v>324</v>
      </c>
      <c r="G28" s="180" t="s">
        <v>294</v>
      </c>
      <c r="H28" s="180" t="s">
        <v>325</v>
      </c>
      <c r="I28" s="180" t="str">
        <f>"Scaled "&amp;H28</f>
        <v>Scaled Annual Electricity Savings (kWh/UPS)</v>
      </c>
      <c r="J28" s="180" t="s">
        <v>326</v>
      </c>
      <c r="K28" s="180" t="str">
        <f>"Scaled "&amp;J28</f>
        <v>Scaled Total Incremental Cost of Measure ($/UPS)</v>
      </c>
      <c r="L28" s="180" t="s">
        <v>298</v>
      </c>
      <c r="M28" s="180" t="s">
        <v>299</v>
      </c>
      <c r="N28" s="180" t="s">
        <v>300</v>
      </c>
      <c r="O28" s="180" t="s">
        <v>301</v>
      </c>
      <c r="P28" s="180" t="s">
        <v>302</v>
      </c>
      <c r="Q28" s="180" t="s">
        <v>261</v>
      </c>
      <c r="R28" s="180" t="s">
        <v>327</v>
      </c>
    </row>
    <row r="29" spans="1:18">
      <c r="A29" s="196"/>
      <c r="B29" s="446">
        <v>1</v>
      </c>
      <c r="C29" s="181" t="s">
        <v>328</v>
      </c>
      <c r="D29" s="447" t="s">
        <v>329</v>
      </c>
      <c r="E29" s="460">
        <v>5</v>
      </c>
      <c r="F29" s="461">
        <f>$C$52/E29</f>
        <v>11.32</v>
      </c>
      <c r="G29" s="447">
        <v>5</v>
      </c>
      <c r="H29" s="447">
        <v>247</v>
      </c>
      <c r="I29" s="460">
        <f>H29*F29</f>
        <v>2796.04</v>
      </c>
      <c r="J29" s="449">
        <v>225</v>
      </c>
      <c r="K29" s="450">
        <f>J29*F29</f>
        <v>2547</v>
      </c>
      <c r="L29" s="442">
        <v>37</v>
      </c>
      <c r="M29" s="443">
        <v>2.2000000000000002</v>
      </c>
      <c r="N29" s="462">
        <v>0.4</v>
      </c>
      <c r="O29" s="444">
        <v>0.03</v>
      </c>
      <c r="P29" s="445">
        <v>10.4</v>
      </c>
      <c r="Q29" s="445" t="s">
        <v>330</v>
      </c>
      <c r="R29" s="457" t="s">
        <v>331</v>
      </c>
    </row>
    <row r="30" spans="1:18">
      <c r="A30" s="196"/>
      <c r="B30" s="446"/>
      <c r="C30" s="181" t="s">
        <v>332</v>
      </c>
      <c r="D30" s="447"/>
      <c r="E30" s="460"/>
      <c r="F30" s="461"/>
      <c r="G30" s="447"/>
      <c r="H30" s="447"/>
      <c r="I30" s="460"/>
      <c r="J30" s="449"/>
      <c r="K30" s="450"/>
      <c r="L30" s="442"/>
      <c r="M30" s="443"/>
      <c r="N30" s="462"/>
      <c r="O30" s="444"/>
      <c r="P30" s="445"/>
      <c r="Q30" s="445"/>
      <c r="R30" s="458"/>
    </row>
    <row r="31" spans="1:18">
      <c r="A31" s="196"/>
      <c r="B31" s="446">
        <v>2</v>
      </c>
      <c r="C31" s="181" t="s">
        <v>333</v>
      </c>
      <c r="D31" s="447" t="s">
        <v>329</v>
      </c>
      <c r="E31" s="460">
        <v>10</v>
      </c>
      <c r="F31" s="461">
        <f>$C$52/E31</f>
        <v>5.66</v>
      </c>
      <c r="G31" s="447">
        <v>15</v>
      </c>
      <c r="H31" s="448">
        <v>1189</v>
      </c>
      <c r="I31" s="460">
        <f t="shared" ref="I31" si="0">H31*F31</f>
        <v>6729.74</v>
      </c>
      <c r="J31" s="449">
        <v>450</v>
      </c>
      <c r="K31" s="450">
        <f t="shared" ref="K31" si="1">J31*F31</f>
        <v>2547</v>
      </c>
      <c r="L31" s="442">
        <v>178</v>
      </c>
      <c r="M31" s="443">
        <v>6</v>
      </c>
      <c r="N31" s="443">
        <v>2.4</v>
      </c>
      <c r="O31" s="444">
        <v>0.01</v>
      </c>
      <c r="P31" s="445">
        <v>3.1</v>
      </c>
      <c r="Q31" s="445" t="s">
        <v>330</v>
      </c>
      <c r="R31" s="458"/>
    </row>
    <row r="32" spans="1:18">
      <c r="A32" s="196"/>
      <c r="B32" s="446"/>
      <c r="C32" s="181" t="s">
        <v>332</v>
      </c>
      <c r="D32" s="447"/>
      <c r="E32" s="460"/>
      <c r="F32" s="461"/>
      <c r="G32" s="447"/>
      <c r="H32" s="448"/>
      <c r="I32" s="460"/>
      <c r="J32" s="449"/>
      <c r="K32" s="450"/>
      <c r="L32" s="442"/>
      <c r="M32" s="443"/>
      <c r="N32" s="443"/>
      <c r="O32" s="444"/>
      <c r="P32" s="445"/>
      <c r="Q32" s="445"/>
      <c r="R32" s="458"/>
    </row>
    <row r="33" spans="1:18">
      <c r="A33" s="196"/>
      <c r="B33" s="446">
        <v>3</v>
      </c>
      <c r="C33" s="181" t="s">
        <v>334</v>
      </c>
      <c r="D33" s="447" t="s">
        <v>329</v>
      </c>
      <c r="E33" s="460">
        <v>1000</v>
      </c>
      <c r="F33" s="461">
        <f>$C$52/E33</f>
        <v>5.6600000000000004E-2</v>
      </c>
      <c r="G33" s="447">
        <v>15</v>
      </c>
      <c r="H33" s="448">
        <v>217532</v>
      </c>
      <c r="I33" s="460">
        <f t="shared" ref="I33" si="2">H33*F33</f>
        <v>12312.3112</v>
      </c>
      <c r="J33" s="449">
        <v>20000</v>
      </c>
      <c r="K33" s="450">
        <f t="shared" ref="K33" si="3">J33*F33</f>
        <v>1132</v>
      </c>
      <c r="L33" s="442">
        <v>32630</v>
      </c>
      <c r="M33" s="443">
        <v>6</v>
      </c>
      <c r="N33" s="443">
        <v>9.8000000000000007</v>
      </c>
      <c r="O33" s="444">
        <v>0.01</v>
      </c>
      <c r="P33" s="445">
        <v>-0.8</v>
      </c>
      <c r="Q33" s="445" t="s">
        <v>330</v>
      </c>
      <c r="R33" s="458"/>
    </row>
    <row r="34" spans="1:18">
      <c r="A34" s="196"/>
      <c r="B34" s="446"/>
      <c r="C34" s="181" t="s">
        <v>332</v>
      </c>
      <c r="D34" s="447"/>
      <c r="E34" s="460"/>
      <c r="F34" s="461"/>
      <c r="G34" s="447"/>
      <c r="H34" s="448"/>
      <c r="I34" s="460"/>
      <c r="J34" s="449"/>
      <c r="K34" s="450"/>
      <c r="L34" s="442"/>
      <c r="M34" s="443"/>
      <c r="N34" s="443"/>
      <c r="O34" s="444"/>
      <c r="P34" s="445"/>
      <c r="Q34" s="445"/>
      <c r="R34" s="458"/>
    </row>
    <row r="35" spans="1:18">
      <c r="A35" s="196"/>
      <c r="B35" s="446">
        <v>4</v>
      </c>
      <c r="C35" s="181" t="s">
        <v>335</v>
      </c>
      <c r="D35" s="447" t="s">
        <v>336</v>
      </c>
      <c r="E35" s="460">
        <v>1.5</v>
      </c>
      <c r="F35" s="461">
        <f>$C$52/E35</f>
        <v>37.733333333333334</v>
      </c>
      <c r="G35" s="447">
        <v>5</v>
      </c>
      <c r="H35" s="447">
        <v>120</v>
      </c>
      <c r="I35" s="460">
        <f t="shared" ref="I35" si="4">H35*F35</f>
        <v>4528</v>
      </c>
      <c r="J35" s="449">
        <v>26</v>
      </c>
      <c r="K35" s="450">
        <f t="shared" ref="K35" si="5">J35*F35</f>
        <v>981.06666666666672</v>
      </c>
      <c r="L35" s="442">
        <v>18</v>
      </c>
      <c r="M35" s="443">
        <v>2.2000000000000002</v>
      </c>
      <c r="N35" s="443">
        <v>1.5</v>
      </c>
      <c r="O35" s="444">
        <v>0.03</v>
      </c>
      <c r="P35" s="445">
        <v>0.9</v>
      </c>
      <c r="Q35" s="445" t="s">
        <v>330</v>
      </c>
      <c r="R35" s="458"/>
    </row>
    <row r="36" spans="1:18">
      <c r="A36" s="196"/>
      <c r="B36" s="446"/>
      <c r="C36" s="181" t="s">
        <v>337</v>
      </c>
      <c r="D36" s="447"/>
      <c r="E36" s="460"/>
      <c r="F36" s="461"/>
      <c r="G36" s="447"/>
      <c r="H36" s="447"/>
      <c r="I36" s="460"/>
      <c r="J36" s="449"/>
      <c r="K36" s="450"/>
      <c r="L36" s="442"/>
      <c r="M36" s="443"/>
      <c r="N36" s="443"/>
      <c r="O36" s="444"/>
      <c r="P36" s="445"/>
      <c r="Q36" s="445"/>
      <c r="R36" s="458"/>
    </row>
    <row r="37" spans="1:18">
      <c r="A37" s="196"/>
      <c r="B37" s="446">
        <v>5</v>
      </c>
      <c r="C37" s="181" t="s">
        <v>328</v>
      </c>
      <c r="D37" s="447" t="s">
        <v>336</v>
      </c>
      <c r="E37" s="460">
        <v>5</v>
      </c>
      <c r="F37" s="461">
        <f>$C$52/E37</f>
        <v>11.32</v>
      </c>
      <c r="G37" s="447">
        <v>5</v>
      </c>
      <c r="H37" s="447">
        <v>443</v>
      </c>
      <c r="I37" s="460">
        <f t="shared" ref="I37" si="6">H37*F37</f>
        <v>5014.76</v>
      </c>
      <c r="J37" s="449">
        <v>150</v>
      </c>
      <c r="K37" s="450">
        <f t="shared" ref="K37" si="7">J37*F37</f>
        <v>1698</v>
      </c>
      <c r="L37" s="442">
        <v>66</v>
      </c>
      <c r="M37" s="443">
        <v>2.2000000000000002</v>
      </c>
      <c r="N37" s="462">
        <v>1</v>
      </c>
      <c r="O37" s="444">
        <v>0.03</v>
      </c>
      <c r="P37" s="445">
        <v>2.6</v>
      </c>
      <c r="Q37" s="445" t="s">
        <v>330</v>
      </c>
      <c r="R37" s="458"/>
    </row>
    <row r="38" spans="1:18">
      <c r="A38" s="196"/>
      <c r="B38" s="446"/>
      <c r="C38" s="181" t="s">
        <v>337</v>
      </c>
      <c r="D38" s="447"/>
      <c r="E38" s="460"/>
      <c r="F38" s="461"/>
      <c r="G38" s="447"/>
      <c r="H38" s="447"/>
      <c r="I38" s="460"/>
      <c r="J38" s="449"/>
      <c r="K38" s="450"/>
      <c r="L38" s="442"/>
      <c r="M38" s="443"/>
      <c r="N38" s="462"/>
      <c r="O38" s="444"/>
      <c r="P38" s="445"/>
      <c r="Q38" s="445"/>
      <c r="R38" s="458"/>
    </row>
    <row r="39" spans="1:18">
      <c r="A39" s="196"/>
      <c r="B39" s="446">
        <v>6</v>
      </c>
      <c r="C39" s="181" t="s">
        <v>335</v>
      </c>
      <c r="D39" s="447" t="s">
        <v>338</v>
      </c>
      <c r="E39" s="460">
        <v>1.5</v>
      </c>
      <c r="F39" s="461">
        <f>$C$52/E39</f>
        <v>37.733333333333334</v>
      </c>
      <c r="G39" s="447">
        <v>5</v>
      </c>
      <c r="H39" s="447">
        <v>120</v>
      </c>
      <c r="I39" s="460">
        <f>H39*F39</f>
        <v>4528</v>
      </c>
      <c r="J39" s="449">
        <v>7</v>
      </c>
      <c r="K39" s="450">
        <f t="shared" ref="K39" si="8">J39*F39</f>
        <v>264.13333333333333</v>
      </c>
      <c r="L39" s="442">
        <v>18</v>
      </c>
      <c r="M39" s="443">
        <v>2.2000000000000002</v>
      </c>
      <c r="N39" s="443">
        <v>5.6</v>
      </c>
      <c r="O39" s="444">
        <v>0.03</v>
      </c>
      <c r="P39" s="445">
        <v>-1.3</v>
      </c>
      <c r="Q39" s="445" t="s">
        <v>330</v>
      </c>
      <c r="R39" s="458"/>
    </row>
    <row r="40" spans="1:18">
      <c r="A40" s="196"/>
      <c r="B40" s="446"/>
      <c r="C40" s="181" t="s">
        <v>339</v>
      </c>
      <c r="D40" s="447"/>
      <c r="E40" s="460"/>
      <c r="F40" s="461"/>
      <c r="G40" s="447"/>
      <c r="H40" s="447"/>
      <c r="I40" s="460"/>
      <c r="J40" s="449"/>
      <c r="K40" s="450"/>
      <c r="L40" s="442"/>
      <c r="M40" s="443"/>
      <c r="N40" s="443"/>
      <c r="O40" s="444"/>
      <c r="P40" s="445"/>
      <c r="Q40" s="445"/>
      <c r="R40" s="459"/>
    </row>
    <row r="41" spans="1:18" s="206" customFormat="1">
      <c r="B41" s="183" t="s">
        <v>340</v>
      </c>
      <c r="C41" s="197"/>
      <c r="D41" s="197"/>
      <c r="E41" s="207">
        <f>AVERAGE(E29:E40)</f>
        <v>170.5</v>
      </c>
      <c r="F41" s="207" t="s">
        <v>341</v>
      </c>
      <c r="G41" s="207">
        <f>AVERAGE(G29:G40)</f>
        <v>8.3333333333333339</v>
      </c>
      <c r="H41" s="208"/>
      <c r="I41" s="209">
        <f>AVERAGE(I29:I40)</f>
        <v>5984.8085333333329</v>
      </c>
      <c r="J41" s="210"/>
      <c r="K41" s="211">
        <f>AVERAGE(K29:K40)</f>
        <v>1528.1999999999998</v>
      </c>
      <c r="L41" s="200"/>
      <c r="M41" s="201"/>
      <c r="N41" s="201"/>
      <c r="O41" s="202"/>
      <c r="P41" s="203"/>
      <c r="Q41" s="203"/>
    </row>
    <row r="42" spans="1:18" s="206" customFormat="1">
      <c r="B42" s="183"/>
      <c r="C42" s="197"/>
      <c r="D42" s="197"/>
      <c r="E42" s="212"/>
      <c r="F42" s="212"/>
      <c r="G42" s="212"/>
      <c r="H42" s="184" t="s">
        <v>248</v>
      </c>
      <c r="I42" s="213">
        <f>I41/1000</f>
        <v>5.9848085333333332</v>
      </c>
      <c r="J42" s="214"/>
      <c r="K42" s="214">
        <f>K41/1000</f>
        <v>1.5281999999999998</v>
      </c>
      <c r="L42" s="201"/>
      <c r="M42" s="201"/>
      <c r="N42" s="202"/>
      <c r="O42" s="203"/>
      <c r="P42" s="203"/>
    </row>
    <row r="43" spans="1:18" s="206" customFormat="1">
      <c r="B43" s="188" t="s">
        <v>308</v>
      </c>
      <c r="C43" s="188" t="s">
        <v>309</v>
      </c>
      <c r="D43" s="188" t="s">
        <v>261</v>
      </c>
      <c r="E43" s="215"/>
      <c r="F43" s="198"/>
      <c r="G43" s="212"/>
      <c r="H43" s="216"/>
      <c r="I43" s="200"/>
      <c r="J43" s="199"/>
      <c r="K43" s="200"/>
      <c r="L43" s="201"/>
      <c r="M43" s="201"/>
      <c r="N43" s="202"/>
      <c r="O43" s="203"/>
      <c r="P43" s="203"/>
    </row>
    <row r="44" spans="1:18" s="206" customFormat="1">
      <c r="B44" s="189" t="s">
        <v>342</v>
      </c>
      <c r="C44" s="204">
        <f>(($C$53/$E$41)/$E$94)*1000</f>
        <v>0.89064614761487515</v>
      </c>
      <c r="D44" s="191" t="s">
        <v>320</v>
      </c>
      <c r="E44" s="215"/>
      <c r="F44" s="198"/>
      <c r="G44" s="212"/>
      <c r="H44" s="216"/>
      <c r="I44" s="200"/>
      <c r="J44" s="199"/>
      <c r="K44" s="200"/>
      <c r="L44" s="201"/>
      <c r="M44" s="201"/>
      <c r="N44" s="202"/>
      <c r="O44" s="203"/>
      <c r="P44" s="203"/>
    </row>
    <row r="45" spans="1:18" s="206" customFormat="1">
      <c r="B45" s="167" t="s">
        <v>230</v>
      </c>
      <c r="C45" s="192">
        <v>0.9</v>
      </c>
      <c r="D45" s="193" t="s">
        <v>312</v>
      </c>
      <c r="E45" s="215"/>
      <c r="F45" s="198"/>
      <c r="G45" s="212"/>
      <c r="H45" s="216"/>
      <c r="J45" s="200"/>
      <c r="K45" s="199"/>
      <c r="L45" s="200"/>
      <c r="M45" s="201"/>
      <c r="N45" s="201"/>
      <c r="O45" s="202"/>
      <c r="P45" s="203"/>
      <c r="Q45" s="203"/>
    </row>
    <row r="46" spans="1:18" s="206" customFormat="1">
      <c r="B46" s="201"/>
      <c r="C46" s="197"/>
      <c r="D46" s="197"/>
      <c r="E46" s="215"/>
      <c r="F46" s="198"/>
      <c r="G46" s="212"/>
      <c r="H46" s="216"/>
      <c r="J46" s="200"/>
      <c r="K46" s="199"/>
      <c r="L46" s="200"/>
      <c r="M46" s="201"/>
      <c r="N46" s="201"/>
      <c r="O46" s="202"/>
      <c r="P46" s="203"/>
      <c r="Q46" s="203"/>
    </row>
    <row r="47" spans="1:18" s="206" customFormat="1">
      <c r="B47" s="189" t="s">
        <v>308</v>
      </c>
      <c r="C47" s="189" t="s">
        <v>309</v>
      </c>
      <c r="D47" s="189" t="s">
        <v>327</v>
      </c>
      <c r="E47" s="217" t="s">
        <v>261</v>
      </c>
      <c r="F47" s="215"/>
      <c r="G47" s="212"/>
      <c r="H47" s="197"/>
      <c r="J47" s="199"/>
      <c r="K47" s="200"/>
      <c r="L47" s="199"/>
      <c r="M47" s="200"/>
      <c r="N47" s="201"/>
      <c r="O47" s="201"/>
      <c r="P47" s="202"/>
      <c r="Q47" s="203"/>
      <c r="R47" s="203"/>
    </row>
    <row r="48" spans="1:18" s="206" customFormat="1">
      <c r="B48" s="218" t="s">
        <v>343</v>
      </c>
      <c r="C48" s="218">
        <v>1.07</v>
      </c>
      <c r="D48" s="189"/>
      <c r="E48" s="219" t="s">
        <v>344</v>
      </c>
      <c r="F48" s="215"/>
      <c r="G48" s="212"/>
      <c r="H48" s="197"/>
      <c r="J48" s="199"/>
      <c r="K48" s="200"/>
      <c r="L48" s="199"/>
      <c r="M48" s="200"/>
      <c r="N48" s="201"/>
      <c r="O48" s="201"/>
      <c r="P48" s="202"/>
      <c r="Q48" s="203"/>
      <c r="R48" s="203"/>
    </row>
    <row r="49" spans="2:35" s="206" customFormat="1">
      <c r="B49" s="218" t="s">
        <v>345</v>
      </c>
      <c r="C49" s="218">
        <v>54.27</v>
      </c>
      <c r="D49" s="220" t="s">
        <v>346</v>
      </c>
      <c r="E49" s="219" t="s">
        <v>347</v>
      </c>
      <c r="F49" s="215"/>
      <c r="G49" s="212"/>
      <c r="H49" s="197"/>
      <c r="J49" s="199"/>
      <c r="K49" s="200"/>
      <c r="L49" s="199"/>
      <c r="M49" s="200"/>
      <c r="N49" s="201"/>
      <c r="O49" s="201"/>
      <c r="P49" s="202"/>
      <c r="Q49" s="203"/>
      <c r="R49" s="203"/>
    </row>
    <row r="50" spans="2:35" s="206" customFormat="1">
      <c r="B50" s="218" t="s">
        <v>348</v>
      </c>
      <c r="C50" s="218">
        <f>300*10^-3</f>
        <v>0.3</v>
      </c>
      <c r="D50" s="219" t="s">
        <v>349</v>
      </c>
      <c r="E50" s="218" t="s">
        <v>347</v>
      </c>
      <c r="F50" s="215"/>
      <c r="G50" s="212"/>
      <c r="H50" s="197"/>
      <c r="J50" s="199"/>
      <c r="K50" s="200"/>
      <c r="L50" s="199"/>
      <c r="M50" s="200"/>
      <c r="N50" s="201"/>
      <c r="O50" s="201"/>
      <c r="P50" s="202"/>
      <c r="Q50" s="203"/>
      <c r="R50" s="203"/>
    </row>
    <row r="51" spans="2:35" s="206" customFormat="1">
      <c r="B51" s="218" t="s">
        <v>246</v>
      </c>
      <c r="C51" s="221">
        <f>((C49*10^6)/C48)/(C50*10^3)</f>
        <v>169065.42056074765</v>
      </c>
      <c r="D51" s="219" t="s">
        <v>349</v>
      </c>
      <c r="E51" s="218"/>
      <c r="F51" s="215"/>
      <c r="G51" s="212"/>
      <c r="H51" s="197"/>
      <c r="J51" s="199"/>
      <c r="K51" s="200"/>
      <c r="L51" s="199"/>
      <c r="M51" s="200"/>
      <c r="N51" s="201"/>
      <c r="O51" s="201"/>
      <c r="P51" s="202"/>
      <c r="Q51" s="203"/>
      <c r="R51" s="203"/>
    </row>
    <row r="52" spans="2:35" s="206" customFormat="1">
      <c r="B52" s="218" t="s">
        <v>350</v>
      </c>
      <c r="C52" s="218">
        <v>56.6</v>
      </c>
      <c r="D52" s="219" t="s">
        <v>351</v>
      </c>
      <c r="E52" s="219" t="s">
        <v>352</v>
      </c>
    </row>
    <row r="53" spans="2:35" s="206" customFormat="1">
      <c r="B53" s="218" t="s">
        <v>353</v>
      </c>
      <c r="C53" s="222">
        <f>C51*C50</f>
        <v>50719.626168224291</v>
      </c>
      <c r="D53" s="223" t="s">
        <v>354</v>
      </c>
      <c r="E53" s="218" t="s">
        <v>320</v>
      </c>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2:35" s="206" customFormat="1">
      <c r="B54" s="218" t="s">
        <v>355</v>
      </c>
      <c r="C54" s="218">
        <f>ROUND(C53/C52, 0)</f>
        <v>896</v>
      </c>
      <c r="D54" s="223" t="s">
        <v>354</v>
      </c>
      <c r="E54" s="218" t="s">
        <v>320</v>
      </c>
      <c r="F54" s="71"/>
      <c r="G54" s="224"/>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2:35" s="206" customFormat="1">
      <c r="B55" s="208" t="s">
        <v>279</v>
      </c>
      <c r="C55" s="225">
        <f>C54*$I$41</f>
        <v>5362388.4458666667</v>
      </c>
      <c r="D55" s="218"/>
      <c r="E55" s="218" t="s">
        <v>320</v>
      </c>
      <c r="F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2:35" s="206" customFormat="1">
      <c r="B56" s="218" t="s">
        <v>356</v>
      </c>
      <c r="C56" s="226">
        <f>$D$91</f>
        <v>11564496.894409936</v>
      </c>
      <c r="D56" s="218"/>
      <c r="E56" s="218" t="s">
        <v>320</v>
      </c>
      <c r="F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2:35" s="206" customFormat="1">
      <c r="B57" s="227" t="s">
        <v>279</v>
      </c>
      <c r="C57" s="228">
        <f>C55/C56</f>
        <v>0.46369405386400736</v>
      </c>
      <c r="D57" s="218"/>
      <c r="E57" s="218" t="s">
        <v>320</v>
      </c>
      <c r="F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2:35" s="206" customFormat="1">
      <c r="B58" s="227" t="s">
        <v>357</v>
      </c>
      <c r="C58" s="229" t="s">
        <v>358</v>
      </c>
      <c r="D58" s="219" t="s">
        <v>359</v>
      </c>
      <c r="E58" s="218" t="s">
        <v>360</v>
      </c>
      <c r="F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2:35" s="206" customFormat="1" ht="15.75" customHeight="1">
      <c r="B59" s="208" t="s">
        <v>361</v>
      </c>
      <c r="C59" s="208">
        <v>0.25</v>
      </c>
      <c r="D59" s="218" t="s">
        <v>362</v>
      </c>
      <c r="E59" s="219" t="s">
        <v>352</v>
      </c>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2:35" s="206" customFormat="1" ht="15.75" customHeight="1">
      <c r="B60" s="208" t="s">
        <v>363</v>
      </c>
      <c r="C60" s="230">
        <f>$K$41*$C$54</f>
        <v>1369267.1999999997</v>
      </c>
      <c r="D60" s="218"/>
      <c r="E60" s="219"/>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2:35" s="206" customFormat="1" ht="15" customHeight="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2:35" s="206" customFormat="1" ht="16.5" thickBot="1">
      <c r="B62" s="463" t="s">
        <v>364</v>
      </c>
      <c r="C62" s="463"/>
      <c r="D62" s="463"/>
      <c r="E62" s="463"/>
      <c r="F62" s="463"/>
      <c r="G62" s="463"/>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2:35" s="206" customFormat="1" ht="16.5" thickTop="1" thickBot="1">
      <c r="B63" s="464" t="s">
        <v>365</v>
      </c>
      <c r="C63" s="466" t="s">
        <v>366</v>
      </c>
      <c r="D63" s="468" t="s">
        <v>367</v>
      </c>
      <c r="E63" s="469"/>
      <c r="F63" s="469"/>
      <c r="G63" s="470"/>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2:35" s="206" customFormat="1" ht="16.5" thickTop="1" thickBot="1">
      <c r="B64" s="465"/>
      <c r="C64" s="467"/>
      <c r="D64" s="231">
        <v>0.25</v>
      </c>
      <c r="E64" s="231">
        <v>0.5</v>
      </c>
      <c r="F64" s="231">
        <v>0.75</v>
      </c>
      <c r="G64" s="232">
        <v>1</v>
      </c>
    </row>
    <row r="65" spans="2:7" s="206" customFormat="1" ht="16.5" thickTop="1" thickBot="1">
      <c r="B65" s="477" t="s">
        <v>368</v>
      </c>
      <c r="C65" s="233" t="s">
        <v>339</v>
      </c>
      <c r="D65" s="233">
        <v>0.2</v>
      </c>
      <c r="E65" s="233">
        <v>0.2</v>
      </c>
      <c r="F65" s="233">
        <v>0.3</v>
      </c>
      <c r="G65" s="234">
        <v>0.3</v>
      </c>
    </row>
    <row r="66" spans="2:7" s="206" customFormat="1" ht="15.75" thickBot="1">
      <c r="B66" s="478"/>
      <c r="C66" s="233" t="s">
        <v>369</v>
      </c>
      <c r="D66" s="233">
        <v>0</v>
      </c>
      <c r="E66" s="233">
        <v>0.3</v>
      </c>
      <c r="F66" s="233">
        <v>0.4</v>
      </c>
      <c r="G66" s="234">
        <v>0.3</v>
      </c>
    </row>
    <row r="67" spans="2:7" s="206" customFormat="1" ht="15.75" thickBot="1">
      <c r="B67" s="235" t="s">
        <v>370</v>
      </c>
      <c r="C67" s="233" t="s">
        <v>371</v>
      </c>
      <c r="D67" s="233">
        <v>0</v>
      </c>
      <c r="E67" s="233">
        <v>0.3</v>
      </c>
      <c r="F67" s="233">
        <v>0.4</v>
      </c>
      <c r="G67" s="234">
        <v>0.3</v>
      </c>
    </row>
    <row r="68" spans="2:7" s="206" customFormat="1" ht="15.75" thickBot="1">
      <c r="B68" s="236" t="s">
        <v>372</v>
      </c>
      <c r="C68" s="237" t="s">
        <v>371</v>
      </c>
      <c r="D68" s="238">
        <v>0.25</v>
      </c>
      <c r="E68" s="238">
        <v>0.5</v>
      </c>
      <c r="F68" s="238">
        <v>0.25</v>
      </c>
      <c r="G68" s="239">
        <v>0</v>
      </c>
    </row>
    <row r="69" spans="2:7" s="206" customFormat="1" ht="15.75" thickTop="1">
      <c r="B69" s="240" t="s">
        <v>373</v>
      </c>
      <c r="D69" s="241" t="s">
        <v>374</v>
      </c>
      <c r="E69" s="241" t="s">
        <v>375</v>
      </c>
      <c r="F69" s="241" t="s">
        <v>376</v>
      </c>
      <c r="G69" s="241" t="s">
        <v>377</v>
      </c>
    </row>
    <row r="70" spans="2:7" s="206" customFormat="1">
      <c r="B70" s="203"/>
      <c r="D70" s="242">
        <v>0.2</v>
      </c>
      <c r="E70" s="219">
        <f>$D$68</f>
        <v>0.25</v>
      </c>
      <c r="F70" s="219">
        <f>E70</f>
        <v>0.25</v>
      </c>
      <c r="G70" s="242">
        <v>0.9</v>
      </c>
    </row>
    <row r="71" spans="2:7" s="206" customFormat="1">
      <c r="B71" s="203"/>
      <c r="D71" s="242">
        <v>0.5</v>
      </c>
      <c r="E71" s="219">
        <f>$E$68</f>
        <v>0.5</v>
      </c>
      <c r="F71" s="219">
        <f>($F$68/2)+E71</f>
        <v>0.625</v>
      </c>
      <c r="G71" s="242">
        <v>0.94</v>
      </c>
    </row>
    <row r="72" spans="2:7" s="206" customFormat="1">
      <c r="B72" s="203"/>
      <c r="D72" s="242">
        <v>1</v>
      </c>
      <c r="E72" s="219">
        <f>$G$68</f>
        <v>0</v>
      </c>
      <c r="F72" s="219">
        <f>($F$68/2)+E72</f>
        <v>0.125</v>
      </c>
      <c r="G72" s="242">
        <v>0.91</v>
      </c>
    </row>
    <row r="73" spans="2:7" s="206" customFormat="1">
      <c r="B73" s="203"/>
      <c r="D73" s="219"/>
      <c r="E73" s="219">
        <f>SUM(E70:E72)</f>
        <v>0.75</v>
      </c>
      <c r="F73" s="243">
        <f>SUM(F70:F72)</f>
        <v>1</v>
      </c>
      <c r="G73" s="244">
        <f>ROUND(SUMPRODUCT($F$70:$F$72, $G$70:$G$72), 2)</f>
        <v>0.93</v>
      </c>
    </row>
    <row r="74" spans="2:7" s="206" customFormat="1">
      <c r="B74" s="203"/>
      <c r="G74" s="245" t="s">
        <v>378</v>
      </c>
    </row>
    <row r="75" spans="2:7" s="206" customFormat="1" ht="16.5" thickBot="1">
      <c r="B75" s="463" t="s">
        <v>379</v>
      </c>
      <c r="C75" s="463"/>
      <c r="D75" s="463"/>
      <c r="E75" s="463"/>
      <c r="G75" s="245" t="s">
        <v>352</v>
      </c>
    </row>
    <row r="76" spans="2:7" s="206" customFormat="1" ht="15.75" thickTop="1">
      <c r="B76" s="479" t="s">
        <v>380</v>
      </c>
      <c r="C76" s="480"/>
      <c r="D76" s="480"/>
      <c r="E76" s="481"/>
    </row>
    <row r="77" spans="2:7" s="206" customFormat="1">
      <c r="B77" s="482" t="s">
        <v>381</v>
      </c>
      <c r="C77" s="483"/>
      <c r="D77" s="483"/>
      <c r="E77" s="484"/>
    </row>
    <row r="78" spans="2:7" s="206" customFormat="1">
      <c r="B78" s="482" t="s">
        <v>382</v>
      </c>
      <c r="C78" s="483"/>
      <c r="D78" s="483"/>
      <c r="E78" s="484"/>
    </row>
    <row r="79" spans="2:7" s="206" customFormat="1" ht="15.75" thickBot="1">
      <c r="B79" s="246"/>
      <c r="C79" s="247"/>
      <c r="D79" s="247"/>
      <c r="E79" s="248"/>
    </row>
    <row r="80" spans="2:7" s="206" customFormat="1" ht="27" customHeight="1" thickTop="1" thickBot="1">
      <c r="B80" s="485" t="s">
        <v>383</v>
      </c>
      <c r="C80" s="486" t="s">
        <v>384</v>
      </c>
      <c r="D80" s="487"/>
      <c r="E80" s="488"/>
    </row>
    <row r="81" spans="1:19" s="206" customFormat="1" ht="16.5" thickTop="1" thickBot="1">
      <c r="B81" s="465"/>
      <c r="C81" s="249" t="s">
        <v>339</v>
      </c>
      <c r="D81" s="249" t="s">
        <v>337</v>
      </c>
      <c r="E81" s="250" t="s">
        <v>332</v>
      </c>
    </row>
    <row r="82" spans="1:19" s="206" customFormat="1" ht="16.5" thickTop="1" thickBot="1">
      <c r="B82" s="235" t="s">
        <v>368</v>
      </c>
      <c r="C82" s="251">
        <v>0.96699999999999997</v>
      </c>
      <c r="D82" s="252"/>
      <c r="E82" s="253" t="s">
        <v>385</v>
      </c>
    </row>
    <row r="83" spans="1:19" s="206" customFormat="1" ht="15.75" thickBot="1">
      <c r="B83" s="235" t="s">
        <v>370</v>
      </c>
      <c r="C83" s="233">
        <v>0.97</v>
      </c>
      <c r="D83" s="233">
        <v>0.96699999999999997</v>
      </c>
      <c r="E83" s="254"/>
    </row>
    <row r="84" spans="1:19" s="206" customFormat="1" ht="15.75" thickBot="1">
      <c r="B84" s="255" t="s">
        <v>372</v>
      </c>
      <c r="C84" s="256">
        <v>0.97</v>
      </c>
      <c r="D84" s="256">
        <v>0.95</v>
      </c>
      <c r="E84" s="257" t="s">
        <v>386</v>
      </c>
    </row>
    <row r="85" spans="1:19" s="206" customFormat="1" ht="15.75" thickTop="1">
      <c r="B85" s="240" t="s">
        <v>387</v>
      </c>
      <c r="E85" s="258">
        <f>0.0099*LN($C$52*10^3)+0.805</f>
        <v>0.91334326621549367</v>
      </c>
    </row>
    <row r="86" spans="1:19" s="206" customFormat="1">
      <c r="B86" s="201"/>
      <c r="C86" s="197"/>
      <c r="D86" s="197"/>
      <c r="E86" s="259"/>
      <c r="F86" s="215"/>
      <c r="G86" s="198"/>
      <c r="H86" s="197"/>
      <c r="I86" s="216"/>
      <c r="J86" s="260"/>
      <c r="K86" s="199"/>
      <c r="L86" s="200"/>
      <c r="M86" s="199"/>
      <c r="N86" s="200"/>
      <c r="O86" s="201"/>
      <c r="P86" s="201"/>
      <c r="Q86" s="202"/>
      <c r="R86" s="203"/>
      <c r="S86" s="203"/>
    </row>
    <row r="87" spans="1:19">
      <c r="B87" s="261" t="s">
        <v>182</v>
      </c>
      <c r="C87" s="261" t="s">
        <v>388</v>
      </c>
      <c r="D87" s="261" t="s">
        <v>389</v>
      </c>
      <c r="E87" s="261" t="s">
        <v>390</v>
      </c>
      <c r="F87" s="261" t="s">
        <v>391</v>
      </c>
      <c r="G87" s="261" t="s">
        <v>392</v>
      </c>
      <c r="H87" s="261" t="s">
        <v>327</v>
      </c>
      <c r="I87" s="126"/>
    </row>
    <row r="88" spans="1:19">
      <c r="B88" s="262" t="str">
        <f>E217</f>
        <v>HVAC - Pumps and Chiller</v>
      </c>
      <c r="C88" s="263">
        <f>H217</f>
        <v>0.28065661047027501</v>
      </c>
      <c r="D88" s="264">
        <f t="shared" ref="D88:D93" si="9">C88*$D$94</f>
        <v>50803477.329192534</v>
      </c>
      <c r="E88" s="264">
        <v>334000</v>
      </c>
      <c r="F88" s="264">
        <f>(D88/E88)</f>
        <v>152.10621954848065</v>
      </c>
      <c r="G88" s="264">
        <f>F88*1000</f>
        <v>152106.21954848064</v>
      </c>
      <c r="H88" s="471" t="s">
        <v>393</v>
      </c>
    </row>
    <row r="89" spans="1:19">
      <c r="B89" s="262" t="str">
        <f t="shared" ref="B89:B93" si="10">E218</f>
        <v>Lighting</v>
      </c>
      <c r="C89" s="263">
        <f t="shared" ref="C89:C93" si="11">H218</f>
        <v>8.8731144631765749E-3</v>
      </c>
      <c r="D89" s="264">
        <f t="shared" si="9"/>
        <v>1606180.1242236025</v>
      </c>
      <c r="E89" s="264">
        <v>334000</v>
      </c>
      <c r="F89" s="264">
        <f t="shared" ref="F89:F93" si="12">(D89/E89)</f>
        <v>4.808922527615576</v>
      </c>
      <c r="G89" s="264">
        <f t="shared" ref="G89:G93" si="13">F89*1000</f>
        <v>4808.9225276155757</v>
      </c>
      <c r="H89" s="472"/>
    </row>
    <row r="90" spans="1:19">
      <c r="A90" s="154"/>
      <c r="B90" s="262" t="str">
        <f t="shared" si="10"/>
        <v>Computer Loads</v>
      </c>
      <c r="C90" s="263">
        <f t="shared" si="11"/>
        <v>0.52173913043478259</v>
      </c>
      <c r="D90" s="264">
        <f t="shared" si="9"/>
        <v>94443391.304347828</v>
      </c>
      <c r="E90" s="264">
        <v>334000</v>
      </c>
      <c r="F90" s="264">
        <f t="shared" si="12"/>
        <v>282.7646446237959</v>
      </c>
      <c r="G90" s="264">
        <f t="shared" si="13"/>
        <v>282764.64462379587</v>
      </c>
      <c r="H90" s="472"/>
    </row>
    <row r="91" spans="1:19">
      <c r="B91" s="262" t="str">
        <f t="shared" si="10"/>
        <v>UPS Losses</v>
      </c>
      <c r="C91" s="263">
        <f t="shared" si="11"/>
        <v>6.3886424134871334E-2</v>
      </c>
      <c r="D91" s="264">
        <f t="shared" si="9"/>
        <v>11564496.894409936</v>
      </c>
      <c r="E91" s="264">
        <v>334000</v>
      </c>
      <c r="F91" s="264">
        <f t="shared" si="12"/>
        <v>34.624242198832142</v>
      </c>
      <c r="G91" s="264">
        <f t="shared" si="13"/>
        <v>34624.242198832144</v>
      </c>
      <c r="H91" s="472"/>
    </row>
    <row r="92" spans="1:19">
      <c r="B92" s="262" t="str">
        <f t="shared" si="10"/>
        <v>Building Switchgear/MV transformer/other losses</v>
      </c>
      <c r="C92" s="263">
        <f t="shared" si="11"/>
        <v>2.4844720496894408E-2</v>
      </c>
      <c r="D92" s="264">
        <f t="shared" si="9"/>
        <v>4497304.3478260869</v>
      </c>
      <c r="E92" s="264">
        <v>334000</v>
      </c>
      <c r="F92" s="264">
        <f t="shared" si="12"/>
        <v>13.464983077323614</v>
      </c>
      <c r="G92" s="264">
        <f t="shared" si="13"/>
        <v>13464.983077323614</v>
      </c>
      <c r="H92" s="472"/>
    </row>
    <row r="93" spans="1:19">
      <c r="B93" s="262" t="str">
        <f t="shared" si="10"/>
        <v>HVAC - Air Movement</v>
      </c>
      <c r="C93" s="263">
        <f t="shared" si="11"/>
        <v>0.1</v>
      </c>
      <c r="D93" s="264">
        <f t="shared" si="9"/>
        <v>18101650</v>
      </c>
      <c r="E93" s="264">
        <v>334000</v>
      </c>
      <c r="F93" s="264">
        <f t="shared" si="12"/>
        <v>54.196556886227548</v>
      </c>
      <c r="G93" s="264">
        <f t="shared" si="13"/>
        <v>54196.556886227547</v>
      </c>
      <c r="H93" s="472"/>
    </row>
    <row r="94" spans="1:19" ht="15" customHeight="1">
      <c r="B94" s="265" t="s">
        <v>196</v>
      </c>
      <c r="C94" s="266">
        <f>SUM($C$88:$C$93)</f>
        <v>0.99999999999999989</v>
      </c>
      <c r="D94" s="267">
        <f>$H$275/2</f>
        <v>181016500</v>
      </c>
      <c r="E94" s="268">
        <v>334000</v>
      </c>
      <c r="F94" s="269">
        <f>SUM(F88:F93)</f>
        <v>541.9655688622754</v>
      </c>
      <c r="G94" s="269">
        <f>SUM(G88:G93)</f>
        <v>541965.56886227534</v>
      </c>
      <c r="H94" s="473"/>
    </row>
    <row r="95" spans="1:19" ht="22.5" customHeight="1">
      <c r="B95" s="474" t="s">
        <v>394</v>
      </c>
      <c r="C95" s="474"/>
      <c r="D95" s="474"/>
      <c r="E95" s="474"/>
      <c r="F95" s="474"/>
      <c r="G95" s="474"/>
      <c r="H95" s="474"/>
    </row>
    <row r="96" spans="1:19" ht="22.5" customHeight="1">
      <c r="B96" s="474"/>
      <c r="C96" s="474"/>
      <c r="D96" s="474"/>
      <c r="E96" s="474"/>
      <c r="F96" s="474"/>
      <c r="G96" s="474"/>
      <c r="H96" s="474"/>
    </row>
    <row r="97" spans="2:8" ht="22.5" customHeight="1">
      <c r="B97" s="474"/>
      <c r="C97" s="474"/>
      <c r="D97" s="474"/>
      <c r="E97" s="474"/>
      <c r="F97" s="474"/>
      <c r="G97" s="474"/>
      <c r="H97" s="474"/>
    </row>
    <row r="98" spans="2:8" ht="22.5" customHeight="1">
      <c r="B98" s="474"/>
      <c r="C98" s="474"/>
      <c r="D98" s="474"/>
      <c r="E98" s="474"/>
      <c r="F98" s="474"/>
      <c r="G98" s="474"/>
      <c r="H98" s="474"/>
    </row>
    <row r="99" spans="2:8" ht="22.5" customHeight="1">
      <c r="B99" s="474"/>
      <c r="C99" s="474"/>
      <c r="D99" s="474"/>
      <c r="E99" s="474"/>
      <c r="F99" s="474"/>
      <c r="G99" s="474"/>
      <c r="H99" s="474"/>
    </row>
    <row r="100" spans="2:8">
      <c r="B100" s="126"/>
      <c r="C100" s="126"/>
      <c r="D100" s="270"/>
      <c r="E100" s="271"/>
      <c r="F100" s="126"/>
      <c r="G100" s="126"/>
      <c r="H100" s="126"/>
    </row>
    <row r="101" spans="2:8">
      <c r="B101" s="126"/>
      <c r="C101" s="126"/>
      <c r="D101" s="126"/>
      <c r="E101" s="126"/>
      <c r="F101" s="126"/>
      <c r="G101" s="126"/>
      <c r="H101" s="126"/>
    </row>
    <row r="102" spans="2:8">
      <c r="B102" s="126"/>
      <c r="C102" s="126"/>
      <c r="D102" s="126"/>
      <c r="E102" s="126"/>
      <c r="F102" s="126"/>
      <c r="G102" s="126"/>
      <c r="H102" s="126"/>
    </row>
    <row r="103" spans="2:8">
      <c r="B103" s="126"/>
      <c r="C103" s="126"/>
      <c r="D103" s="126"/>
      <c r="E103" s="126"/>
      <c r="F103" s="126"/>
      <c r="G103" s="126"/>
      <c r="H103" s="126"/>
    </row>
    <row r="104" spans="2:8">
      <c r="B104" s="126"/>
      <c r="C104" s="126"/>
      <c r="D104" s="126"/>
      <c r="E104" s="126"/>
      <c r="F104" s="126"/>
      <c r="G104" s="126"/>
      <c r="H104" s="126"/>
    </row>
    <row r="105" spans="2:8">
      <c r="B105" s="126"/>
      <c r="C105" s="126"/>
      <c r="D105" s="126"/>
      <c r="E105" s="126"/>
      <c r="F105" s="126"/>
      <c r="G105" s="126"/>
      <c r="H105" s="126"/>
    </row>
    <row r="106" spans="2:8">
      <c r="B106" s="126"/>
      <c r="C106" s="126"/>
      <c r="D106" s="126"/>
      <c r="E106" s="126"/>
      <c r="F106" s="126"/>
      <c r="G106" s="126"/>
      <c r="H106" s="126"/>
    </row>
    <row r="107" spans="2:8">
      <c r="B107" s="126"/>
      <c r="C107" s="126"/>
      <c r="D107" s="126"/>
      <c r="E107" s="126"/>
      <c r="F107" s="126"/>
      <c r="G107" s="126"/>
      <c r="H107" s="126"/>
    </row>
    <row r="108" spans="2:8">
      <c r="B108" s="126"/>
      <c r="C108" s="126"/>
      <c r="D108" s="126"/>
      <c r="E108" s="126"/>
      <c r="F108" s="126"/>
      <c r="G108" s="126"/>
      <c r="H108" s="126"/>
    </row>
    <row r="109" spans="2:8">
      <c r="B109" s="126"/>
      <c r="C109" s="126"/>
      <c r="D109" s="126"/>
      <c r="E109" s="126"/>
      <c r="F109" s="126"/>
      <c r="G109" s="126"/>
      <c r="H109" s="126"/>
    </row>
    <row r="110" spans="2:8">
      <c r="B110" s="126"/>
      <c r="C110" s="126"/>
      <c r="D110" s="126"/>
      <c r="E110" s="126"/>
      <c r="F110" s="126"/>
      <c r="G110" s="126"/>
      <c r="H110" s="126"/>
    </row>
    <row r="111" spans="2:8">
      <c r="B111" s="126"/>
      <c r="C111" s="126"/>
      <c r="D111" s="126"/>
      <c r="E111" s="126"/>
      <c r="F111" s="126"/>
      <c r="G111" s="126"/>
      <c r="H111" s="126"/>
    </row>
    <row r="112" spans="2:8">
      <c r="B112" s="126"/>
      <c r="C112" s="126"/>
      <c r="D112" s="126"/>
      <c r="E112" s="126"/>
      <c r="F112" s="126"/>
      <c r="G112" s="126"/>
      <c r="H112" s="126"/>
    </row>
    <row r="113" spans="2:8">
      <c r="B113" s="126"/>
      <c r="C113" s="126"/>
      <c r="D113" s="126"/>
      <c r="E113" s="126"/>
      <c r="F113" s="126"/>
      <c r="G113" s="126"/>
      <c r="H113" s="126"/>
    </row>
    <row r="114" spans="2:8">
      <c r="B114" s="126"/>
      <c r="C114" s="126"/>
      <c r="D114" s="126"/>
      <c r="E114" s="126"/>
      <c r="F114" s="126"/>
      <c r="G114" s="126"/>
      <c r="H114" s="126"/>
    </row>
    <row r="115" spans="2:8">
      <c r="B115" s="126"/>
      <c r="C115" s="126"/>
      <c r="D115" s="126"/>
      <c r="E115" s="126"/>
      <c r="F115" s="126"/>
      <c r="G115" s="126"/>
      <c r="H115" s="126"/>
    </row>
    <row r="116" spans="2:8">
      <c r="B116" s="126"/>
      <c r="C116" s="126"/>
      <c r="D116" s="126"/>
      <c r="E116" s="126"/>
      <c r="F116" s="126"/>
      <c r="G116" s="126"/>
      <c r="H116" s="126"/>
    </row>
    <row r="117" spans="2:8">
      <c r="B117" s="126"/>
      <c r="C117" s="126"/>
      <c r="D117" s="126"/>
      <c r="E117" s="126"/>
      <c r="F117" s="126"/>
      <c r="G117" s="126"/>
      <c r="H117" s="126"/>
    </row>
    <row r="118" spans="2:8">
      <c r="B118" s="126"/>
      <c r="C118" s="126"/>
      <c r="D118" s="126"/>
      <c r="E118" s="126"/>
      <c r="F118" s="126"/>
      <c r="G118" s="126"/>
      <c r="H118" s="126"/>
    </row>
    <row r="119" spans="2:8">
      <c r="B119" s="126"/>
      <c r="C119" s="126"/>
      <c r="D119" s="126"/>
      <c r="E119" s="126"/>
      <c r="F119" s="126"/>
      <c r="G119" s="126"/>
      <c r="H119" s="126"/>
    </row>
    <row r="120" spans="2:8">
      <c r="B120" s="126"/>
      <c r="C120" s="126"/>
      <c r="D120" s="126"/>
      <c r="E120" s="126"/>
      <c r="F120" s="126"/>
      <c r="G120" s="126"/>
      <c r="H120" s="126"/>
    </row>
    <row r="121" spans="2:8">
      <c r="B121" s="126"/>
      <c r="C121" s="126"/>
      <c r="D121" s="126"/>
      <c r="E121" s="126"/>
      <c r="F121" s="126"/>
      <c r="G121" s="126"/>
      <c r="H121" s="126"/>
    </row>
    <row r="122" spans="2:8">
      <c r="B122" s="126"/>
      <c r="C122" s="126"/>
      <c r="D122" s="126"/>
      <c r="E122" s="126"/>
      <c r="F122" s="126"/>
      <c r="G122" s="126"/>
      <c r="H122" s="126"/>
    </row>
    <row r="123" spans="2:8">
      <c r="B123" s="126"/>
      <c r="C123" s="126"/>
      <c r="D123" s="126"/>
      <c r="E123" s="126"/>
      <c r="F123" s="126"/>
      <c r="G123" s="126"/>
      <c r="H123" s="126"/>
    </row>
    <row r="124" spans="2:8">
      <c r="B124" s="126"/>
      <c r="C124" s="126"/>
      <c r="D124" s="126"/>
      <c r="E124" s="126"/>
      <c r="F124" s="126"/>
      <c r="G124" s="126"/>
      <c r="H124" s="126"/>
    </row>
    <row r="125" spans="2:8">
      <c r="B125" s="126"/>
      <c r="C125" s="126"/>
      <c r="D125" s="126"/>
      <c r="E125" s="126"/>
      <c r="F125" s="126"/>
      <c r="G125" s="126"/>
      <c r="H125" s="126"/>
    </row>
    <row r="126" spans="2:8">
      <c r="B126" s="272" t="s">
        <v>395</v>
      </c>
      <c r="C126" s="126"/>
      <c r="D126" s="126"/>
      <c r="E126" s="126"/>
      <c r="F126" s="126"/>
      <c r="G126" s="126"/>
      <c r="H126" s="126"/>
    </row>
    <row r="127" spans="2:8">
      <c r="B127" s="126"/>
      <c r="C127" s="126"/>
      <c r="D127" s="126"/>
      <c r="E127" s="126"/>
      <c r="F127" s="126"/>
      <c r="G127" s="126"/>
      <c r="H127" s="126"/>
    </row>
    <row r="128" spans="2:8">
      <c r="B128" s="125" t="s">
        <v>396</v>
      </c>
      <c r="C128" s="125" t="s">
        <v>397</v>
      </c>
      <c r="D128" s="126"/>
      <c r="E128" s="126"/>
      <c r="F128" s="126"/>
      <c r="G128" s="126"/>
      <c r="H128" s="126"/>
    </row>
    <row r="129" spans="2:8">
      <c r="B129" s="273" t="s">
        <v>398</v>
      </c>
      <c r="C129" s="274">
        <v>0.57999999999999996</v>
      </c>
      <c r="D129" s="126"/>
      <c r="E129" s="126"/>
      <c r="F129" s="126"/>
      <c r="G129" s="126"/>
      <c r="H129" s="126"/>
    </row>
    <row r="130" spans="2:8">
      <c r="B130" s="273" t="s">
        <v>399</v>
      </c>
      <c r="C130" s="274">
        <v>0.26</v>
      </c>
      <c r="D130" s="126"/>
      <c r="E130" s="126"/>
      <c r="F130" s="126"/>
      <c r="G130" s="126"/>
      <c r="H130" s="126"/>
    </row>
    <row r="131" spans="2:8">
      <c r="B131" s="273" t="s">
        <v>400</v>
      </c>
      <c r="C131" s="274">
        <v>0.16</v>
      </c>
      <c r="D131" s="126"/>
      <c r="E131" s="126"/>
      <c r="F131" s="126"/>
      <c r="G131" s="240" t="s">
        <v>352</v>
      </c>
      <c r="H131" s="126"/>
    </row>
    <row r="132" spans="2:8">
      <c r="B132" s="126"/>
      <c r="C132" s="126"/>
      <c r="D132" s="126"/>
      <c r="E132" s="126"/>
      <c r="F132" s="126"/>
      <c r="G132" s="126"/>
      <c r="H132" s="126"/>
    </row>
    <row r="133" spans="2:8" ht="15.75" customHeight="1">
      <c r="B133" s="126"/>
      <c r="C133" s="126"/>
      <c r="D133" s="126"/>
      <c r="E133" s="126"/>
      <c r="F133" s="126"/>
      <c r="G133" s="126"/>
      <c r="H133" s="126"/>
    </row>
    <row r="134" spans="2:8" ht="15.75" customHeight="1">
      <c r="B134" s="126"/>
      <c r="C134" s="126"/>
      <c r="D134" s="126"/>
      <c r="E134" s="126"/>
      <c r="F134" s="126"/>
    </row>
    <row r="135" spans="2:8" ht="15.75" customHeight="1">
      <c r="B135" s="126"/>
      <c r="C135" s="126"/>
      <c r="D135" s="126"/>
      <c r="E135" s="126"/>
      <c r="F135" s="126"/>
    </row>
    <row r="136" spans="2:8" ht="15.75" customHeight="1">
      <c r="B136" s="126"/>
      <c r="C136" s="126"/>
      <c r="D136" s="126"/>
      <c r="E136" s="126"/>
      <c r="F136" s="126"/>
    </row>
    <row r="137" spans="2:8" ht="15.75" customHeight="1">
      <c r="B137" s="126"/>
      <c r="C137" s="126"/>
      <c r="D137" s="126"/>
      <c r="E137" s="126"/>
      <c r="F137" s="126"/>
    </row>
    <row r="138" spans="2:8" ht="15.75" customHeight="1">
      <c r="B138" s="126"/>
      <c r="C138" s="126"/>
      <c r="D138" s="126"/>
      <c r="E138" s="126"/>
      <c r="F138" s="126"/>
    </row>
    <row r="139" spans="2:8" ht="15.75" customHeight="1">
      <c r="B139" s="126"/>
      <c r="C139" s="126"/>
      <c r="D139" s="126"/>
      <c r="E139" s="126"/>
      <c r="F139" s="126"/>
    </row>
    <row r="140" spans="2:8" ht="15.75" customHeight="1">
      <c r="B140" s="126"/>
      <c r="C140" s="126"/>
      <c r="D140" s="126"/>
      <c r="E140" s="126"/>
      <c r="F140" s="126"/>
    </row>
    <row r="141" spans="2:8" ht="15.75" customHeight="1">
      <c r="B141" s="126"/>
      <c r="C141" s="126"/>
      <c r="D141" s="126"/>
      <c r="E141" s="126"/>
      <c r="F141" s="126"/>
    </row>
    <row r="142" spans="2:8" ht="15.75" customHeight="1">
      <c r="B142" s="126"/>
      <c r="C142" s="126"/>
      <c r="D142" s="126"/>
      <c r="E142" s="126"/>
      <c r="F142" s="126"/>
      <c r="G142" s="126"/>
      <c r="H142" s="126"/>
    </row>
    <row r="143" spans="2:8" ht="15.75" customHeight="1">
      <c r="B143" s="126"/>
      <c r="C143" s="126"/>
      <c r="D143" s="126"/>
      <c r="E143" s="126"/>
      <c r="F143" s="126"/>
      <c r="G143" s="126"/>
      <c r="H143" s="126"/>
    </row>
    <row r="144" spans="2:8" ht="15.75" customHeight="1">
      <c r="B144" s="126"/>
      <c r="C144" s="126"/>
      <c r="D144" s="126"/>
      <c r="E144" s="126"/>
      <c r="F144" s="126"/>
      <c r="G144" s="126"/>
      <c r="H144" s="126"/>
    </row>
    <row r="145" spans="2:8" ht="15.75" customHeight="1">
      <c r="B145" s="126"/>
      <c r="C145" s="126"/>
      <c r="D145" s="126"/>
      <c r="E145" s="126"/>
      <c r="F145" s="126"/>
      <c r="G145" s="126"/>
      <c r="H145" s="126"/>
    </row>
    <row r="146" spans="2:8" ht="15.75" customHeight="1">
      <c r="B146" s="126"/>
      <c r="C146" s="126"/>
      <c r="D146" s="126"/>
      <c r="E146" s="126"/>
      <c r="F146" s="126"/>
      <c r="G146" s="126"/>
      <c r="H146" s="126"/>
    </row>
    <row r="147" spans="2:8" ht="15.75" customHeight="1">
      <c r="B147" s="126"/>
      <c r="C147" s="126"/>
      <c r="D147" s="126"/>
      <c r="E147" s="126"/>
      <c r="F147" s="126"/>
      <c r="G147" s="126"/>
      <c r="H147" s="126"/>
    </row>
    <row r="148" spans="2:8" ht="15.75" customHeight="1">
      <c r="B148" s="126"/>
      <c r="C148" s="126"/>
      <c r="D148" s="126"/>
      <c r="E148" s="126"/>
      <c r="F148" s="126"/>
      <c r="G148" s="126"/>
      <c r="H148" s="126"/>
    </row>
    <row r="149" spans="2:8" ht="15.75" customHeight="1">
      <c r="B149" s="126"/>
      <c r="C149" s="126"/>
      <c r="D149" s="126"/>
      <c r="E149" s="126"/>
      <c r="F149" s="126"/>
      <c r="G149" s="126"/>
      <c r="H149" s="126"/>
    </row>
    <row r="150" spans="2:8" ht="15.75" customHeight="1">
      <c r="B150" s="126"/>
      <c r="C150" s="126"/>
      <c r="D150" s="126"/>
      <c r="E150" s="126"/>
      <c r="F150" s="126"/>
      <c r="G150" s="126"/>
      <c r="H150" s="126"/>
    </row>
    <row r="151" spans="2:8" ht="15.75" customHeight="1">
      <c r="B151" s="126"/>
      <c r="C151" s="126"/>
      <c r="D151" s="126"/>
      <c r="E151" s="126"/>
      <c r="F151" s="126"/>
      <c r="G151" s="126"/>
      <c r="H151" s="126"/>
    </row>
    <row r="152" spans="2:8" ht="15.75" customHeight="1">
      <c r="B152" s="126"/>
      <c r="C152" s="126"/>
      <c r="D152" s="126"/>
      <c r="E152" s="126"/>
      <c r="F152" s="126"/>
      <c r="G152" s="126"/>
      <c r="H152" s="126"/>
    </row>
    <row r="153" spans="2:8" ht="15.75" customHeight="1">
      <c r="B153" s="126"/>
      <c r="C153" s="126"/>
      <c r="D153" s="126"/>
      <c r="E153" s="126"/>
      <c r="F153" s="126"/>
      <c r="G153" s="126"/>
      <c r="H153" s="126"/>
    </row>
    <row r="154" spans="2:8" ht="15.75" customHeight="1">
      <c r="B154" s="126"/>
      <c r="C154" s="126"/>
      <c r="D154" s="126"/>
      <c r="E154" s="126"/>
      <c r="F154" s="126"/>
      <c r="G154" s="126"/>
      <c r="H154" s="126"/>
    </row>
    <row r="155" spans="2:8" ht="15.75" customHeight="1">
      <c r="B155" s="126"/>
      <c r="C155" s="126"/>
      <c r="D155" s="126"/>
      <c r="E155" s="126"/>
      <c r="F155" s="126"/>
      <c r="G155" s="126"/>
      <c r="H155" s="126"/>
    </row>
    <row r="156" spans="2:8" ht="15.75" customHeight="1">
      <c r="B156" s="126"/>
      <c r="C156" s="126"/>
      <c r="D156" s="126"/>
      <c r="E156" s="126"/>
      <c r="F156" s="126"/>
      <c r="G156" s="126"/>
      <c r="H156" s="126"/>
    </row>
    <row r="157" spans="2:8" ht="15.75" customHeight="1">
      <c r="B157" s="126"/>
      <c r="C157" s="126"/>
      <c r="D157" s="126"/>
      <c r="E157" s="126"/>
      <c r="F157" s="126"/>
      <c r="G157" s="126"/>
      <c r="H157" s="126"/>
    </row>
    <row r="158" spans="2:8" ht="15.75" customHeight="1">
      <c r="B158" s="126"/>
      <c r="C158" s="126"/>
      <c r="D158" s="126"/>
      <c r="E158" s="126"/>
      <c r="F158" s="126"/>
      <c r="G158" s="126"/>
      <c r="H158" s="126"/>
    </row>
    <row r="159" spans="2:8" ht="15.75" customHeight="1">
      <c r="B159" s="126"/>
      <c r="C159" s="126"/>
      <c r="D159" s="126"/>
      <c r="E159" s="126"/>
      <c r="F159" s="126"/>
      <c r="G159" s="126"/>
      <c r="H159" s="126"/>
    </row>
    <row r="160" spans="2:8" ht="15.75" customHeight="1">
      <c r="B160" s="126"/>
      <c r="C160" s="126"/>
      <c r="D160" s="126"/>
      <c r="E160" s="126"/>
      <c r="F160" s="126"/>
      <c r="G160" s="126"/>
      <c r="H160" s="126"/>
    </row>
    <row r="161" spans="2:8" ht="15.75" customHeight="1">
      <c r="B161" s="126"/>
      <c r="C161" s="126"/>
      <c r="D161" s="126"/>
      <c r="E161" s="126"/>
      <c r="F161" s="126"/>
      <c r="G161" s="126"/>
      <c r="H161" s="126"/>
    </row>
    <row r="162" spans="2:8" ht="15.75" customHeight="1">
      <c r="B162" s="126"/>
      <c r="C162" s="126"/>
      <c r="D162" s="126"/>
      <c r="E162" s="126"/>
      <c r="F162" s="126"/>
      <c r="G162" s="126"/>
      <c r="H162" s="126"/>
    </row>
    <row r="163" spans="2:8" ht="15.75" customHeight="1">
      <c r="B163" s="126"/>
      <c r="C163" s="126"/>
      <c r="D163" s="126"/>
      <c r="E163" s="126"/>
      <c r="F163" s="126"/>
      <c r="G163" s="126"/>
      <c r="H163" s="126"/>
    </row>
    <row r="164" spans="2:8" ht="15.75" customHeight="1">
      <c r="B164" s="126"/>
      <c r="C164" s="126"/>
      <c r="D164" s="126"/>
      <c r="E164" s="126"/>
      <c r="F164" s="126"/>
      <c r="G164" s="126"/>
      <c r="H164" s="126"/>
    </row>
    <row r="165" spans="2:8" ht="15.75" customHeight="1">
      <c r="B165" s="126"/>
      <c r="C165" s="126"/>
      <c r="D165" s="126"/>
      <c r="E165" s="126"/>
      <c r="F165" s="126"/>
      <c r="G165" s="126"/>
      <c r="H165" s="126"/>
    </row>
    <row r="166" spans="2:8" ht="15.75" customHeight="1">
      <c r="B166" s="126"/>
      <c r="C166" s="126"/>
      <c r="D166" s="126"/>
      <c r="E166" s="126"/>
      <c r="F166" s="126"/>
      <c r="G166" s="126"/>
      <c r="H166" s="126"/>
    </row>
    <row r="167" spans="2:8" ht="15.75" customHeight="1">
      <c r="B167" s="126"/>
      <c r="C167" s="126"/>
      <c r="D167" s="126"/>
      <c r="E167" s="126"/>
      <c r="F167" s="126"/>
      <c r="G167" s="126"/>
      <c r="H167" s="126"/>
    </row>
    <row r="168" spans="2:8" ht="15.75" customHeight="1">
      <c r="B168" s="126"/>
      <c r="C168" s="126"/>
      <c r="D168" s="126"/>
      <c r="E168" s="126"/>
      <c r="F168" s="126"/>
      <c r="G168" s="126"/>
      <c r="H168" s="126"/>
    </row>
    <row r="169" spans="2:8" ht="15.75" customHeight="1">
      <c r="B169" s="126"/>
      <c r="C169" s="126"/>
      <c r="D169" s="126"/>
      <c r="E169" s="126"/>
      <c r="F169" s="126"/>
      <c r="G169" s="126"/>
      <c r="H169" s="126"/>
    </row>
    <row r="170" spans="2:8" ht="15.75" customHeight="1">
      <c r="B170" s="126"/>
      <c r="C170" s="126"/>
      <c r="D170" s="126"/>
      <c r="E170" s="126"/>
      <c r="F170" s="126"/>
      <c r="G170" s="126"/>
      <c r="H170" s="126"/>
    </row>
    <row r="171" spans="2:8" ht="15.75" customHeight="1">
      <c r="B171" s="150" t="s">
        <v>401</v>
      </c>
      <c r="C171" s="126"/>
      <c r="D171" s="126"/>
      <c r="E171" s="126"/>
      <c r="F171" s="126"/>
      <c r="G171" s="126"/>
      <c r="H171" s="126"/>
    </row>
    <row r="172" spans="2:8" ht="15.75" customHeight="1">
      <c r="B172" s="126"/>
      <c r="C172" s="126"/>
      <c r="D172" s="126"/>
      <c r="E172" s="126"/>
      <c r="F172" s="126"/>
      <c r="G172" s="126"/>
      <c r="H172" s="126"/>
    </row>
    <row r="173" spans="2:8" ht="15.75" customHeight="1">
      <c r="B173" s="126"/>
      <c r="C173" s="126"/>
      <c r="D173" s="126"/>
      <c r="E173" s="126"/>
      <c r="F173" s="126"/>
      <c r="G173" s="272" t="s">
        <v>402</v>
      </c>
      <c r="H173" s="126"/>
    </row>
    <row r="174" spans="2:8" ht="15.75" customHeight="1">
      <c r="B174" s="126"/>
      <c r="C174" s="126"/>
      <c r="D174" s="126"/>
      <c r="E174" s="126"/>
      <c r="F174" s="126"/>
      <c r="G174" s="126"/>
      <c r="H174" s="126"/>
    </row>
    <row r="175" spans="2:8" ht="15.75" customHeight="1">
      <c r="B175" s="126"/>
      <c r="C175" s="126"/>
      <c r="D175" s="126"/>
      <c r="E175" s="126"/>
      <c r="F175" s="126"/>
      <c r="G175" s="126"/>
      <c r="H175" s="126"/>
    </row>
    <row r="176" spans="2:8" ht="15.75" customHeight="1">
      <c r="B176" s="126"/>
      <c r="C176" s="126"/>
      <c r="D176" s="126"/>
      <c r="E176" s="126"/>
      <c r="F176" s="126"/>
      <c r="G176" s="126"/>
      <c r="H176" s="126"/>
    </row>
    <row r="177" spans="2:8" ht="15.75" customHeight="1">
      <c r="B177" s="126"/>
      <c r="C177" s="126"/>
      <c r="D177" s="126"/>
      <c r="E177" s="126"/>
      <c r="F177" s="126"/>
      <c r="G177" s="126"/>
      <c r="H177" s="126"/>
    </row>
    <row r="178" spans="2:8" ht="15.75" customHeight="1">
      <c r="B178" s="126"/>
      <c r="C178" s="126"/>
      <c r="D178" s="126"/>
      <c r="E178" s="126"/>
      <c r="F178" s="126"/>
      <c r="G178" s="126"/>
      <c r="H178" s="126"/>
    </row>
    <row r="179" spans="2:8" ht="15.75" customHeight="1">
      <c r="B179" s="126"/>
      <c r="C179" s="126"/>
      <c r="D179" s="126"/>
      <c r="E179" s="126"/>
      <c r="F179" s="126"/>
      <c r="G179" s="126"/>
      <c r="H179" s="126"/>
    </row>
    <row r="180" spans="2:8" ht="15.75" customHeight="1">
      <c r="B180" s="126"/>
      <c r="C180" s="126"/>
      <c r="D180" s="126"/>
      <c r="E180" s="126"/>
      <c r="F180" s="126"/>
      <c r="G180" s="126"/>
      <c r="H180" s="126"/>
    </row>
    <row r="181" spans="2:8" ht="15.75" customHeight="1">
      <c r="B181" s="126"/>
      <c r="C181" s="126"/>
      <c r="D181" s="126"/>
      <c r="E181" s="126"/>
      <c r="F181" s="126"/>
      <c r="G181" s="126"/>
      <c r="H181" s="126"/>
    </row>
    <row r="182" spans="2:8" ht="15.75" customHeight="1">
      <c r="B182" s="126"/>
      <c r="C182" s="126"/>
      <c r="D182" s="126"/>
      <c r="E182" s="126"/>
      <c r="F182" s="126"/>
      <c r="G182" s="126"/>
      <c r="H182" s="126"/>
    </row>
    <row r="183" spans="2:8" ht="15.75" customHeight="1">
      <c r="B183" s="126"/>
      <c r="C183" s="126"/>
      <c r="D183" s="126"/>
      <c r="E183" s="126"/>
      <c r="F183" s="126"/>
      <c r="G183" s="126"/>
      <c r="H183" s="126"/>
    </row>
    <row r="184" spans="2:8" ht="15.75" customHeight="1">
      <c r="B184" s="126"/>
      <c r="C184" s="126"/>
      <c r="D184" s="126"/>
      <c r="E184" s="126"/>
      <c r="F184" s="126"/>
      <c r="G184" s="126"/>
      <c r="H184" s="126"/>
    </row>
    <row r="185" spans="2:8" ht="15.75" customHeight="1">
      <c r="B185" s="126"/>
      <c r="C185" s="126"/>
      <c r="D185" s="126"/>
      <c r="E185" s="126"/>
      <c r="F185" s="126"/>
      <c r="G185" s="126"/>
      <c r="H185" s="126"/>
    </row>
    <row r="186" spans="2:8" ht="15.75" customHeight="1">
      <c r="B186" s="126"/>
      <c r="C186" s="126"/>
      <c r="D186" s="126"/>
      <c r="E186" s="126"/>
      <c r="F186" s="126"/>
      <c r="G186" s="126"/>
      <c r="H186" s="126"/>
    </row>
    <row r="187" spans="2:8" ht="15.75" customHeight="1">
      <c r="B187" s="126"/>
      <c r="C187" s="126"/>
      <c r="D187" s="126"/>
      <c r="E187" s="126"/>
      <c r="F187" s="126"/>
      <c r="G187" s="126"/>
      <c r="H187" s="126"/>
    </row>
    <row r="188" spans="2:8" ht="15.75" customHeight="1">
      <c r="B188" s="126"/>
      <c r="C188" s="126"/>
      <c r="D188" s="126"/>
      <c r="E188" s="126"/>
      <c r="F188" s="126"/>
      <c r="G188" s="150" t="s">
        <v>403</v>
      </c>
      <c r="H188" s="126"/>
    </row>
    <row r="189" spans="2:8" ht="15.75" customHeight="1">
      <c r="B189" s="126"/>
      <c r="C189" s="126"/>
      <c r="D189" s="126"/>
      <c r="E189" s="126"/>
      <c r="F189" s="126"/>
      <c r="G189" s="126"/>
      <c r="H189" s="126"/>
    </row>
    <row r="190" spans="2:8" ht="15.75" customHeight="1">
      <c r="B190" s="126"/>
      <c r="C190" s="126"/>
      <c r="D190" s="126"/>
      <c r="E190" s="126"/>
      <c r="F190" s="126"/>
      <c r="G190" s="126"/>
      <c r="H190" s="126"/>
    </row>
    <row r="191" spans="2:8" ht="15.75" customHeight="1">
      <c r="B191" s="126"/>
      <c r="C191" s="126"/>
      <c r="D191" s="126"/>
      <c r="E191" s="126"/>
      <c r="F191" s="126"/>
      <c r="G191" s="126"/>
      <c r="H191" s="126"/>
    </row>
    <row r="192" spans="2:8" ht="15.75" customHeight="1">
      <c r="B192" s="126"/>
      <c r="C192" s="126"/>
      <c r="D192" s="126"/>
      <c r="E192" s="126"/>
      <c r="F192" s="126"/>
      <c r="G192" s="126"/>
      <c r="H192" s="126"/>
    </row>
    <row r="193" spans="2:8" ht="15.75" customHeight="1">
      <c r="B193" s="126"/>
      <c r="C193" s="126"/>
      <c r="D193" s="126"/>
      <c r="E193" s="126"/>
      <c r="F193" s="126"/>
      <c r="G193" s="126"/>
      <c r="H193" s="126"/>
    </row>
    <row r="194" spans="2:8" ht="15.75" customHeight="1">
      <c r="B194" s="126"/>
      <c r="C194" s="126"/>
      <c r="D194" s="126"/>
      <c r="E194" s="126"/>
      <c r="F194" s="126"/>
      <c r="G194" s="126"/>
      <c r="H194" s="126"/>
    </row>
    <row r="195" spans="2:8" ht="15.75" customHeight="1">
      <c r="B195" s="126"/>
      <c r="C195" s="126"/>
      <c r="D195" s="126"/>
      <c r="E195" s="126"/>
      <c r="F195" s="126"/>
      <c r="G195" s="126"/>
      <c r="H195" s="126"/>
    </row>
    <row r="196" spans="2:8" ht="15.75" customHeight="1">
      <c r="B196" s="126"/>
      <c r="C196" s="126"/>
      <c r="D196" s="126"/>
      <c r="E196" s="126"/>
      <c r="F196" s="126"/>
      <c r="G196" s="126"/>
      <c r="H196" s="126"/>
    </row>
    <row r="197" spans="2:8" ht="15.75" customHeight="1">
      <c r="B197" s="126"/>
      <c r="C197" s="126"/>
      <c r="D197" s="126"/>
      <c r="E197" s="126"/>
      <c r="F197" s="126"/>
      <c r="G197" s="126"/>
      <c r="H197" s="126"/>
    </row>
    <row r="198" spans="2:8" ht="15.75" customHeight="1">
      <c r="B198" s="126"/>
      <c r="C198" s="126"/>
      <c r="D198" s="126"/>
      <c r="E198" s="126"/>
      <c r="F198" s="126"/>
      <c r="G198" s="126"/>
      <c r="H198" s="126"/>
    </row>
    <row r="199" spans="2:8" ht="15.75" customHeight="1">
      <c r="B199" s="126"/>
      <c r="C199" s="126"/>
      <c r="D199" s="126"/>
      <c r="E199" s="126"/>
      <c r="F199" s="126"/>
      <c r="G199" s="126"/>
      <c r="H199" s="126"/>
    </row>
    <row r="200" spans="2:8" ht="15.75" customHeight="1">
      <c r="B200" s="126"/>
      <c r="C200" s="126"/>
      <c r="D200" s="126"/>
      <c r="E200" s="126"/>
      <c r="F200" s="126"/>
      <c r="G200" s="126"/>
      <c r="H200" s="126"/>
    </row>
    <row r="201" spans="2:8" ht="15.75" customHeight="1">
      <c r="B201" s="126"/>
      <c r="C201" s="126"/>
      <c r="D201" s="126"/>
      <c r="E201" s="126"/>
      <c r="F201" s="126"/>
      <c r="G201" s="126"/>
      <c r="H201" s="126"/>
    </row>
    <row r="202" spans="2:8" ht="15.75" customHeight="1">
      <c r="B202" s="126"/>
      <c r="C202" s="126"/>
      <c r="D202" s="126"/>
      <c r="E202" s="126"/>
      <c r="F202" s="126"/>
      <c r="G202" s="126"/>
      <c r="H202" s="126"/>
    </row>
    <row r="203" spans="2:8" ht="15.75" customHeight="1">
      <c r="B203" s="126"/>
      <c r="C203" s="126"/>
      <c r="D203" s="126"/>
      <c r="E203" s="126"/>
      <c r="F203" s="126"/>
      <c r="G203" s="126"/>
      <c r="H203" s="126"/>
    </row>
    <row r="204" spans="2:8" ht="15.75" customHeight="1">
      <c r="B204" s="126"/>
      <c r="C204" s="126"/>
      <c r="D204" s="126"/>
      <c r="E204" s="126"/>
      <c r="F204" s="126"/>
      <c r="G204" s="126"/>
      <c r="H204" s="126"/>
    </row>
    <row r="205" spans="2:8" ht="15.75" customHeight="1">
      <c r="B205" s="126"/>
      <c r="C205" s="126"/>
      <c r="D205" s="126"/>
      <c r="E205" s="126"/>
      <c r="F205" s="126"/>
      <c r="G205" s="126"/>
      <c r="H205" s="126"/>
    </row>
    <row r="206" spans="2:8" ht="15.75" customHeight="1">
      <c r="B206" s="126"/>
      <c r="C206" s="126"/>
      <c r="D206" s="126"/>
      <c r="E206" s="126"/>
      <c r="F206" s="126"/>
      <c r="G206" s="126"/>
      <c r="H206" s="126"/>
    </row>
    <row r="207" spans="2:8" ht="15.75" customHeight="1">
      <c r="B207" s="126"/>
      <c r="C207" s="126"/>
      <c r="D207" s="126"/>
      <c r="E207" s="126"/>
      <c r="F207" s="126"/>
      <c r="G207" s="126"/>
      <c r="H207" s="126"/>
    </row>
    <row r="208" spans="2:8" ht="15.75" customHeight="1">
      <c r="B208" s="126"/>
      <c r="C208" s="126"/>
      <c r="D208" s="126"/>
      <c r="E208" s="126"/>
      <c r="F208" s="126"/>
      <c r="G208" s="126"/>
      <c r="H208" s="126"/>
    </row>
    <row r="209" spans="2:8">
      <c r="B209" s="126"/>
      <c r="C209" s="126"/>
      <c r="D209" s="126"/>
      <c r="E209" s="126"/>
      <c r="F209" s="126"/>
      <c r="G209" s="126"/>
      <c r="H209" s="126"/>
    </row>
    <row r="210" spans="2:8">
      <c r="B210" s="126"/>
      <c r="C210" s="126"/>
      <c r="D210" s="126"/>
      <c r="E210" s="126"/>
      <c r="F210" s="126"/>
      <c r="G210" s="126"/>
      <c r="H210" s="126"/>
    </row>
    <row r="211" spans="2:8">
      <c r="B211" s="126"/>
      <c r="C211" s="126"/>
      <c r="D211" s="126"/>
      <c r="E211" s="126"/>
      <c r="F211" s="126"/>
      <c r="G211" s="126"/>
      <c r="H211" s="126"/>
    </row>
    <row r="212" spans="2:8" ht="60" customHeight="1">
      <c r="B212" s="475" t="s">
        <v>404</v>
      </c>
      <c r="C212" s="475"/>
      <c r="D212" s="475"/>
      <c r="E212" s="126"/>
      <c r="F212" s="126"/>
      <c r="G212" s="126"/>
      <c r="H212" s="126"/>
    </row>
    <row r="213" spans="2:8">
      <c r="B213" s="126"/>
      <c r="C213" s="126"/>
      <c r="D213" s="126"/>
      <c r="E213" s="126"/>
      <c r="F213" s="126"/>
      <c r="G213" s="126"/>
      <c r="H213" s="126"/>
    </row>
    <row r="214" spans="2:8">
      <c r="D214" s="154"/>
    </row>
    <row r="215" spans="2:8">
      <c r="E215" s="476" t="s">
        <v>405</v>
      </c>
      <c r="F215" s="167" t="s">
        <v>406</v>
      </c>
      <c r="G215" s="275" t="s">
        <v>407</v>
      </c>
      <c r="H215" s="167" t="s">
        <v>408</v>
      </c>
    </row>
    <row r="216" spans="2:8">
      <c r="E216" s="476"/>
      <c r="F216" s="476" t="s">
        <v>409</v>
      </c>
      <c r="G216" s="476"/>
      <c r="H216" s="476"/>
    </row>
    <row r="217" spans="2:8">
      <c r="E217" s="276" t="s">
        <v>410</v>
      </c>
      <c r="F217" s="277">
        <v>0.25</v>
      </c>
      <c r="G217" s="192">
        <f>$D$236</f>
        <v>0.38065661047027505</v>
      </c>
      <c r="H217" s="278">
        <f>G217-$H$222</f>
        <v>0.28065661047027501</v>
      </c>
    </row>
    <row r="218" spans="2:8">
      <c r="E218" s="276" t="s">
        <v>109</v>
      </c>
      <c r="F218" s="277">
        <v>0.01</v>
      </c>
      <c r="G218" s="192">
        <f>$D$234</f>
        <v>8.8731144631765749E-3</v>
      </c>
      <c r="H218" s="278">
        <f>G218</f>
        <v>8.8731144631765749E-3</v>
      </c>
    </row>
    <row r="219" spans="2:8">
      <c r="E219" s="276" t="s">
        <v>411</v>
      </c>
      <c r="F219" s="277">
        <v>0.59</v>
      </c>
      <c r="G219" s="192">
        <f>$D$233</f>
        <v>0.52173913043478259</v>
      </c>
      <c r="H219" s="278">
        <f>G219</f>
        <v>0.52173913043478259</v>
      </c>
    </row>
    <row r="220" spans="2:8">
      <c r="E220" s="276" t="s">
        <v>412</v>
      </c>
      <c r="F220" s="277">
        <v>0.05</v>
      </c>
      <c r="G220" s="192">
        <f>$D$235</f>
        <v>6.3886424134871334E-2</v>
      </c>
      <c r="H220" s="278">
        <f>G220</f>
        <v>6.3886424134871334E-2</v>
      </c>
    </row>
    <row r="221" spans="2:8">
      <c r="E221" s="276" t="s">
        <v>413</v>
      </c>
      <c r="F221" s="279"/>
      <c r="G221" s="192">
        <f>$D$237</f>
        <v>2.4844720496894408E-2</v>
      </c>
      <c r="H221" s="278">
        <f>G221</f>
        <v>2.4844720496894408E-2</v>
      </c>
    </row>
    <row r="222" spans="2:8">
      <c r="E222" s="276" t="s">
        <v>414</v>
      </c>
      <c r="F222" s="277">
        <v>0.1</v>
      </c>
      <c r="G222" s="280"/>
      <c r="H222" s="278">
        <f>F222</f>
        <v>0.1</v>
      </c>
    </row>
    <row r="223" spans="2:8">
      <c r="E223" s="167" t="s">
        <v>196</v>
      </c>
      <c r="F223" s="192">
        <f>SUM(F217:F222)</f>
        <v>1</v>
      </c>
      <c r="G223" s="192">
        <f>SUM(G217:G222)</f>
        <v>1</v>
      </c>
      <c r="H223" s="281">
        <f>SUM(H217:H222)</f>
        <v>0.99999999999999989</v>
      </c>
    </row>
    <row r="224" spans="2:8">
      <c r="E224" s="276"/>
      <c r="F224" s="167" t="s">
        <v>415</v>
      </c>
      <c r="G224" s="167" t="s">
        <v>416</v>
      </c>
      <c r="H224" s="167"/>
    </row>
    <row r="230" spans="2:4">
      <c r="B230" s="282" t="s">
        <v>417</v>
      </c>
    </row>
    <row r="231" spans="2:4">
      <c r="B231" s="282"/>
    </row>
    <row r="232" spans="2:4">
      <c r="B232" s="283" t="s">
        <v>182</v>
      </c>
      <c r="C232" s="283" t="s">
        <v>418</v>
      </c>
      <c r="D232" s="283" t="s">
        <v>419</v>
      </c>
    </row>
    <row r="233" spans="2:4">
      <c r="B233" s="218" t="s">
        <v>420</v>
      </c>
      <c r="C233" s="218">
        <v>588</v>
      </c>
      <c r="D233" s="284">
        <f>C233/$C$238</f>
        <v>0.52173913043478259</v>
      </c>
    </row>
    <row r="234" spans="2:4">
      <c r="B234" s="218" t="s">
        <v>109</v>
      </c>
      <c r="C234" s="218">
        <v>10</v>
      </c>
      <c r="D234" s="284">
        <f t="shared" ref="D234:D238" si="14">C234/$C$238</f>
        <v>8.8731144631765749E-3</v>
      </c>
    </row>
    <row r="235" spans="2:4">
      <c r="B235" s="218" t="s">
        <v>421</v>
      </c>
      <c r="C235" s="218">
        <v>72</v>
      </c>
      <c r="D235" s="284">
        <f t="shared" si="14"/>
        <v>6.3886424134871334E-2</v>
      </c>
    </row>
    <row r="236" spans="2:4">
      <c r="B236" s="218" t="s">
        <v>422</v>
      </c>
      <c r="C236" s="218">
        <v>429</v>
      </c>
      <c r="D236" s="284">
        <f t="shared" si="14"/>
        <v>0.38065661047027505</v>
      </c>
    </row>
    <row r="237" spans="2:4">
      <c r="B237" s="218" t="s">
        <v>413</v>
      </c>
      <c r="C237" s="218">
        <v>28</v>
      </c>
      <c r="D237" s="284">
        <f t="shared" si="14"/>
        <v>2.4844720496894408E-2</v>
      </c>
    </row>
    <row r="238" spans="2:4">
      <c r="B238" s="283" t="s">
        <v>196</v>
      </c>
      <c r="C238" s="283">
        <f>SUM(C233:C237)</f>
        <v>1127</v>
      </c>
      <c r="D238" s="285">
        <f t="shared" si="14"/>
        <v>1</v>
      </c>
    </row>
    <row r="239" spans="2:4">
      <c r="B239" s="282"/>
    </row>
    <row r="246" spans="7:7">
      <c r="G246" s="286"/>
    </row>
    <row r="247" spans="7:7">
      <c r="G247" s="286"/>
    </row>
    <row r="248" spans="7:7">
      <c r="G248" s="286"/>
    </row>
    <row r="249" spans="7:7">
      <c r="G249" s="286"/>
    </row>
    <row r="250" spans="7:7">
      <c r="G250" s="286"/>
    </row>
    <row r="251" spans="7:7">
      <c r="G251" s="286"/>
    </row>
    <row r="266" spans="2:2">
      <c r="B266" s="150" t="s">
        <v>423</v>
      </c>
    </row>
    <row r="269" spans="2:2">
      <c r="B269" s="71" t="s">
        <v>424</v>
      </c>
    </row>
    <row r="272" spans="2:2">
      <c r="B272" s="150" t="s">
        <v>425</v>
      </c>
    </row>
    <row r="273" spans="2:9">
      <c r="B273" s="283" t="s">
        <v>426</v>
      </c>
      <c r="C273" s="283" t="s">
        <v>427</v>
      </c>
      <c r="D273" s="283" t="s">
        <v>428</v>
      </c>
      <c r="F273" s="287" t="s">
        <v>426</v>
      </c>
      <c r="G273" s="288" t="s">
        <v>429</v>
      </c>
      <c r="H273" s="288" t="s">
        <v>430</v>
      </c>
    </row>
    <row r="274" spans="2:9">
      <c r="B274" s="218">
        <v>2013</v>
      </c>
      <c r="C274" s="218">
        <v>1</v>
      </c>
      <c r="D274" s="218">
        <v>17170</v>
      </c>
      <c r="F274" s="289">
        <v>2013</v>
      </c>
      <c r="G274" s="290">
        <f t="shared" ref="G274:G294" si="15">SUMIFS($D$274:$D$525, $B$274:$B$525, $F274)</f>
        <v>246729</v>
      </c>
      <c r="H274" s="290">
        <f>G274*10^3</f>
        <v>246729000</v>
      </c>
    </row>
    <row r="275" spans="2:9">
      <c r="B275" s="218">
        <v>2013</v>
      </c>
      <c r="C275" s="218">
        <v>2</v>
      </c>
      <c r="D275" s="218">
        <v>17948</v>
      </c>
      <c r="F275" s="291">
        <v>2014</v>
      </c>
      <c r="G275" s="292">
        <f t="shared" si="15"/>
        <v>362033</v>
      </c>
      <c r="H275" s="292">
        <f t="shared" ref="H275:H294" si="16">G275*10^3</f>
        <v>362033000</v>
      </c>
      <c r="I275" s="293" t="s">
        <v>431</v>
      </c>
    </row>
    <row r="276" spans="2:9">
      <c r="B276" s="218">
        <v>2013</v>
      </c>
      <c r="C276" s="218">
        <v>3</v>
      </c>
      <c r="D276" s="218">
        <v>18115</v>
      </c>
      <c r="F276" s="289">
        <v>2015</v>
      </c>
      <c r="G276" s="290">
        <f t="shared" si="15"/>
        <v>436106</v>
      </c>
      <c r="H276" s="290">
        <f t="shared" si="16"/>
        <v>436106000</v>
      </c>
    </row>
    <row r="277" spans="2:9">
      <c r="B277" s="218">
        <v>2013</v>
      </c>
      <c r="C277" s="218">
        <v>4</v>
      </c>
      <c r="D277" s="218">
        <v>18115</v>
      </c>
      <c r="F277" s="294">
        <v>2016</v>
      </c>
      <c r="G277" s="290">
        <f t="shared" si="15"/>
        <v>466855</v>
      </c>
      <c r="H277" s="290">
        <f t="shared" si="16"/>
        <v>466855000</v>
      </c>
    </row>
    <row r="278" spans="2:9">
      <c r="B278" s="218">
        <v>2013</v>
      </c>
      <c r="C278" s="218">
        <v>5</v>
      </c>
      <c r="D278" s="218">
        <v>19577</v>
      </c>
      <c r="F278" s="289">
        <v>2017</v>
      </c>
      <c r="G278" s="290">
        <f t="shared" si="15"/>
        <v>544720</v>
      </c>
      <c r="H278" s="290">
        <f t="shared" si="16"/>
        <v>544720000</v>
      </c>
    </row>
    <row r="279" spans="2:9">
      <c r="B279" s="218">
        <v>2013</v>
      </c>
      <c r="C279" s="218">
        <v>6</v>
      </c>
      <c r="D279" s="218">
        <v>18946</v>
      </c>
      <c r="F279" s="294">
        <v>2018</v>
      </c>
      <c r="G279" s="290">
        <f t="shared" si="15"/>
        <v>544720</v>
      </c>
      <c r="H279" s="290">
        <f t="shared" si="16"/>
        <v>544720000</v>
      </c>
    </row>
    <row r="280" spans="2:9">
      <c r="B280" s="218">
        <v>2013</v>
      </c>
      <c r="C280" s="218">
        <v>7</v>
      </c>
      <c r="D280" s="218">
        <v>20436</v>
      </c>
      <c r="F280" s="289">
        <v>2019</v>
      </c>
      <c r="G280" s="290">
        <f t="shared" si="15"/>
        <v>544720</v>
      </c>
      <c r="H280" s="290">
        <f t="shared" si="16"/>
        <v>544720000</v>
      </c>
    </row>
    <row r="281" spans="2:9">
      <c r="B281" s="218">
        <v>2013</v>
      </c>
      <c r="C281" s="218">
        <v>8</v>
      </c>
      <c r="D281" s="218">
        <v>21597</v>
      </c>
      <c r="F281" s="294">
        <v>2020</v>
      </c>
      <c r="G281" s="290">
        <f t="shared" si="15"/>
        <v>544720</v>
      </c>
      <c r="H281" s="290">
        <f t="shared" si="16"/>
        <v>544720000</v>
      </c>
    </row>
    <row r="282" spans="2:9">
      <c r="B282" s="218">
        <v>2013</v>
      </c>
      <c r="C282" s="218">
        <v>9</v>
      </c>
      <c r="D282" s="218">
        <v>22087</v>
      </c>
      <c r="F282" s="289">
        <v>2021</v>
      </c>
      <c r="G282" s="290">
        <f t="shared" si="15"/>
        <v>544720</v>
      </c>
      <c r="H282" s="290">
        <f t="shared" si="16"/>
        <v>544720000</v>
      </c>
    </row>
    <row r="283" spans="2:9">
      <c r="B283" s="218">
        <v>2013</v>
      </c>
      <c r="C283" s="218">
        <v>10</v>
      </c>
      <c r="D283" s="218">
        <v>23493</v>
      </c>
      <c r="F283" s="294">
        <v>2022</v>
      </c>
      <c r="G283" s="290">
        <f t="shared" si="15"/>
        <v>544720</v>
      </c>
      <c r="H283" s="290">
        <f t="shared" si="16"/>
        <v>544720000</v>
      </c>
    </row>
    <row r="284" spans="2:9">
      <c r="B284" s="218">
        <v>2013</v>
      </c>
      <c r="C284" s="218">
        <v>11</v>
      </c>
      <c r="D284" s="218">
        <v>23890</v>
      </c>
      <c r="F284" s="289">
        <v>2023</v>
      </c>
      <c r="G284" s="290">
        <f t="shared" si="15"/>
        <v>544720</v>
      </c>
      <c r="H284" s="290">
        <f t="shared" si="16"/>
        <v>544720000</v>
      </c>
    </row>
    <row r="285" spans="2:9">
      <c r="B285" s="218">
        <v>2013</v>
      </c>
      <c r="C285" s="218">
        <v>12</v>
      </c>
      <c r="D285" s="218">
        <v>25355</v>
      </c>
      <c r="F285" s="294">
        <v>2024</v>
      </c>
      <c r="G285" s="290">
        <f t="shared" si="15"/>
        <v>544720</v>
      </c>
      <c r="H285" s="290">
        <f t="shared" si="16"/>
        <v>544720000</v>
      </c>
    </row>
    <row r="286" spans="2:9">
      <c r="B286" s="218">
        <f>B274+1</f>
        <v>2014</v>
      </c>
      <c r="C286" s="218">
        <f>C274</f>
        <v>1</v>
      </c>
      <c r="D286" s="218">
        <v>26025</v>
      </c>
      <c r="F286" s="289">
        <v>2025</v>
      </c>
      <c r="G286" s="290">
        <f t="shared" si="15"/>
        <v>544720</v>
      </c>
      <c r="H286" s="290">
        <f t="shared" si="16"/>
        <v>544720000</v>
      </c>
    </row>
    <row r="287" spans="2:9">
      <c r="B287" s="218">
        <f t="shared" ref="B287:B350" si="17">B275+1</f>
        <v>2014</v>
      </c>
      <c r="C287" s="218">
        <f t="shared" ref="C287:C350" si="18">C275</f>
        <v>2</v>
      </c>
      <c r="D287" s="218">
        <v>24111</v>
      </c>
      <c r="F287" s="294">
        <v>2026</v>
      </c>
      <c r="G287" s="290">
        <f t="shared" si="15"/>
        <v>544720</v>
      </c>
      <c r="H287" s="290">
        <f t="shared" si="16"/>
        <v>544720000</v>
      </c>
    </row>
    <row r="288" spans="2:9">
      <c r="B288" s="218">
        <f t="shared" si="17"/>
        <v>2014</v>
      </c>
      <c r="C288" s="218">
        <f t="shared" si="18"/>
        <v>3</v>
      </c>
      <c r="D288" s="218">
        <v>26482</v>
      </c>
      <c r="F288" s="289">
        <v>2027</v>
      </c>
      <c r="G288" s="290">
        <f t="shared" si="15"/>
        <v>544720</v>
      </c>
      <c r="H288" s="290">
        <f t="shared" si="16"/>
        <v>544720000</v>
      </c>
    </row>
    <row r="289" spans="2:8">
      <c r="B289" s="218">
        <f t="shared" si="17"/>
        <v>2014</v>
      </c>
      <c r="C289" s="218">
        <f t="shared" si="18"/>
        <v>4</v>
      </c>
      <c r="D289" s="218">
        <v>27130</v>
      </c>
      <c r="F289" s="294">
        <v>2028</v>
      </c>
      <c r="G289" s="290">
        <f t="shared" si="15"/>
        <v>544720</v>
      </c>
      <c r="H289" s="290">
        <f t="shared" si="16"/>
        <v>544720000</v>
      </c>
    </row>
    <row r="290" spans="2:8">
      <c r="B290" s="218">
        <f t="shared" si="17"/>
        <v>2014</v>
      </c>
      <c r="C290" s="218">
        <f t="shared" si="18"/>
        <v>5</v>
      </c>
      <c r="D290" s="218">
        <v>28703</v>
      </c>
      <c r="F290" s="289">
        <v>2029</v>
      </c>
      <c r="G290" s="290">
        <f t="shared" si="15"/>
        <v>544720</v>
      </c>
      <c r="H290" s="290">
        <f t="shared" si="16"/>
        <v>544720000</v>
      </c>
    </row>
    <row r="291" spans="2:8">
      <c r="B291" s="218">
        <f t="shared" si="17"/>
        <v>2014</v>
      </c>
      <c r="C291" s="218">
        <f t="shared" si="18"/>
        <v>6</v>
      </c>
      <c r="D291" s="218">
        <v>28932</v>
      </c>
      <c r="F291" s="294">
        <v>2030</v>
      </c>
      <c r="G291" s="290">
        <f t="shared" si="15"/>
        <v>544720</v>
      </c>
      <c r="H291" s="290">
        <f t="shared" si="16"/>
        <v>544720000</v>
      </c>
    </row>
    <row r="292" spans="2:8">
      <c r="B292" s="218">
        <f t="shared" si="17"/>
        <v>2014</v>
      </c>
      <c r="C292" s="218">
        <f t="shared" si="18"/>
        <v>7</v>
      </c>
      <c r="D292" s="218">
        <v>31090</v>
      </c>
      <c r="F292" s="289">
        <v>2031</v>
      </c>
      <c r="G292" s="290">
        <f t="shared" si="15"/>
        <v>544720</v>
      </c>
      <c r="H292" s="290">
        <f t="shared" si="16"/>
        <v>544720000</v>
      </c>
    </row>
    <row r="293" spans="2:8">
      <c r="B293" s="218">
        <f t="shared" si="17"/>
        <v>2014</v>
      </c>
      <c r="C293" s="218">
        <f t="shared" si="18"/>
        <v>8</v>
      </c>
      <c r="D293" s="218">
        <v>32284</v>
      </c>
      <c r="F293" s="294">
        <v>2032</v>
      </c>
      <c r="G293" s="290">
        <f t="shared" si="15"/>
        <v>544720</v>
      </c>
      <c r="H293" s="290">
        <f t="shared" si="16"/>
        <v>544720000</v>
      </c>
    </row>
    <row r="294" spans="2:8">
      <c r="B294" s="218">
        <f t="shared" si="17"/>
        <v>2014</v>
      </c>
      <c r="C294" s="218">
        <f t="shared" si="18"/>
        <v>9</v>
      </c>
      <c r="D294" s="218">
        <v>32397</v>
      </c>
      <c r="F294" s="289">
        <v>2033</v>
      </c>
      <c r="G294" s="290">
        <f t="shared" si="15"/>
        <v>544720</v>
      </c>
      <c r="H294" s="290">
        <f t="shared" si="16"/>
        <v>544720000</v>
      </c>
    </row>
    <row r="295" spans="2:8">
      <c r="B295" s="218">
        <f t="shared" si="17"/>
        <v>2014</v>
      </c>
      <c r="C295" s="218">
        <f t="shared" si="18"/>
        <v>10</v>
      </c>
      <c r="D295" s="218">
        <v>34670</v>
      </c>
    </row>
    <row r="296" spans="2:8">
      <c r="B296" s="218">
        <f t="shared" si="17"/>
        <v>2014</v>
      </c>
      <c r="C296" s="218">
        <f t="shared" si="18"/>
        <v>11</v>
      </c>
      <c r="D296" s="218">
        <v>34200</v>
      </c>
      <c r="F296" s="150"/>
    </row>
    <row r="297" spans="2:8">
      <c r="B297" s="218">
        <f t="shared" si="17"/>
        <v>2014</v>
      </c>
      <c r="C297" s="218">
        <f t="shared" si="18"/>
        <v>12</v>
      </c>
      <c r="D297" s="218">
        <v>36009</v>
      </c>
    </row>
    <row r="298" spans="2:8">
      <c r="B298" s="218">
        <f t="shared" si="17"/>
        <v>2015</v>
      </c>
      <c r="C298" s="218">
        <f t="shared" si="18"/>
        <v>1</v>
      </c>
      <c r="D298" s="218">
        <v>36009</v>
      </c>
    </row>
    <row r="299" spans="2:8">
      <c r="B299" s="218">
        <f t="shared" si="17"/>
        <v>2015</v>
      </c>
      <c r="C299" s="218">
        <f t="shared" si="18"/>
        <v>2</v>
      </c>
      <c r="D299" s="218">
        <v>32525</v>
      </c>
    </row>
    <row r="300" spans="2:8">
      <c r="B300" s="218">
        <f t="shared" si="17"/>
        <v>2015</v>
      </c>
      <c r="C300" s="218">
        <f t="shared" si="18"/>
        <v>3</v>
      </c>
      <c r="D300" s="218">
        <v>34848</v>
      </c>
    </row>
    <row r="301" spans="2:8">
      <c r="B301" s="218">
        <f t="shared" si="17"/>
        <v>2015</v>
      </c>
      <c r="C301" s="218">
        <f t="shared" si="18"/>
        <v>4</v>
      </c>
      <c r="D301" s="218">
        <v>34848</v>
      </c>
    </row>
    <row r="302" spans="2:8">
      <c r="B302" s="218">
        <f t="shared" si="17"/>
        <v>2015</v>
      </c>
      <c r="C302" s="218">
        <f t="shared" si="18"/>
        <v>5</v>
      </c>
      <c r="D302" s="218">
        <v>36009</v>
      </c>
    </row>
    <row r="303" spans="2:8">
      <c r="B303" s="218">
        <f t="shared" si="17"/>
        <v>2015</v>
      </c>
      <c r="C303" s="218">
        <f t="shared" si="18"/>
        <v>6</v>
      </c>
      <c r="D303" s="218">
        <v>35355</v>
      </c>
    </row>
    <row r="304" spans="2:8">
      <c r="B304" s="218">
        <f t="shared" si="17"/>
        <v>2015</v>
      </c>
      <c r="C304" s="218">
        <f t="shared" si="18"/>
        <v>7</v>
      </c>
      <c r="D304" s="218">
        <v>37237</v>
      </c>
    </row>
    <row r="305" spans="2:4">
      <c r="B305" s="218">
        <f t="shared" si="17"/>
        <v>2015</v>
      </c>
      <c r="C305" s="218">
        <f t="shared" si="18"/>
        <v>8</v>
      </c>
      <c r="D305" s="218">
        <v>37761</v>
      </c>
    </row>
    <row r="306" spans="2:4">
      <c r="B306" s="218">
        <f t="shared" si="17"/>
        <v>2015</v>
      </c>
      <c r="C306" s="218">
        <f t="shared" si="18"/>
        <v>9</v>
      </c>
      <c r="D306" s="218">
        <v>36876</v>
      </c>
    </row>
    <row r="307" spans="2:4">
      <c r="B307" s="218">
        <f t="shared" si="17"/>
        <v>2015</v>
      </c>
      <c r="C307" s="218">
        <f t="shared" si="18"/>
        <v>10</v>
      </c>
      <c r="D307" s="218">
        <v>38628</v>
      </c>
    </row>
    <row r="308" spans="2:4">
      <c r="B308" s="218">
        <f t="shared" si="17"/>
        <v>2015</v>
      </c>
      <c r="C308" s="218">
        <f t="shared" si="18"/>
        <v>11</v>
      </c>
      <c r="D308" s="218">
        <v>37382</v>
      </c>
    </row>
    <row r="309" spans="2:4">
      <c r="B309" s="218">
        <f t="shared" si="17"/>
        <v>2015</v>
      </c>
      <c r="C309" s="218">
        <f t="shared" si="18"/>
        <v>12</v>
      </c>
      <c r="D309" s="218">
        <v>38628</v>
      </c>
    </row>
    <row r="310" spans="2:4">
      <c r="B310" s="218">
        <f t="shared" si="17"/>
        <v>2016</v>
      </c>
      <c r="C310" s="218">
        <f t="shared" si="18"/>
        <v>1</v>
      </c>
      <c r="D310" s="218">
        <v>38628</v>
      </c>
    </row>
    <row r="311" spans="2:4">
      <c r="B311" s="218">
        <f t="shared" si="17"/>
        <v>2016</v>
      </c>
      <c r="C311" s="218">
        <f t="shared" si="18"/>
        <v>2</v>
      </c>
      <c r="D311" s="218">
        <v>34890</v>
      </c>
    </row>
    <row r="312" spans="2:4">
      <c r="B312" s="218">
        <f t="shared" si="17"/>
        <v>2016</v>
      </c>
      <c r="C312" s="218">
        <f t="shared" si="18"/>
        <v>3</v>
      </c>
      <c r="D312" s="218">
        <v>37382</v>
      </c>
    </row>
    <row r="313" spans="2:4">
      <c r="B313" s="218">
        <f t="shared" si="17"/>
        <v>2016</v>
      </c>
      <c r="C313" s="218">
        <f t="shared" si="18"/>
        <v>4</v>
      </c>
      <c r="D313" s="218">
        <v>37382</v>
      </c>
    </row>
    <row r="314" spans="2:4">
      <c r="B314" s="218">
        <f t="shared" si="17"/>
        <v>2016</v>
      </c>
      <c r="C314" s="218">
        <f t="shared" si="18"/>
        <v>5</v>
      </c>
      <c r="D314" s="218">
        <v>38628</v>
      </c>
    </row>
    <row r="315" spans="2:4">
      <c r="B315" s="218">
        <f t="shared" si="17"/>
        <v>2016</v>
      </c>
      <c r="C315" s="218">
        <f t="shared" si="18"/>
        <v>6</v>
      </c>
      <c r="D315" s="218">
        <v>37889</v>
      </c>
    </row>
    <row r="316" spans="2:4">
      <c r="B316" s="218">
        <f t="shared" si="17"/>
        <v>2016</v>
      </c>
      <c r="C316" s="218">
        <f t="shared" si="18"/>
        <v>7</v>
      </c>
      <c r="D316" s="218">
        <v>39856</v>
      </c>
    </row>
    <row r="317" spans="2:4">
      <c r="B317" s="218">
        <f t="shared" si="17"/>
        <v>2016</v>
      </c>
      <c r="C317" s="218">
        <f t="shared" si="18"/>
        <v>8</v>
      </c>
      <c r="D317" s="218">
        <v>40379</v>
      </c>
    </row>
    <row r="318" spans="2:4">
      <c r="B318" s="218">
        <f t="shared" si="17"/>
        <v>2016</v>
      </c>
      <c r="C318" s="218">
        <f t="shared" si="18"/>
        <v>9</v>
      </c>
      <c r="D318" s="218">
        <v>39410</v>
      </c>
    </row>
    <row r="319" spans="2:4">
      <c r="B319" s="218">
        <f t="shared" si="17"/>
        <v>2016</v>
      </c>
      <c r="C319" s="218">
        <f t="shared" si="18"/>
        <v>10</v>
      </c>
      <c r="D319" s="218">
        <v>41247</v>
      </c>
    </row>
    <row r="320" spans="2:4">
      <c r="B320" s="218">
        <f t="shared" si="17"/>
        <v>2016</v>
      </c>
      <c r="C320" s="218">
        <f t="shared" si="18"/>
        <v>11</v>
      </c>
      <c r="D320" s="218">
        <v>39917</v>
      </c>
    </row>
    <row r="321" spans="2:4">
      <c r="B321" s="218">
        <f t="shared" si="17"/>
        <v>2016</v>
      </c>
      <c r="C321" s="218">
        <f t="shared" si="18"/>
        <v>12</v>
      </c>
      <c r="D321" s="218">
        <v>41247</v>
      </c>
    </row>
    <row r="322" spans="2:4">
      <c r="B322" s="218">
        <f t="shared" si="17"/>
        <v>2017</v>
      </c>
      <c r="C322" s="218">
        <f t="shared" si="18"/>
        <v>1</v>
      </c>
      <c r="D322" s="218">
        <v>41917</v>
      </c>
    </row>
    <row r="323" spans="2:4">
      <c r="B323" s="218">
        <f t="shared" si="17"/>
        <v>2017</v>
      </c>
      <c r="C323" s="218">
        <f t="shared" si="18"/>
        <v>2</v>
      </c>
      <c r="D323" s="218">
        <v>39458</v>
      </c>
    </row>
    <row r="324" spans="2:4">
      <c r="B324" s="218">
        <f t="shared" si="17"/>
        <v>2017</v>
      </c>
      <c r="C324" s="218">
        <f t="shared" si="18"/>
        <v>3</v>
      </c>
      <c r="D324" s="218">
        <v>41861</v>
      </c>
    </row>
    <row r="325" spans="2:4">
      <c r="B325" s="218">
        <f t="shared" si="17"/>
        <v>2017</v>
      </c>
      <c r="C325" s="218">
        <f t="shared" si="18"/>
        <v>4</v>
      </c>
      <c r="D325" s="218">
        <v>42509</v>
      </c>
    </row>
    <row r="326" spans="2:4">
      <c r="B326" s="218">
        <f t="shared" si="17"/>
        <v>2017</v>
      </c>
      <c r="C326" s="218">
        <f t="shared" si="18"/>
        <v>5</v>
      </c>
      <c r="D326" s="218">
        <v>44595</v>
      </c>
    </row>
    <row r="327" spans="2:4">
      <c r="B327" s="218">
        <f t="shared" si="17"/>
        <v>2017</v>
      </c>
      <c r="C327" s="218">
        <f t="shared" si="18"/>
        <v>6</v>
      </c>
      <c r="D327" s="218">
        <v>44312</v>
      </c>
    </row>
    <row r="328" spans="2:4">
      <c r="B328" s="218">
        <f t="shared" si="17"/>
        <v>2017</v>
      </c>
      <c r="C328" s="218">
        <f t="shared" si="18"/>
        <v>7</v>
      </c>
      <c r="D328" s="218">
        <v>46983</v>
      </c>
    </row>
    <row r="329" spans="2:4">
      <c r="B329" s="218">
        <f t="shared" si="17"/>
        <v>2017</v>
      </c>
      <c r="C329" s="218">
        <f t="shared" si="18"/>
        <v>8</v>
      </c>
      <c r="D329" s="218">
        <v>47913</v>
      </c>
    </row>
    <row r="330" spans="2:4">
      <c r="B330" s="218">
        <f t="shared" si="17"/>
        <v>2017</v>
      </c>
      <c r="C330" s="218">
        <f t="shared" si="18"/>
        <v>9</v>
      </c>
      <c r="D330" s="218">
        <v>47016</v>
      </c>
    </row>
    <row r="331" spans="2:4">
      <c r="B331" s="218">
        <f t="shared" si="17"/>
        <v>2017</v>
      </c>
      <c r="C331" s="218">
        <f t="shared" si="18"/>
        <v>10</v>
      </c>
      <c r="D331" s="218">
        <v>49252</v>
      </c>
    </row>
    <row r="332" spans="2:4">
      <c r="B332" s="218">
        <f t="shared" si="17"/>
        <v>2017</v>
      </c>
      <c r="C332" s="218">
        <f t="shared" si="18"/>
        <v>11</v>
      </c>
      <c r="D332" s="218">
        <v>48312</v>
      </c>
    </row>
    <row r="333" spans="2:4">
      <c r="B333" s="218">
        <f t="shared" si="17"/>
        <v>2017</v>
      </c>
      <c r="C333" s="218">
        <f t="shared" si="18"/>
        <v>12</v>
      </c>
      <c r="D333" s="218">
        <v>50592</v>
      </c>
    </row>
    <row r="334" spans="2:4">
      <c r="B334" s="218">
        <f t="shared" si="17"/>
        <v>2018</v>
      </c>
      <c r="C334" s="218">
        <f t="shared" si="18"/>
        <v>1</v>
      </c>
      <c r="D334" s="218">
        <v>41917</v>
      </c>
    </row>
    <row r="335" spans="2:4">
      <c r="B335" s="218">
        <f t="shared" si="17"/>
        <v>2018</v>
      </c>
      <c r="C335" s="218">
        <f t="shared" si="18"/>
        <v>2</v>
      </c>
      <c r="D335" s="218">
        <v>39458</v>
      </c>
    </row>
    <row r="336" spans="2:4">
      <c r="B336" s="218">
        <f t="shared" si="17"/>
        <v>2018</v>
      </c>
      <c r="C336" s="218">
        <f t="shared" si="18"/>
        <v>3</v>
      </c>
      <c r="D336" s="218">
        <v>41861</v>
      </c>
    </row>
    <row r="337" spans="2:4">
      <c r="B337" s="218">
        <f t="shared" si="17"/>
        <v>2018</v>
      </c>
      <c r="C337" s="218">
        <f t="shared" si="18"/>
        <v>4</v>
      </c>
      <c r="D337" s="218">
        <v>42509</v>
      </c>
    </row>
    <row r="338" spans="2:4">
      <c r="B338" s="218">
        <f t="shared" si="17"/>
        <v>2018</v>
      </c>
      <c r="C338" s="218">
        <f t="shared" si="18"/>
        <v>5</v>
      </c>
      <c r="D338" s="218">
        <v>44595</v>
      </c>
    </row>
    <row r="339" spans="2:4">
      <c r="B339" s="218">
        <f t="shared" si="17"/>
        <v>2018</v>
      </c>
      <c r="C339" s="218">
        <f t="shared" si="18"/>
        <v>6</v>
      </c>
      <c r="D339" s="218">
        <v>44312</v>
      </c>
    </row>
    <row r="340" spans="2:4">
      <c r="B340" s="218">
        <f t="shared" si="17"/>
        <v>2018</v>
      </c>
      <c r="C340" s="218">
        <f t="shared" si="18"/>
        <v>7</v>
      </c>
      <c r="D340" s="218">
        <v>46983</v>
      </c>
    </row>
    <row r="341" spans="2:4">
      <c r="B341" s="218">
        <f t="shared" si="17"/>
        <v>2018</v>
      </c>
      <c r="C341" s="218">
        <f t="shared" si="18"/>
        <v>8</v>
      </c>
      <c r="D341" s="218">
        <v>47913</v>
      </c>
    </row>
    <row r="342" spans="2:4">
      <c r="B342" s="218">
        <f t="shared" si="17"/>
        <v>2018</v>
      </c>
      <c r="C342" s="218">
        <f t="shared" si="18"/>
        <v>9</v>
      </c>
      <c r="D342" s="218">
        <v>47016</v>
      </c>
    </row>
    <row r="343" spans="2:4">
      <c r="B343" s="218">
        <f t="shared" si="17"/>
        <v>2018</v>
      </c>
      <c r="C343" s="218">
        <f t="shared" si="18"/>
        <v>10</v>
      </c>
      <c r="D343" s="218">
        <v>49252</v>
      </c>
    </row>
    <row r="344" spans="2:4">
      <c r="B344" s="218">
        <f t="shared" si="17"/>
        <v>2018</v>
      </c>
      <c r="C344" s="218">
        <f t="shared" si="18"/>
        <v>11</v>
      </c>
      <c r="D344" s="218">
        <v>48312</v>
      </c>
    </row>
    <row r="345" spans="2:4">
      <c r="B345" s="218">
        <f t="shared" si="17"/>
        <v>2018</v>
      </c>
      <c r="C345" s="218">
        <f t="shared" si="18"/>
        <v>12</v>
      </c>
      <c r="D345" s="218">
        <v>50592</v>
      </c>
    </row>
    <row r="346" spans="2:4">
      <c r="B346" s="218">
        <f t="shared" si="17"/>
        <v>2019</v>
      </c>
      <c r="C346" s="218">
        <f t="shared" si="18"/>
        <v>1</v>
      </c>
      <c r="D346" s="218">
        <v>41917</v>
      </c>
    </row>
    <row r="347" spans="2:4">
      <c r="B347" s="218">
        <f t="shared" si="17"/>
        <v>2019</v>
      </c>
      <c r="C347" s="218">
        <f t="shared" si="18"/>
        <v>2</v>
      </c>
      <c r="D347" s="218">
        <v>39458</v>
      </c>
    </row>
    <row r="348" spans="2:4">
      <c r="B348" s="218">
        <f t="shared" si="17"/>
        <v>2019</v>
      </c>
      <c r="C348" s="218">
        <f t="shared" si="18"/>
        <v>3</v>
      </c>
      <c r="D348" s="218">
        <v>41861</v>
      </c>
    </row>
    <row r="349" spans="2:4">
      <c r="B349" s="218">
        <f t="shared" si="17"/>
        <v>2019</v>
      </c>
      <c r="C349" s="218">
        <f t="shared" si="18"/>
        <v>4</v>
      </c>
      <c r="D349" s="218">
        <v>42509</v>
      </c>
    </row>
    <row r="350" spans="2:4">
      <c r="B350" s="218">
        <f t="shared" si="17"/>
        <v>2019</v>
      </c>
      <c r="C350" s="218">
        <f t="shared" si="18"/>
        <v>5</v>
      </c>
      <c r="D350" s="218">
        <v>44595</v>
      </c>
    </row>
    <row r="351" spans="2:4">
      <c r="B351" s="218">
        <f t="shared" ref="B351:B414" si="19">B339+1</f>
        <v>2019</v>
      </c>
      <c r="C351" s="218">
        <f t="shared" ref="C351:C414" si="20">C339</f>
        <v>6</v>
      </c>
      <c r="D351" s="218">
        <v>44312</v>
      </c>
    </row>
    <row r="352" spans="2:4">
      <c r="B352" s="218">
        <f t="shared" si="19"/>
        <v>2019</v>
      </c>
      <c r="C352" s="218">
        <f t="shared" si="20"/>
        <v>7</v>
      </c>
      <c r="D352" s="218">
        <v>46983</v>
      </c>
    </row>
    <row r="353" spans="2:4">
      <c r="B353" s="218">
        <f t="shared" si="19"/>
        <v>2019</v>
      </c>
      <c r="C353" s="218">
        <f t="shared" si="20"/>
        <v>8</v>
      </c>
      <c r="D353" s="218">
        <v>47913</v>
      </c>
    </row>
    <row r="354" spans="2:4">
      <c r="B354" s="218">
        <f t="shared" si="19"/>
        <v>2019</v>
      </c>
      <c r="C354" s="218">
        <f t="shared" si="20"/>
        <v>9</v>
      </c>
      <c r="D354" s="218">
        <v>47016</v>
      </c>
    </row>
    <row r="355" spans="2:4">
      <c r="B355" s="218">
        <f t="shared" si="19"/>
        <v>2019</v>
      </c>
      <c r="C355" s="218">
        <f t="shared" si="20"/>
        <v>10</v>
      </c>
      <c r="D355" s="218">
        <v>49252</v>
      </c>
    </row>
    <row r="356" spans="2:4">
      <c r="B356" s="218">
        <f t="shared" si="19"/>
        <v>2019</v>
      </c>
      <c r="C356" s="218">
        <f t="shared" si="20"/>
        <v>11</v>
      </c>
      <c r="D356" s="218">
        <v>48312</v>
      </c>
    </row>
    <row r="357" spans="2:4">
      <c r="B357" s="218">
        <f t="shared" si="19"/>
        <v>2019</v>
      </c>
      <c r="C357" s="218">
        <f t="shared" si="20"/>
        <v>12</v>
      </c>
      <c r="D357" s="218">
        <v>50592</v>
      </c>
    </row>
    <row r="358" spans="2:4">
      <c r="B358" s="218">
        <f t="shared" si="19"/>
        <v>2020</v>
      </c>
      <c r="C358" s="218">
        <f t="shared" si="20"/>
        <v>1</v>
      </c>
      <c r="D358" s="218">
        <v>41917</v>
      </c>
    </row>
    <row r="359" spans="2:4">
      <c r="B359" s="218">
        <f t="shared" si="19"/>
        <v>2020</v>
      </c>
      <c r="C359" s="218">
        <f t="shared" si="20"/>
        <v>2</v>
      </c>
      <c r="D359" s="218">
        <v>39458</v>
      </c>
    </row>
    <row r="360" spans="2:4">
      <c r="B360" s="218">
        <f t="shared" si="19"/>
        <v>2020</v>
      </c>
      <c r="C360" s="218">
        <f t="shared" si="20"/>
        <v>3</v>
      </c>
      <c r="D360" s="218">
        <v>41861</v>
      </c>
    </row>
    <row r="361" spans="2:4">
      <c r="B361" s="218">
        <f t="shared" si="19"/>
        <v>2020</v>
      </c>
      <c r="C361" s="218">
        <f t="shared" si="20"/>
        <v>4</v>
      </c>
      <c r="D361" s="218">
        <v>42509</v>
      </c>
    </row>
    <row r="362" spans="2:4">
      <c r="B362" s="218">
        <f t="shared" si="19"/>
        <v>2020</v>
      </c>
      <c r="C362" s="218">
        <f t="shared" si="20"/>
        <v>5</v>
      </c>
      <c r="D362" s="218">
        <v>44595</v>
      </c>
    </row>
    <row r="363" spans="2:4">
      <c r="B363" s="218">
        <f t="shared" si="19"/>
        <v>2020</v>
      </c>
      <c r="C363" s="218">
        <f t="shared" si="20"/>
        <v>6</v>
      </c>
      <c r="D363" s="218">
        <v>44312</v>
      </c>
    </row>
    <row r="364" spans="2:4">
      <c r="B364" s="218">
        <f t="shared" si="19"/>
        <v>2020</v>
      </c>
      <c r="C364" s="218">
        <f t="shared" si="20"/>
        <v>7</v>
      </c>
      <c r="D364" s="218">
        <v>46983</v>
      </c>
    </row>
    <row r="365" spans="2:4">
      <c r="B365" s="218">
        <f t="shared" si="19"/>
        <v>2020</v>
      </c>
      <c r="C365" s="218">
        <f t="shared" si="20"/>
        <v>8</v>
      </c>
      <c r="D365" s="218">
        <v>47913</v>
      </c>
    </row>
    <row r="366" spans="2:4">
      <c r="B366" s="218">
        <f t="shared" si="19"/>
        <v>2020</v>
      </c>
      <c r="C366" s="218">
        <f t="shared" si="20"/>
        <v>9</v>
      </c>
      <c r="D366" s="218">
        <v>47016</v>
      </c>
    </row>
    <row r="367" spans="2:4">
      <c r="B367" s="218">
        <f t="shared" si="19"/>
        <v>2020</v>
      </c>
      <c r="C367" s="218">
        <f t="shared" si="20"/>
        <v>10</v>
      </c>
      <c r="D367" s="218">
        <v>49252</v>
      </c>
    </row>
    <row r="368" spans="2:4">
      <c r="B368" s="218">
        <f t="shared" si="19"/>
        <v>2020</v>
      </c>
      <c r="C368" s="218">
        <f t="shared" si="20"/>
        <v>11</v>
      </c>
      <c r="D368" s="218">
        <v>48312</v>
      </c>
    </row>
    <row r="369" spans="2:4">
      <c r="B369" s="218">
        <f t="shared" si="19"/>
        <v>2020</v>
      </c>
      <c r="C369" s="218">
        <f t="shared" si="20"/>
        <v>12</v>
      </c>
      <c r="D369" s="218">
        <v>50592</v>
      </c>
    </row>
    <row r="370" spans="2:4">
      <c r="B370" s="218">
        <f t="shared" si="19"/>
        <v>2021</v>
      </c>
      <c r="C370" s="218">
        <f t="shared" si="20"/>
        <v>1</v>
      </c>
      <c r="D370" s="218">
        <v>41917</v>
      </c>
    </row>
    <row r="371" spans="2:4">
      <c r="B371" s="218">
        <f t="shared" si="19"/>
        <v>2021</v>
      </c>
      <c r="C371" s="218">
        <f t="shared" si="20"/>
        <v>2</v>
      </c>
      <c r="D371" s="218">
        <v>39458</v>
      </c>
    </row>
    <row r="372" spans="2:4">
      <c r="B372" s="218">
        <f t="shared" si="19"/>
        <v>2021</v>
      </c>
      <c r="C372" s="218">
        <f t="shared" si="20"/>
        <v>3</v>
      </c>
      <c r="D372" s="218">
        <v>41861</v>
      </c>
    </row>
    <row r="373" spans="2:4">
      <c r="B373" s="218">
        <f t="shared" si="19"/>
        <v>2021</v>
      </c>
      <c r="C373" s="218">
        <f t="shared" si="20"/>
        <v>4</v>
      </c>
      <c r="D373" s="218">
        <v>42509</v>
      </c>
    </row>
    <row r="374" spans="2:4">
      <c r="B374" s="218">
        <f t="shared" si="19"/>
        <v>2021</v>
      </c>
      <c r="C374" s="218">
        <f t="shared" si="20"/>
        <v>5</v>
      </c>
      <c r="D374" s="218">
        <v>44595</v>
      </c>
    </row>
    <row r="375" spans="2:4">
      <c r="B375" s="218">
        <f t="shared" si="19"/>
        <v>2021</v>
      </c>
      <c r="C375" s="218">
        <f t="shared" si="20"/>
        <v>6</v>
      </c>
      <c r="D375" s="218">
        <v>44312</v>
      </c>
    </row>
    <row r="376" spans="2:4">
      <c r="B376" s="218">
        <f t="shared" si="19"/>
        <v>2021</v>
      </c>
      <c r="C376" s="218">
        <f t="shared" si="20"/>
        <v>7</v>
      </c>
      <c r="D376" s="218">
        <v>46983</v>
      </c>
    </row>
    <row r="377" spans="2:4">
      <c r="B377" s="218">
        <f t="shared" si="19"/>
        <v>2021</v>
      </c>
      <c r="C377" s="218">
        <f t="shared" si="20"/>
        <v>8</v>
      </c>
      <c r="D377" s="218">
        <v>47913</v>
      </c>
    </row>
    <row r="378" spans="2:4">
      <c r="B378" s="218">
        <f t="shared" si="19"/>
        <v>2021</v>
      </c>
      <c r="C378" s="218">
        <f t="shared" si="20"/>
        <v>9</v>
      </c>
      <c r="D378" s="218">
        <v>47016</v>
      </c>
    </row>
    <row r="379" spans="2:4">
      <c r="B379" s="218">
        <f t="shared" si="19"/>
        <v>2021</v>
      </c>
      <c r="C379" s="218">
        <f t="shared" si="20"/>
        <v>10</v>
      </c>
      <c r="D379" s="218">
        <v>49252</v>
      </c>
    </row>
    <row r="380" spans="2:4">
      <c r="B380" s="218">
        <f t="shared" si="19"/>
        <v>2021</v>
      </c>
      <c r="C380" s="218">
        <f t="shared" si="20"/>
        <v>11</v>
      </c>
      <c r="D380" s="218">
        <v>48312</v>
      </c>
    </row>
    <row r="381" spans="2:4">
      <c r="B381" s="218">
        <f t="shared" si="19"/>
        <v>2021</v>
      </c>
      <c r="C381" s="218">
        <f t="shared" si="20"/>
        <v>12</v>
      </c>
      <c r="D381" s="218">
        <v>50592</v>
      </c>
    </row>
    <row r="382" spans="2:4">
      <c r="B382" s="218">
        <f t="shared" si="19"/>
        <v>2022</v>
      </c>
      <c r="C382" s="218">
        <f t="shared" si="20"/>
        <v>1</v>
      </c>
      <c r="D382" s="218">
        <v>41917</v>
      </c>
    </row>
    <row r="383" spans="2:4">
      <c r="B383" s="218">
        <f t="shared" si="19"/>
        <v>2022</v>
      </c>
      <c r="C383" s="218">
        <f t="shared" si="20"/>
        <v>2</v>
      </c>
      <c r="D383" s="218">
        <v>39458</v>
      </c>
    </row>
    <row r="384" spans="2:4">
      <c r="B384" s="218">
        <f t="shared" si="19"/>
        <v>2022</v>
      </c>
      <c r="C384" s="218">
        <f t="shared" si="20"/>
        <v>3</v>
      </c>
      <c r="D384" s="218">
        <v>41861</v>
      </c>
    </row>
    <row r="385" spans="2:4">
      <c r="B385" s="218">
        <f t="shared" si="19"/>
        <v>2022</v>
      </c>
      <c r="C385" s="218">
        <f t="shared" si="20"/>
        <v>4</v>
      </c>
      <c r="D385" s="218">
        <v>42509</v>
      </c>
    </row>
    <row r="386" spans="2:4">
      <c r="B386" s="218">
        <f t="shared" si="19"/>
        <v>2022</v>
      </c>
      <c r="C386" s="218">
        <f t="shared" si="20"/>
        <v>5</v>
      </c>
      <c r="D386" s="218">
        <v>44595</v>
      </c>
    </row>
    <row r="387" spans="2:4">
      <c r="B387" s="218">
        <f t="shared" si="19"/>
        <v>2022</v>
      </c>
      <c r="C387" s="218">
        <f t="shared" si="20"/>
        <v>6</v>
      </c>
      <c r="D387" s="218">
        <v>44312</v>
      </c>
    </row>
    <row r="388" spans="2:4">
      <c r="B388" s="218">
        <f t="shared" si="19"/>
        <v>2022</v>
      </c>
      <c r="C388" s="218">
        <f t="shared" si="20"/>
        <v>7</v>
      </c>
      <c r="D388" s="218">
        <v>46983</v>
      </c>
    </row>
    <row r="389" spans="2:4">
      <c r="B389" s="218">
        <f t="shared" si="19"/>
        <v>2022</v>
      </c>
      <c r="C389" s="218">
        <f t="shared" si="20"/>
        <v>8</v>
      </c>
      <c r="D389" s="218">
        <v>47913</v>
      </c>
    </row>
    <row r="390" spans="2:4">
      <c r="B390" s="218">
        <f t="shared" si="19"/>
        <v>2022</v>
      </c>
      <c r="C390" s="218">
        <f t="shared" si="20"/>
        <v>9</v>
      </c>
      <c r="D390" s="218">
        <v>47016</v>
      </c>
    </row>
    <row r="391" spans="2:4">
      <c r="B391" s="218">
        <f t="shared" si="19"/>
        <v>2022</v>
      </c>
      <c r="C391" s="218">
        <f t="shared" si="20"/>
        <v>10</v>
      </c>
      <c r="D391" s="218">
        <v>49252</v>
      </c>
    </row>
    <row r="392" spans="2:4">
      <c r="B392" s="218">
        <f t="shared" si="19"/>
        <v>2022</v>
      </c>
      <c r="C392" s="218">
        <f t="shared" si="20"/>
        <v>11</v>
      </c>
      <c r="D392" s="218">
        <v>48312</v>
      </c>
    </row>
    <row r="393" spans="2:4">
      <c r="B393" s="218">
        <f t="shared" si="19"/>
        <v>2022</v>
      </c>
      <c r="C393" s="218">
        <f t="shared" si="20"/>
        <v>12</v>
      </c>
      <c r="D393" s="218">
        <v>50592</v>
      </c>
    </row>
    <row r="394" spans="2:4">
      <c r="B394" s="218">
        <f t="shared" si="19"/>
        <v>2023</v>
      </c>
      <c r="C394" s="218">
        <f t="shared" si="20"/>
        <v>1</v>
      </c>
      <c r="D394" s="218">
        <v>41917</v>
      </c>
    </row>
    <row r="395" spans="2:4">
      <c r="B395" s="218">
        <f t="shared" si="19"/>
        <v>2023</v>
      </c>
      <c r="C395" s="218">
        <f t="shared" si="20"/>
        <v>2</v>
      </c>
      <c r="D395" s="218">
        <v>39458</v>
      </c>
    </row>
    <row r="396" spans="2:4">
      <c r="B396" s="218">
        <f t="shared" si="19"/>
        <v>2023</v>
      </c>
      <c r="C396" s="218">
        <f t="shared" si="20"/>
        <v>3</v>
      </c>
      <c r="D396" s="218">
        <v>41861</v>
      </c>
    </row>
    <row r="397" spans="2:4">
      <c r="B397" s="218">
        <f t="shared" si="19"/>
        <v>2023</v>
      </c>
      <c r="C397" s="218">
        <f t="shared" si="20"/>
        <v>4</v>
      </c>
      <c r="D397" s="218">
        <v>42509</v>
      </c>
    </row>
    <row r="398" spans="2:4">
      <c r="B398" s="218">
        <f t="shared" si="19"/>
        <v>2023</v>
      </c>
      <c r="C398" s="218">
        <f t="shared" si="20"/>
        <v>5</v>
      </c>
      <c r="D398" s="218">
        <v>44595</v>
      </c>
    </row>
    <row r="399" spans="2:4">
      <c r="B399" s="218">
        <f t="shared" si="19"/>
        <v>2023</v>
      </c>
      <c r="C399" s="218">
        <f t="shared" si="20"/>
        <v>6</v>
      </c>
      <c r="D399" s="218">
        <v>44312</v>
      </c>
    </row>
    <row r="400" spans="2:4">
      <c r="B400" s="218">
        <f t="shared" si="19"/>
        <v>2023</v>
      </c>
      <c r="C400" s="218">
        <f t="shared" si="20"/>
        <v>7</v>
      </c>
      <c r="D400" s="218">
        <v>46983</v>
      </c>
    </row>
    <row r="401" spans="2:4">
      <c r="B401" s="218">
        <f t="shared" si="19"/>
        <v>2023</v>
      </c>
      <c r="C401" s="218">
        <f t="shared" si="20"/>
        <v>8</v>
      </c>
      <c r="D401" s="218">
        <v>47913</v>
      </c>
    </row>
    <row r="402" spans="2:4">
      <c r="B402" s="218">
        <f t="shared" si="19"/>
        <v>2023</v>
      </c>
      <c r="C402" s="218">
        <f t="shared" si="20"/>
        <v>9</v>
      </c>
      <c r="D402" s="218">
        <v>47016</v>
      </c>
    </row>
    <row r="403" spans="2:4">
      <c r="B403" s="218">
        <f t="shared" si="19"/>
        <v>2023</v>
      </c>
      <c r="C403" s="218">
        <f t="shared" si="20"/>
        <v>10</v>
      </c>
      <c r="D403" s="218">
        <v>49252</v>
      </c>
    </row>
    <row r="404" spans="2:4">
      <c r="B404" s="218">
        <f t="shared" si="19"/>
        <v>2023</v>
      </c>
      <c r="C404" s="218">
        <f t="shared" si="20"/>
        <v>11</v>
      </c>
      <c r="D404" s="218">
        <v>48312</v>
      </c>
    </row>
    <row r="405" spans="2:4">
      <c r="B405" s="218">
        <f t="shared" si="19"/>
        <v>2023</v>
      </c>
      <c r="C405" s="218">
        <f t="shared" si="20"/>
        <v>12</v>
      </c>
      <c r="D405" s="218">
        <v>50592</v>
      </c>
    </row>
    <row r="406" spans="2:4">
      <c r="B406" s="218">
        <f t="shared" si="19"/>
        <v>2024</v>
      </c>
      <c r="C406" s="218">
        <f t="shared" si="20"/>
        <v>1</v>
      </c>
      <c r="D406" s="218">
        <v>41917</v>
      </c>
    </row>
    <row r="407" spans="2:4">
      <c r="B407" s="218">
        <f t="shared" si="19"/>
        <v>2024</v>
      </c>
      <c r="C407" s="218">
        <f t="shared" si="20"/>
        <v>2</v>
      </c>
      <c r="D407" s="218">
        <v>39458</v>
      </c>
    </row>
    <row r="408" spans="2:4">
      <c r="B408" s="218">
        <f t="shared" si="19"/>
        <v>2024</v>
      </c>
      <c r="C408" s="218">
        <f t="shared" si="20"/>
        <v>3</v>
      </c>
      <c r="D408" s="218">
        <v>41861</v>
      </c>
    </row>
    <row r="409" spans="2:4">
      <c r="B409" s="218">
        <f t="shared" si="19"/>
        <v>2024</v>
      </c>
      <c r="C409" s="218">
        <f t="shared" si="20"/>
        <v>4</v>
      </c>
      <c r="D409" s="218">
        <v>42509</v>
      </c>
    </row>
    <row r="410" spans="2:4">
      <c r="B410" s="218">
        <f t="shared" si="19"/>
        <v>2024</v>
      </c>
      <c r="C410" s="218">
        <f t="shared" si="20"/>
        <v>5</v>
      </c>
      <c r="D410" s="218">
        <v>44595</v>
      </c>
    </row>
    <row r="411" spans="2:4">
      <c r="B411" s="218">
        <f t="shared" si="19"/>
        <v>2024</v>
      </c>
      <c r="C411" s="218">
        <f t="shared" si="20"/>
        <v>6</v>
      </c>
      <c r="D411" s="218">
        <v>44312</v>
      </c>
    </row>
    <row r="412" spans="2:4">
      <c r="B412" s="218">
        <f t="shared" si="19"/>
        <v>2024</v>
      </c>
      <c r="C412" s="218">
        <f t="shared" si="20"/>
        <v>7</v>
      </c>
      <c r="D412" s="218">
        <v>46983</v>
      </c>
    </row>
    <row r="413" spans="2:4">
      <c r="B413" s="218">
        <f t="shared" si="19"/>
        <v>2024</v>
      </c>
      <c r="C413" s="218">
        <f t="shared" si="20"/>
        <v>8</v>
      </c>
      <c r="D413" s="218">
        <v>47913</v>
      </c>
    </row>
    <row r="414" spans="2:4">
      <c r="B414" s="218">
        <f t="shared" si="19"/>
        <v>2024</v>
      </c>
      <c r="C414" s="218">
        <f t="shared" si="20"/>
        <v>9</v>
      </c>
      <c r="D414" s="218">
        <v>47016</v>
      </c>
    </row>
    <row r="415" spans="2:4">
      <c r="B415" s="218">
        <f t="shared" ref="B415:B478" si="21">B403+1</f>
        <v>2024</v>
      </c>
      <c r="C415" s="218">
        <f t="shared" ref="C415:C478" si="22">C403</f>
        <v>10</v>
      </c>
      <c r="D415" s="218">
        <v>49252</v>
      </c>
    </row>
    <row r="416" spans="2:4">
      <c r="B416" s="218">
        <f t="shared" si="21"/>
        <v>2024</v>
      </c>
      <c r="C416" s="218">
        <f t="shared" si="22"/>
        <v>11</v>
      </c>
      <c r="D416" s="218">
        <v>48312</v>
      </c>
    </row>
    <row r="417" spans="2:4">
      <c r="B417" s="218">
        <f t="shared" si="21"/>
        <v>2024</v>
      </c>
      <c r="C417" s="218">
        <f t="shared" si="22"/>
        <v>12</v>
      </c>
      <c r="D417" s="218">
        <v>50592</v>
      </c>
    </row>
    <row r="418" spans="2:4">
      <c r="B418" s="218">
        <f t="shared" si="21"/>
        <v>2025</v>
      </c>
      <c r="C418" s="218">
        <f t="shared" si="22"/>
        <v>1</v>
      </c>
      <c r="D418" s="218">
        <v>41917</v>
      </c>
    </row>
    <row r="419" spans="2:4">
      <c r="B419" s="218">
        <f t="shared" si="21"/>
        <v>2025</v>
      </c>
      <c r="C419" s="218">
        <f t="shared" si="22"/>
        <v>2</v>
      </c>
      <c r="D419" s="218">
        <v>39458</v>
      </c>
    </row>
    <row r="420" spans="2:4">
      <c r="B420" s="218">
        <f t="shared" si="21"/>
        <v>2025</v>
      </c>
      <c r="C420" s="218">
        <f t="shared" si="22"/>
        <v>3</v>
      </c>
      <c r="D420" s="218">
        <v>41861</v>
      </c>
    </row>
    <row r="421" spans="2:4">
      <c r="B421" s="218">
        <f t="shared" si="21"/>
        <v>2025</v>
      </c>
      <c r="C421" s="218">
        <f t="shared" si="22"/>
        <v>4</v>
      </c>
      <c r="D421" s="218">
        <v>42509</v>
      </c>
    </row>
    <row r="422" spans="2:4">
      <c r="B422" s="218">
        <f t="shared" si="21"/>
        <v>2025</v>
      </c>
      <c r="C422" s="218">
        <f t="shared" si="22"/>
        <v>5</v>
      </c>
      <c r="D422" s="218">
        <v>44595</v>
      </c>
    </row>
    <row r="423" spans="2:4">
      <c r="B423" s="218">
        <f t="shared" si="21"/>
        <v>2025</v>
      </c>
      <c r="C423" s="218">
        <f t="shared" si="22"/>
        <v>6</v>
      </c>
      <c r="D423" s="218">
        <v>44312</v>
      </c>
    </row>
    <row r="424" spans="2:4">
      <c r="B424" s="218">
        <f t="shared" si="21"/>
        <v>2025</v>
      </c>
      <c r="C424" s="218">
        <f t="shared" si="22"/>
        <v>7</v>
      </c>
      <c r="D424" s="218">
        <v>46983</v>
      </c>
    </row>
    <row r="425" spans="2:4">
      <c r="B425" s="218">
        <f t="shared" si="21"/>
        <v>2025</v>
      </c>
      <c r="C425" s="218">
        <f t="shared" si="22"/>
        <v>8</v>
      </c>
      <c r="D425" s="218">
        <v>47913</v>
      </c>
    </row>
    <row r="426" spans="2:4">
      <c r="B426" s="218">
        <f t="shared" si="21"/>
        <v>2025</v>
      </c>
      <c r="C426" s="218">
        <f t="shared" si="22"/>
        <v>9</v>
      </c>
      <c r="D426" s="218">
        <v>47016</v>
      </c>
    </row>
    <row r="427" spans="2:4">
      <c r="B427" s="218">
        <f t="shared" si="21"/>
        <v>2025</v>
      </c>
      <c r="C427" s="218">
        <f t="shared" si="22"/>
        <v>10</v>
      </c>
      <c r="D427" s="218">
        <v>49252</v>
      </c>
    </row>
    <row r="428" spans="2:4">
      <c r="B428" s="218">
        <f t="shared" si="21"/>
        <v>2025</v>
      </c>
      <c r="C428" s="218">
        <f t="shared" si="22"/>
        <v>11</v>
      </c>
      <c r="D428" s="218">
        <v>48312</v>
      </c>
    </row>
    <row r="429" spans="2:4">
      <c r="B429" s="218">
        <f t="shared" si="21"/>
        <v>2025</v>
      </c>
      <c r="C429" s="218">
        <f t="shared" si="22"/>
        <v>12</v>
      </c>
      <c r="D429" s="218">
        <v>50592</v>
      </c>
    </row>
    <row r="430" spans="2:4">
      <c r="B430" s="218">
        <f t="shared" si="21"/>
        <v>2026</v>
      </c>
      <c r="C430" s="218">
        <f t="shared" si="22"/>
        <v>1</v>
      </c>
      <c r="D430" s="218">
        <v>41917</v>
      </c>
    </row>
    <row r="431" spans="2:4">
      <c r="B431" s="218">
        <f t="shared" si="21"/>
        <v>2026</v>
      </c>
      <c r="C431" s="218">
        <f t="shared" si="22"/>
        <v>2</v>
      </c>
      <c r="D431" s="218">
        <v>39458</v>
      </c>
    </row>
    <row r="432" spans="2:4">
      <c r="B432" s="218">
        <f t="shared" si="21"/>
        <v>2026</v>
      </c>
      <c r="C432" s="218">
        <f t="shared" si="22"/>
        <v>3</v>
      </c>
      <c r="D432" s="218">
        <v>41861</v>
      </c>
    </row>
    <row r="433" spans="2:4">
      <c r="B433" s="218">
        <f t="shared" si="21"/>
        <v>2026</v>
      </c>
      <c r="C433" s="218">
        <f t="shared" si="22"/>
        <v>4</v>
      </c>
      <c r="D433" s="218">
        <v>42509</v>
      </c>
    </row>
    <row r="434" spans="2:4">
      <c r="B434" s="218">
        <f t="shared" si="21"/>
        <v>2026</v>
      </c>
      <c r="C434" s="218">
        <f t="shared" si="22"/>
        <v>5</v>
      </c>
      <c r="D434" s="218">
        <v>44595</v>
      </c>
    </row>
    <row r="435" spans="2:4">
      <c r="B435" s="218">
        <f t="shared" si="21"/>
        <v>2026</v>
      </c>
      <c r="C435" s="218">
        <f t="shared" si="22"/>
        <v>6</v>
      </c>
      <c r="D435" s="218">
        <v>44312</v>
      </c>
    </row>
    <row r="436" spans="2:4">
      <c r="B436" s="218">
        <f t="shared" si="21"/>
        <v>2026</v>
      </c>
      <c r="C436" s="218">
        <f t="shared" si="22"/>
        <v>7</v>
      </c>
      <c r="D436" s="218">
        <v>46983</v>
      </c>
    </row>
    <row r="437" spans="2:4">
      <c r="B437" s="218">
        <f t="shared" si="21"/>
        <v>2026</v>
      </c>
      <c r="C437" s="218">
        <f t="shared" si="22"/>
        <v>8</v>
      </c>
      <c r="D437" s="218">
        <v>47913</v>
      </c>
    </row>
    <row r="438" spans="2:4">
      <c r="B438" s="218">
        <f t="shared" si="21"/>
        <v>2026</v>
      </c>
      <c r="C438" s="218">
        <f t="shared" si="22"/>
        <v>9</v>
      </c>
      <c r="D438" s="218">
        <v>47016</v>
      </c>
    </row>
    <row r="439" spans="2:4">
      <c r="B439" s="218">
        <f t="shared" si="21"/>
        <v>2026</v>
      </c>
      <c r="C439" s="218">
        <f t="shared" si="22"/>
        <v>10</v>
      </c>
      <c r="D439" s="218">
        <v>49252</v>
      </c>
    </row>
    <row r="440" spans="2:4">
      <c r="B440" s="218">
        <f t="shared" si="21"/>
        <v>2026</v>
      </c>
      <c r="C440" s="218">
        <f t="shared" si="22"/>
        <v>11</v>
      </c>
      <c r="D440" s="218">
        <v>48312</v>
      </c>
    </row>
    <row r="441" spans="2:4">
      <c r="B441" s="218">
        <f t="shared" si="21"/>
        <v>2026</v>
      </c>
      <c r="C441" s="218">
        <f t="shared" si="22"/>
        <v>12</v>
      </c>
      <c r="D441" s="218">
        <v>50592</v>
      </c>
    </row>
    <row r="442" spans="2:4">
      <c r="B442" s="218">
        <f t="shared" si="21"/>
        <v>2027</v>
      </c>
      <c r="C442" s="218">
        <f t="shared" si="22"/>
        <v>1</v>
      </c>
      <c r="D442" s="218">
        <v>41917</v>
      </c>
    </row>
    <row r="443" spans="2:4">
      <c r="B443" s="218">
        <f t="shared" si="21"/>
        <v>2027</v>
      </c>
      <c r="C443" s="218">
        <f t="shared" si="22"/>
        <v>2</v>
      </c>
      <c r="D443" s="218">
        <v>39458</v>
      </c>
    </row>
    <row r="444" spans="2:4">
      <c r="B444" s="218">
        <f t="shared" si="21"/>
        <v>2027</v>
      </c>
      <c r="C444" s="218">
        <f t="shared" si="22"/>
        <v>3</v>
      </c>
      <c r="D444" s="218">
        <v>41861</v>
      </c>
    </row>
    <row r="445" spans="2:4">
      <c r="B445" s="218">
        <f t="shared" si="21"/>
        <v>2027</v>
      </c>
      <c r="C445" s="218">
        <f t="shared" si="22"/>
        <v>4</v>
      </c>
      <c r="D445" s="218">
        <v>42509</v>
      </c>
    </row>
    <row r="446" spans="2:4">
      <c r="B446" s="218">
        <f t="shared" si="21"/>
        <v>2027</v>
      </c>
      <c r="C446" s="218">
        <f t="shared" si="22"/>
        <v>5</v>
      </c>
      <c r="D446" s="218">
        <v>44595</v>
      </c>
    </row>
    <row r="447" spans="2:4">
      <c r="B447" s="218">
        <f t="shared" si="21"/>
        <v>2027</v>
      </c>
      <c r="C447" s="218">
        <f t="shared" si="22"/>
        <v>6</v>
      </c>
      <c r="D447" s="218">
        <v>44312</v>
      </c>
    </row>
    <row r="448" spans="2:4">
      <c r="B448" s="218">
        <f t="shared" si="21"/>
        <v>2027</v>
      </c>
      <c r="C448" s="218">
        <f t="shared" si="22"/>
        <v>7</v>
      </c>
      <c r="D448" s="218">
        <v>46983</v>
      </c>
    </row>
    <row r="449" spans="2:4">
      <c r="B449" s="218">
        <f t="shared" si="21"/>
        <v>2027</v>
      </c>
      <c r="C449" s="218">
        <f t="shared" si="22"/>
        <v>8</v>
      </c>
      <c r="D449" s="218">
        <v>47913</v>
      </c>
    </row>
    <row r="450" spans="2:4">
      <c r="B450" s="218">
        <f t="shared" si="21"/>
        <v>2027</v>
      </c>
      <c r="C450" s="218">
        <f t="shared" si="22"/>
        <v>9</v>
      </c>
      <c r="D450" s="218">
        <v>47016</v>
      </c>
    </row>
    <row r="451" spans="2:4">
      <c r="B451" s="218">
        <f t="shared" si="21"/>
        <v>2027</v>
      </c>
      <c r="C451" s="218">
        <f t="shared" si="22"/>
        <v>10</v>
      </c>
      <c r="D451" s="218">
        <v>49252</v>
      </c>
    </row>
    <row r="452" spans="2:4">
      <c r="B452" s="218">
        <f t="shared" si="21"/>
        <v>2027</v>
      </c>
      <c r="C452" s="218">
        <f t="shared" si="22"/>
        <v>11</v>
      </c>
      <c r="D452" s="218">
        <v>48312</v>
      </c>
    </row>
    <row r="453" spans="2:4">
      <c r="B453" s="218">
        <f t="shared" si="21"/>
        <v>2027</v>
      </c>
      <c r="C453" s="218">
        <f t="shared" si="22"/>
        <v>12</v>
      </c>
      <c r="D453" s="218">
        <v>50592</v>
      </c>
    </row>
    <row r="454" spans="2:4">
      <c r="B454" s="218">
        <f t="shared" si="21"/>
        <v>2028</v>
      </c>
      <c r="C454" s="218">
        <f t="shared" si="22"/>
        <v>1</v>
      </c>
      <c r="D454" s="218">
        <v>41917</v>
      </c>
    </row>
    <row r="455" spans="2:4">
      <c r="B455" s="218">
        <f t="shared" si="21"/>
        <v>2028</v>
      </c>
      <c r="C455" s="218">
        <f t="shared" si="22"/>
        <v>2</v>
      </c>
      <c r="D455" s="218">
        <v>39458</v>
      </c>
    </row>
    <row r="456" spans="2:4">
      <c r="B456" s="218">
        <f t="shared" si="21"/>
        <v>2028</v>
      </c>
      <c r="C456" s="218">
        <f t="shared" si="22"/>
        <v>3</v>
      </c>
      <c r="D456" s="218">
        <v>41861</v>
      </c>
    </row>
    <row r="457" spans="2:4">
      <c r="B457" s="218">
        <f t="shared" si="21"/>
        <v>2028</v>
      </c>
      <c r="C457" s="218">
        <f t="shared" si="22"/>
        <v>4</v>
      </c>
      <c r="D457" s="218">
        <v>42509</v>
      </c>
    </row>
    <row r="458" spans="2:4">
      <c r="B458" s="218">
        <f t="shared" si="21"/>
        <v>2028</v>
      </c>
      <c r="C458" s="218">
        <f t="shared" si="22"/>
        <v>5</v>
      </c>
      <c r="D458" s="218">
        <v>44595</v>
      </c>
    </row>
    <row r="459" spans="2:4">
      <c r="B459" s="218">
        <f t="shared" si="21"/>
        <v>2028</v>
      </c>
      <c r="C459" s="218">
        <f t="shared" si="22"/>
        <v>6</v>
      </c>
      <c r="D459" s="218">
        <v>44312</v>
      </c>
    </row>
    <row r="460" spans="2:4">
      <c r="B460" s="218">
        <f t="shared" si="21"/>
        <v>2028</v>
      </c>
      <c r="C460" s="218">
        <f t="shared" si="22"/>
        <v>7</v>
      </c>
      <c r="D460" s="218">
        <v>46983</v>
      </c>
    </row>
    <row r="461" spans="2:4">
      <c r="B461" s="218">
        <f t="shared" si="21"/>
        <v>2028</v>
      </c>
      <c r="C461" s="218">
        <f t="shared" si="22"/>
        <v>8</v>
      </c>
      <c r="D461" s="218">
        <v>47913</v>
      </c>
    </row>
    <row r="462" spans="2:4">
      <c r="B462" s="218">
        <f t="shared" si="21"/>
        <v>2028</v>
      </c>
      <c r="C462" s="218">
        <f t="shared" si="22"/>
        <v>9</v>
      </c>
      <c r="D462" s="218">
        <v>47016</v>
      </c>
    </row>
    <row r="463" spans="2:4">
      <c r="B463" s="218">
        <f t="shared" si="21"/>
        <v>2028</v>
      </c>
      <c r="C463" s="218">
        <f t="shared" si="22"/>
        <v>10</v>
      </c>
      <c r="D463" s="218">
        <v>49252</v>
      </c>
    </row>
    <row r="464" spans="2:4">
      <c r="B464" s="218">
        <f t="shared" si="21"/>
        <v>2028</v>
      </c>
      <c r="C464" s="218">
        <f t="shared" si="22"/>
        <v>11</v>
      </c>
      <c r="D464" s="218">
        <v>48312</v>
      </c>
    </row>
    <row r="465" spans="2:4">
      <c r="B465" s="218">
        <f t="shared" si="21"/>
        <v>2028</v>
      </c>
      <c r="C465" s="218">
        <f t="shared" si="22"/>
        <v>12</v>
      </c>
      <c r="D465" s="218">
        <v>50592</v>
      </c>
    </row>
    <row r="466" spans="2:4">
      <c r="B466" s="218">
        <f t="shared" si="21"/>
        <v>2029</v>
      </c>
      <c r="C466" s="218">
        <f t="shared" si="22"/>
        <v>1</v>
      </c>
      <c r="D466" s="218">
        <v>41917</v>
      </c>
    </row>
    <row r="467" spans="2:4">
      <c r="B467" s="218">
        <f t="shared" si="21"/>
        <v>2029</v>
      </c>
      <c r="C467" s="218">
        <f t="shared" si="22"/>
        <v>2</v>
      </c>
      <c r="D467" s="218">
        <v>39458</v>
      </c>
    </row>
    <row r="468" spans="2:4">
      <c r="B468" s="218">
        <f t="shared" si="21"/>
        <v>2029</v>
      </c>
      <c r="C468" s="218">
        <f t="shared" si="22"/>
        <v>3</v>
      </c>
      <c r="D468" s="218">
        <v>41861</v>
      </c>
    </row>
    <row r="469" spans="2:4">
      <c r="B469" s="218">
        <f t="shared" si="21"/>
        <v>2029</v>
      </c>
      <c r="C469" s="218">
        <f t="shared" si="22"/>
        <v>4</v>
      </c>
      <c r="D469" s="218">
        <v>42509</v>
      </c>
    </row>
    <row r="470" spans="2:4">
      <c r="B470" s="218">
        <f t="shared" si="21"/>
        <v>2029</v>
      </c>
      <c r="C470" s="218">
        <f t="shared" si="22"/>
        <v>5</v>
      </c>
      <c r="D470" s="218">
        <v>44595</v>
      </c>
    </row>
    <row r="471" spans="2:4">
      <c r="B471" s="218">
        <f t="shared" si="21"/>
        <v>2029</v>
      </c>
      <c r="C471" s="218">
        <f t="shared" si="22"/>
        <v>6</v>
      </c>
      <c r="D471" s="218">
        <v>44312</v>
      </c>
    </row>
    <row r="472" spans="2:4">
      <c r="B472" s="218">
        <f t="shared" si="21"/>
        <v>2029</v>
      </c>
      <c r="C472" s="218">
        <f t="shared" si="22"/>
        <v>7</v>
      </c>
      <c r="D472" s="218">
        <v>46983</v>
      </c>
    </row>
    <row r="473" spans="2:4">
      <c r="B473" s="218">
        <f t="shared" si="21"/>
        <v>2029</v>
      </c>
      <c r="C473" s="218">
        <f t="shared" si="22"/>
        <v>8</v>
      </c>
      <c r="D473" s="218">
        <v>47913</v>
      </c>
    </row>
    <row r="474" spans="2:4">
      <c r="B474" s="218">
        <f t="shared" si="21"/>
        <v>2029</v>
      </c>
      <c r="C474" s="218">
        <f t="shared" si="22"/>
        <v>9</v>
      </c>
      <c r="D474" s="218">
        <v>47016</v>
      </c>
    </row>
    <row r="475" spans="2:4">
      <c r="B475" s="218">
        <f t="shared" si="21"/>
        <v>2029</v>
      </c>
      <c r="C475" s="218">
        <f t="shared" si="22"/>
        <v>10</v>
      </c>
      <c r="D475" s="218">
        <v>49252</v>
      </c>
    </row>
    <row r="476" spans="2:4">
      <c r="B476" s="218">
        <f t="shared" si="21"/>
        <v>2029</v>
      </c>
      <c r="C476" s="218">
        <f t="shared" si="22"/>
        <v>11</v>
      </c>
      <c r="D476" s="218">
        <v>48312</v>
      </c>
    </row>
    <row r="477" spans="2:4">
      <c r="B477" s="218">
        <f t="shared" si="21"/>
        <v>2029</v>
      </c>
      <c r="C477" s="218">
        <f t="shared" si="22"/>
        <v>12</v>
      </c>
      <c r="D477" s="218">
        <v>50592</v>
      </c>
    </row>
    <row r="478" spans="2:4">
      <c r="B478" s="218">
        <f t="shared" si="21"/>
        <v>2030</v>
      </c>
      <c r="C478" s="218">
        <f t="shared" si="22"/>
        <v>1</v>
      </c>
      <c r="D478" s="218">
        <v>41917</v>
      </c>
    </row>
    <row r="479" spans="2:4">
      <c r="B479" s="218">
        <f t="shared" ref="B479:B525" si="23">B467+1</f>
        <v>2030</v>
      </c>
      <c r="C479" s="218">
        <f t="shared" ref="C479:C525" si="24">C467</f>
        <v>2</v>
      </c>
      <c r="D479" s="218">
        <v>39458</v>
      </c>
    </row>
    <row r="480" spans="2:4">
      <c r="B480" s="218">
        <f t="shared" si="23"/>
        <v>2030</v>
      </c>
      <c r="C480" s="218">
        <f t="shared" si="24"/>
        <v>3</v>
      </c>
      <c r="D480" s="218">
        <v>41861</v>
      </c>
    </row>
    <row r="481" spans="2:4">
      <c r="B481" s="218">
        <f t="shared" si="23"/>
        <v>2030</v>
      </c>
      <c r="C481" s="218">
        <f t="shared" si="24"/>
        <v>4</v>
      </c>
      <c r="D481" s="218">
        <v>42509</v>
      </c>
    </row>
    <row r="482" spans="2:4">
      <c r="B482" s="218">
        <f t="shared" si="23"/>
        <v>2030</v>
      </c>
      <c r="C482" s="218">
        <f t="shared" si="24"/>
        <v>5</v>
      </c>
      <c r="D482" s="218">
        <v>44595</v>
      </c>
    </row>
    <row r="483" spans="2:4">
      <c r="B483" s="218">
        <f t="shared" si="23"/>
        <v>2030</v>
      </c>
      <c r="C483" s="218">
        <f t="shared" si="24"/>
        <v>6</v>
      </c>
      <c r="D483" s="218">
        <v>44312</v>
      </c>
    </row>
    <row r="484" spans="2:4">
      <c r="B484" s="218">
        <f t="shared" si="23"/>
        <v>2030</v>
      </c>
      <c r="C484" s="218">
        <f t="shared" si="24"/>
        <v>7</v>
      </c>
      <c r="D484" s="218">
        <v>46983</v>
      </c>
    </row>
    <row r="485" spans="2:4">
      <c r="B485" s="218">
        <f t="shared" si="23"/>
        <v>2030</v>
      </c>
      <c r="C485" s="218">
        <f t="shared" si="24"/>
        <v>8</v>
      </c>
      <c r="D485" s="218">
        <v>47913</v>
      </c>
    </row>
    <row r="486" spans="2:4">
      <c r="B486" s="218">
        <f t="shared" si="23"/>
        <v>2030</v>
      </c>
      <c r="C486" s="218">
        <f t="shared" si="24"/>
        <v>9</v>
      </c>
      <c r="D486" s="218">
        <v>47016</v>
      </c>
    </row>
    <row r="487" spans="2:4">
      <c r="B487" s="218">
        <f t="shared" si="23"/>
        <v>2030</v>
      </c>
      <c r="C487" s="218">
        <f t="shared" si="24"/>
        <v>10</v>
      </c>
      <c r="D487" s="218">
        <v>49252</v>
      </c>
    </row>
    <row r="488" spans="2:4">
      <c r="B488" s="218">
        <f t="shared" si="23"/>
        <v>2030</v>
      </c>
      <c r="C488" s="218">
        <f t="shared" si="24"/>
        <v>11</v>
      </c>
      <c r="D488" s="218">
        <v>48312</v>
      </c>
    </row>
    <row r="489" spans="2:4">
      <c r="B489" s="218">
        <f t="shared" si="23"/>
        <v>2030</v>
      </c>
      <c r="C489" s="218">
        <f t="shared" si="24"/>
        <v>12</v>
      </c>
      <c r="D489" s="218">
        <v>50592</v>
      </c>
    </row>
    <row r="490" spans="2:4">
      <c r="B490" s="218">
        <f t="shared" si="23"/>
        <v>2031</v>
      </c>
      <c r="C490" s="218">
        <f t="shared" si="24"/>
        <v>1</v>
      </c>
      <c r="D490" s="218">
        <v>41917</v>
      </c>
    </row>
    <row r="491" spans="2:4">
      <c r="B491" s="218">
        <f t="shared" si="23"/>
        <v>2031</v>
      </c>
      <c r="C491" s="218">
        <f t="shared" si="24"/>
        <v>2</v>
      </c>
      <c r="D491" s="218">
        <v>39458</v>
      </c>
    </row>
    <row r="492" spans="2:4">
      <c r="B492" s="218">
        <f t="shared" si="23"/>
        <v>2031</v>
      </c>
      <c r="C492" s="218">
        <f t="shared" si="24"/>
        <v>3</v>
      </c>
      <c r="D492" s="218">
        <v>41861</v>
      </c>
    </row>
    <row r="493" spans="2:4">
      <c r="B493" s="218">
        <f t="shared" si="23"/>
        <v>2031</v>
      </c>
      <c r="C493" s="218">
        <f t="shared" si="24"/>
        <v>4</v>
      </c>
      <c r="D493" s="218">
        <v>42509</v>
      </c>
    </row>
    <row r="494" spans="2:4">
      <c r="B494" s="218">
        <f t="shared" si="23"/>
        <v>2031</v>
      </c>
      <c r="C494" s="218">
        <f t="shared" si="24"/>
        <v>5</v>
      </c>
      <c r="D494" s="218">
        <v>44595</v>
      </c>
    </row>
    <row r="495" spans="2:4">
      <c r="B495" s="218">
        <f t="shared" si="23"/>
        <v>2031</v>
      </c>
      <c r="C495" s="218">
        <f t="shared" si="24"/>
        <v>6</v>
      </c>
      <c r="D495" s="218">
        <v>44312</v>
      </c>
    </row>
    <row r="496" spans="2:4">
      <c r="B496" s="218">
        <f t="shared" si="23"/>
        <v>2031</v>
      </c>
      <c r="C496" s="218">
        <f t="shared" si="24"/>
        <v>7</v>
      </c>
      <c r="D496" s="218">
        <v>46983</v>
      </c>
    </row>
    <row r="497" spans="2:4">
      <c r="B497" s="218">
        <f t="shared" si="23"/>
        <v>2031</v>
      </c>
      <c r="C497" s="218">
        <f t="shared" si="24"/>
        <v>8</v>
      </c>
      <c r="D497" s="218">
        <v>47913</v>
      </c>
    </row>
    <row r="498" spans="2:4">
      <c r="B498" s="218">
        <f t="shared" si="23"/>
        <v>2031</v>
      </c>
      <c r="C498" s="218">
        <f t="shared" si="24"/>
        <v>9</v>
      </c>
      <c r="D498" s="218">
        <v>47016</v>
      </c>
    </row>
    <row r="499" spans="2:4">
      <c r="B499" s="218">
        <f t="shared" si="23"/>
        <v>2031</v>
      </c>
      <c r="C499" s="218">
        <f t="shared" si="24"/>
        <v>10</v>
      </c>
      <c r="D499" s="218">
        <v>49252</v>
      </c>
    </row>
    <row r="500" spans="2:4">
      <c r="B500" s="218">
        <f t="shared" si="23"/>
        <v>2031</v>
      </c>
      <c r="C500" s="218">
        <f t="shared" si="24"/>
        <v>11</v>
      </c>
      <c r="D500" s="218">
        <v>48312</v>
      </c>
    </row>
    <row r="501" spans="2:4">
      <c r="B501" s="218">
        <f t="shared" si="23"/>
        <v>2031</v>
      </c>
      <c r="C501" s="218">
        <f t="shared" si="24"/>
        <v>12</v>
      </c>
      <c r="D501" s="218">
        <v>50592</v>
      </c>
    </row>
    <row r="502" spans="2:4">
      <c r="B502" s="218">
        <f t="shared" si="23"/>
        <v>2032</v>
      </c>
      <c r="C502" s="218">
        <f t="shared" si="24"/>
        <v>1</v>
      </c>
      <c r="D502" s="218">
        <v>41917</v>
      </c>
    </row>
    <row r="503" spans="2:4">
      <c r="B503" s="218">
        <f t="shared" si="23"/>
        <v>2032</v>
      </c>
      <c r="C503" s="218">
        <f t="shared" si="24"/>
        <v>2</v>
      </c>
      <c r="D503" s="218">
        <v>39458</v>
      </c>
    </row>
    <row r="504" spans="2:4">
      <c r="B504" s="218">
        <f t="shared" si="23"/>
        <v>2032</v>
      </c>
      <c r="C504" s="218">
        <f t="shared" si="24"/>
        <v>3</v>
      </c>
      <c r="D504" s="218">
        <v>41861</v>
      </c>
    </row>
    <row r="505" spans="2:4">
      <c r="B505" s="218">
        <f t="shared" si="23"/>
        <v>2032</v>
      </c>
      <c r="C505" s="218">
        <f t="shared" si="24"/>
        <v>4</v>
      </c>
      <c r="D505" s="218">
        <v>42509</v>
      </c>
    </row>
    <row r="506" spans="2:4">
      <c r="B506" s="218">
        <f t="shared" si="23"/>
        <v>2032</v>
      </c>
      <c r="C506" s="218">
        <f t="shared" si="24"/>
        <v>5</v>
      </c>
      <c r="D506" s="218">
        <v>44595</v>
      </c>
    </row>
    <row r="507" spans="2:4">
      <c r="B507" s="218">
        <f t="shared" si="23"/>
        <v>2032</v>
      </c>
      <c r="C507" s="218">
        <f t="shared" si="24"/>
        <v>6</v>
      </c>
      <c r="D507" s="218">
        <v>44312</v>
      </c>
    </row>
    <row r="508" spans="2:4">
      <c r="B508" s="218">
        <f t="shared" si="23"/>
        <v>2032</v>
      </c>
      <c r="C508" s="218">
        <f t="shared" si="24"/>
        <v>7</v>
      </c>
      <c r="D508" s="218">
        <v>46983</v>
      </c>
    </row>
    <row r="509" spans="2:4">
      <c r="B509" s="218">
        <f t="shared" si="23"/>
        <v>2032</v>
      </c>
      <c r="C509" s="218">
        <f t="shared" si="24"/>
        <v>8</v>
      </c>
      <c r="D509" s="218">
        <v>47913</v>
      </c>
    </row>
    <row r="510" spans="2:4">
      <c r="B510" s="218">
        <f t="shared" si="23"/>
        <v>2032</v>
      </c>
      <c r="C510" s="218">
        <f t="shared" si="24"/>
        <v>9</v>
      </c>
      <c r="D510" s="218">
        <v>47016</v>
      </c>
    </row>
    <row r="511" spans="2:4">
      <c r="B511" s="218">
        <f t="shared" si="23"/>
        <v>2032</v>
      </c>
      <c r="C511" s="218">
        <f t="shared" si="24"/>
        <v>10</v>
      </c>
      <c r="D511" s="218">
        <v>49252</v>
      </c>
    </row>
    <row r="512" spans="2:4">
      <c r="B512" s="218">
        <f t="shared" si="23"/>
        <v>2032</v>
      </c>
      <c r="C512" s="218">
        <f t="shared" si="24"/>
        <v>11</v>
      </c>
      <c r="D512" s="218">
        <v>48312</v>
      </c>
    </row>
    <row r="513" spans="2:4">
      <c r="B513" s="218">
        <f t="shared" si="23"/>
        <v>2032</v>
      </c>
      <c r="C513" s="218">
        <f t="shared" si="24"/>
        <v>12</v>
      </c>
      <c r="D513" s="218">
        <v>50592</v>
      </c>
    </row>
    <row r="514" spans="2:4">
      <c r="B514" s="218">
        <f t="shared" si="23"/>
        <v>2033</v>
      </c>
      <c r="C514" s="218">
        <f t="shared" si="24"/>
        <v>1</v>
      </c>
      <c r="D514" s="218">
        <v>41917</v>
      </c>
    </row>
    <row r="515" spans="2:4">
      <c r="B515" s="218">
        <f t="shared" si="23"/>
        <v>2033</v>
      </c>
      <c r="C515" s="218">
        <f t="shared" si="24"/>
        <v>2</v>
      </c>
      <c r="D515" s="218">
        <v>39458</v>
      </c>
    </row>
    <row r="516" spans="2:4">
      <c r="B516" s="218">
        <f t="shared" si="23"/>
        <v>2033</v>
      </c>
      <c r="C516" s="218">
        <f t="shared" si="24"/>
        <v>3</v>
      </c>
      <c r="D516" s="218">
        <v>41861</v>
      </c>
    </row>
    <row r="517" spans="2:4">
      <c r="B517" s="218">
        <f t="shared" si="23"/>
        <v>2033</v>
      </c>
      <c r="C517" s="218">
        <f t="shared" si="24"/>
        <v>4</v>
      </c>
      <c r="D517" s="218">
        <v>42509</v>
      </c>
    </row>
    <row r="518" spans="2:4">
      <c r="B518" s="218">
        <f t="shared" si="23"/>
        <v>2033</v>
      </c>
      <c r="C518" s="218">
        <f t="shared" si="24"/>
        <v>5</v>
      </c>
      <c r="D518" s="218">
        <v>44595</v>
      </c>
    </row>
    <row r="519" spans="2:4">
      <c r="B519" s="218">
        <f t="shared" si="23"/>
        <v>2033</v>
      </c>
      <c r="C519" s="218">
        <f t="shared" si="24"/>
        <v>6</v>
      </c>
      <c r="D519" s="218">
        <v>44312</v>
      </c>
    </row>
    <row r="520" spans="2:4">
      <c r="B520" s="218">
        <f t="shared" si="23"/>
        <v>2033</v>
      </c>
      <c r="C520" s="218">
        <f t="shared" si="24"/>
        <v>7</v>
      </c>
      <c r="D520" s="218">
        <v>46983</v>
      </c>
    </row>
    <row r="521" spans="2:4">
      <c r="B521" s="218">
        <f t="shared" si="23"/>
        <v>2033</v>
      </c>
      <c r="C521" s="218">
        <f t="shared" si="24"/>
        <v>8</v>
      </c>
      <c r="D521" s="218">
        <v>47913</v>
      </c>
    </row>
    <row r="522" spans="2:4">
      <c r="B522" s="218">
        <f t="shared" si="23"/>
        <v>2033</v>
      </c>
      <c r="C522" s="218">
        <f t="shared" si="24"/>
        <v>9</v>
      </c>
      <c r="D522" s="218">
        <v>47016</v>
      </c>
    </row>
    <row r="523" spans="2:4">
      <c r="B523" s="218">
        <f t="shared" si="23"/>
        <v>2033</v>
      </c>
      <c r="C523" s="218">
        <f t="shared" si="24"/>
        <v>10</v>
      </c>
      <c r="D523" s="218">
        <v>49252</v>
      </c>
    </row>
    <row r="524" spans="2:4">
      <c r="B524" s="218">
        <f t="shared" si="23"/>
        <v>2033</v>
      </c>
      <c r="C524" s="218">
        <f t="shared" si="24"/>
        <v>11</v>
      </c>
      <c r="D524" s="218">
        <v>48312</v>
      </c>
    </row>
    <row r="525" spans="2:4">
      <c r="B525" s="218">
        <f t="shared" si="23"/>
        <v>2033</v>
      </c>
      <c r="C525" s="218">
        <f t="shared" si="24"/>
        <v>12</v>
      </c>
      <c r="D525" s="218">
        <v>50592</v>
      </c>
    </row>
    <row r="526" spans="2:4">
      <c r="B526" s="441" t="s">
        <v>432</v>
      </c>
      <c r="C526" s="441"/>
      <c r="D526" s="441"/>
    </row>
  </sheetData>
  <mergeCells count="144">
    <mergeCell ref="H88:H94"/>
    <mergeCell ref="B95:H99"/>
    <mergeCell ref="B212:D212"/>
    <mergeCell ref="E215:E216"/>
    <mergeCell ref="F216:H216"/>
    <mergeCell ref="B526:D526"/>
    <mergeCell ref="B65:B66"/>
    <mergeCell ref="B75:E75"/>
    <mergeCell ref="B76:E76"/>
    <mergeCell ref="B77:E77"/>
    <mergeCell ref="B78:E78"/>
    <mergeCell ref="B80:B81"/>
    <mergeCell ref="C80:E80"/>
    <mergeCell ref="O39:O40"/>
    <mergeCell ref="P39:P40"/>
    <mergeCell ref="Q39:Q40"/>
    <mergeCell ref="B62:G62"/>
    <mergeCell ref="B63:B64"/>
    <mergeCell ref="C63:C64"/>
    <mergeCell ref="D63:G63"/>
    <mergeCell ref="I39:I40"/>
    <mergeCell ref="J39:J40"/>
    <mergeCell ref="K39:K40"/>
    <mergeCell ref="L39:L40"/>
    <mergeCell ref="M39:M40"/>
    <mergeCell ref="N39:N40"/>
    <mergeCell ref="B39:B40"/>
    <mergeCell ref="D39:D40"/>
    <mergeCell ref="E39:E40"/>
    <mergeCell ref="F39:F40"/>
    <mergeCell ref="G39:G40"/>
    <mergeCell ref="H39:H40"/>
    <mergeCell ref="L37:L38"/>
    <mergeCell ref="M37:M38"/>
    <mergeCell ref="N37:N38"/>
    <mergeCell ref="O37:O38"/>
    <mergeCell ref="P37:P38"/>
    <mergeCell ref="Q37:Q38"/>
    <mergeCell ref="Q35:Q36"/>
    <mergeCell ref="B37:B38"/>
    <mergeCell ref="D37:D38"/>
    <mergeCell ref="E37:E38"/>
    <mergeCell ref="F37:F38"/>
    <mergeCell ref="G37:G38"/>
    <mergeCell ref="H37:H38"/>
    <mergeCell ref="I37:I38"/>
    <mergeCell ref="J37:J38"/>
    <mergeCell ref="K37:K38"/>
    <mergeCell ref="K35:K36"/>
    <mergeCell ref="L35:L36"/>
    <mergeCell ref="M35:M36"/>
    <mergeCell ref="N35:N36"/>
    <mergeCell ref="O35:O36"/>
    <mergeCell ref="P35:P36"/>
    <mergeCell ref="B35:B36"/>
    <mergeCell ref="D35:D36"/>
    <mergeCell ref="E35:E36"/>
    <mergeCell ref="F35:F36"/>
    <mergeCell ref="G35:G36"/>
    <mergeCell ref="H35:H36"/>
    <mergeCell ref="I35:I36"/>
    <mergeCell ref="J35:J36"/>
    <mergeCell ref="J33:J34"/>
    <mergeCell ref="Q31:Q32"/>
    <mergeCell ref="B33:B34"/>
    <mergeCell ref="D33:D34"/>
    <mergeCell ref="E33:E34"/>
    <mergeCell ref="F33:F34"/>
    <mergeCell ref="G33:G34"/>
    <mergeCell ref="H33:H34"/>
    <mergeCell ref="I33:I34"/>
    <mergeCell ref="I31:I32"/>
    <mergeCell ref="J31:J32"/>
    <mergeCell ref="K31:K32"/>
    <mergeCell ref="L31:L32"/>
    <mergeCell ref="M31:M32"/>
    <mergeCell ref="N31:N32"/>
    <mergeCell ref="P33:P34"/>
    <mergeCell ref="Q33:Q34"/>
    <mergeCell ref="K33:K34"/>
    <mergeCell ref="L33:L34"/>
    <mergeCell ref="M33:M34"/>
    <mergeCell ref="N33:N34"/>
    <mergeCell ref="O33:O34"/>
    <mergeCell ref="O29:O30"/>
    <mergeCell ref="P29:P30"/>
    <mergeCell ref="Q29:Q30"/>
    <mergeCell ref="R29:R40"/>
    <mergeCell ref="B31:B32"/>
    <mergeCell ref="D31:D32"/>
    <mergeCell ref="E31:E32"/>
    <mergeCell ref="F31:F32"/>
    <mergeCell ref="G31:G32"/>
    <mergeCell ref="H31:H32"/>
    <mergeCell ref="I29:I30"/>
    <mergeCell ref="J29:J30"/>
    <mergeCell ref="K29:K30"/>
    <mergeCell ref="L29:L30"/>
    <mergeCell ref="M29:M30"/>
    <mergeCell ref="N29:N30"/>
    <mergeCell ref="B29:B30"/>
    <mergeCell ref="D29:D30"/>
    <mergeCell ref="E29:E30"/>
    <mergeCell ref="F29:F30"/>
    <mergeCell ref="G29:G30"/>
    <mergeCell ref="H29:H30"/>
    <mergeCell ref="O31:O32"/>
    <mergeCell ref="P31:P32"/>
    <mergeCell ref="I15:I16"/>
    <mergeCell ref="J15:J16"/>
    <mergeCell ref="K15:K16"/>
    <mergeCell ref="L15:L16"/>
    <mergeCell ref="M15:M16"/>
    <mergeCell ref="N15:N16"/>
    <mergeCell ref="B15:B16"/>
    <mergeCell ref="D15:D16"/>
    <mergeCell ref="E15:E16"/>
    <mergeCell ref="F15:F16"/>
    <mergeCell ref="G15:G16"/>
    <mergeCell ref="H15:H16"/>
    <mergeCell ref="I13:I14"/>
    <mergeCell ref="J13:J14"/>
    <mergeCell ref="K13:K14"/>
    <mergeCell ref="L13:L14"/>
    <mergeCell ref="M13:M14"/>
    <mergeCell ref="N13:N14"/>
    <mergeCell ref="B13:B14"/>
    <mergeCell ref="D13:D14"/>
    <mergeCell ref="E13:E14"/>
    <mergeCell ref="F13:F14"/>
    <mergeCell ref="G13:G14"/>
    <mergeCell ref="H13:H14"/>
    <mergeCell ref="I4:I5"/>
    <mergeCell ref="J4:J5"/>
    <mergeCell ref="K4:K5"/>
    <mergeCell ref="L4:L5"/>
    <mergeCell ref="M4:M5"/>
    <mergeCell ref="N4:N5"/>
    <mergeCell ref="B4:B5"/>
    <mergeCell ref="D4:D5"/>
    <mergeCell ref="E4:E5"/>
    <mergeCell ref="F4:F5"/>
    <mergeCell ref="G4:G5"/>
    <mergeCell ref="H4:H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forRPM</vt:lpstr>
      <vt:lpstr>7PSourceSummary</vt:lpstr>
      <vt:lpstr>SC-NR</vt:lpstr>
      <vt:lpstr>M_Input_Out</vt:lpstr>
      <vt:lpstr>M_Input</vt:lpstr>
      <vt:lpstr>CostData</vt:lpstr>
      <vt:lpstr>ETO Server Virt Estim</vt:lpstr>
      <vt:lpstr>6P Server Virt</vt:lpstr>
      <vt:lpstr>ETO Data Centers</vt:lpstr>
      <vt:lpstr>ESTAR SERVERS</vt:lpstr>
      <vt:lpstr>LOG</vt:lpstr>
      <vt:lpstr>MeasOut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2015-03-18T07:38:49Z</dcterms:modified>
</cp:coreProperties>
</file>