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20" yWindow="105" windowWidth="19440" windowHeight="7740"/>
  </bookViews>
  <sheets>
    <sheet name="7PSourceSummary" sheetId="6" r:id="rId1"/>
    <sheet name="forRPM" sheetId="25" r:id="rId2"/>
    <sheet name="SC New" sheetId="24" r:id="rId3"/>
    <sheet name="SC Retro" sheetId="11" r:id="rId4"/>
    <sheet name="Measure InputOutput_Out" sheetId="22" r:id="rId5"/>
    <sheet name="Measure InputOutput" sheetId="13" r:id="rId6"/>
    <sheet name="Measure InputOutput-New_Out" sheetId="23" state="hidden" r:id="rId7"/>
    <sheet name="Measure InputOutput-New" sheetId="21" state="hidden" r:id="rId8"/>
    <sheet name="MMap" sheetId="12" r:id="rId9"/>
    <sheet name="Savings" sheetId="1" r:id="rId10"/>
    <sheet name="Cost" sheetId="2" r:id="rId11"/>
    <sheet name="Market Data" sheetId="5" r:id="rId12"/>
    <sheet name="6P Applic" sheetId="17" r:id="rId13"/>
    <sheet name="6P Savings" sheetId="18" r:id="rId14"/>
    <sheet name="To Do 7P" sheetId="14" r:id="rId15"/>
    <sheet name="Measure Life" sheetId="26" r:id="rId16"/>
    <sheet name="Achievment" sheetId="27" r:id="rId17"/>
  </sheets>
  <externalReferences>
    <externalReference r:id="rId18"/>
    <externalReference r:id="rId19"/>
  </externalReferences>
  <definedNames>
    <definedName name="_xlnm._FilterDatabase" localSheetId="8" hidden="1">MMap!$A$10:$X$118</definedName>
    <definedName name="BLDGTYP" localSheetId="2">[1]APPLIC!$C$11:$U$11</definedName>
    <definedName name="BLDGTYP" localSheetId="3">[1]APPLIC!$C$11:$U$11</definedName>
    <definedName name="MeasureOutput">'Measure InputOutput_Out'!$A$4:$AM$21</definedName>
    <definedName name="MeasureOutputN">'Measure InputOutput-New_Out'!$A$4:$AM$21</definedName>
    <definedName name="SCNew">'SC New'!$D$60:$Y$77</definedName>
    <definedName name="SCRetro">'SC Retro'!$D$60:$Y$77</definedName>
    <definedName name="V_POST2013">[1]CHAR!$B$13:$T$52</definedName>
    <definedName name="V_PRE2013">[1]CHAR!$B$61:$T$100</definedName>
    <definedName name="VSTOCK">[1]Lookup!$C$4:$D$12</definedName>
  </definedNames>
  <calcPr calcId="125725"/>
</workbook>
</file>

<file path=xl/calcChain.xml><?xml version="1.0" encoding="utf-8"?>
<calcChain xmlns="http://schemas.openxmlformats.org/spreadsheetml/2006/main">
  <c r="D9" i="11"/>
  <c r="D8"/>
  <c r="I4" i="25" l="1"/>
  <c r="I5"/>
  <c r="I6"/>
  <c r="I7"/>
  <c r="I8"/>
  <c r="I9"/>
  <c r="I10"/>
  <c r="I11"/>
  <c r="I12"/>
  <c r="I13"/>
  <c r="I14"/>
  <c r="I15"/>
  <c r="I16"/>
  <c r="I17"/>
  <c r="I18"/>
  <c r="I19"/>
  <c r="I20"/>
  <c r="S113" i="5" l="1"/>
  <c r="S114"/>
  <c r="S115"/>
  <c r="S116"/>
  <c r="S117"/>
  <c r="S118"/>
  <c r="S119"/>
  <c r="S120"/>
  <c r="S121"/>
  <c r="S122"/>
  <c r="S123"/>
  <c r="S124"/>
  <c r="S125"/>
  <c r="S126"/>
  <c r="S127"/>
  <c r="S128"/>
  <c r="S129"/>
  <c r="S130"/>
  <c r="S112"/>
  <c r="P126" l="1"/>
  <c r="P120" l="1"/>
  <c r="D112" l="1"/>
  <c r="E112"/>
  <c r="F112"/>
  <c r="G112"/>
  <c r="H112"/>
  <c r="I112"/>
  <c r="J112"/>
  <c r="K112"/>
  <c r="L112"/>
  <c r="M112"/>
  <c r="D113"/>
  <c r="E113"/>
  <c r="F113"/>
  <c r="G113"/>
  <c r="H113"/>
  <c r="I113"/>
  <c r="J113"/>
  <c r="K113"/>
  <c r="L113"/>
  <c r="M113"/>
  <c r="D114"/>
  <c r="E114"/>
  <c r="F114"/>
  <c r="G114"/>
  <c r="H114"/>
  <c r="I114"/>
  <c r="J114"/>
  <c r="K114"/>
  <c r="L114"/>
  <c r="M114"/>
  <c r="D115"/>
  <c r="E115"/>
  <c r="F115"/>
  <c r="G115"/>
  <c r="H115"/>
  <c r="I115"/>
  <c r="J115"/>
  <c r="K115"/>
  <c r="L115"/>
  <c r="M115"/>
  <c r="D116"/>
  <c r="E116"/>
  <c r="F116"/>
  <c r="G116"/>
  <c r="H116"/>
  <c r="I116"/>
  <c r="J116"/>
  <c r="K116"/>
  <c r="L116"/>
  <c r="M116"/>
  <c r="D117"/>
  <c r="E117"/>
  <c r="F117"/>
  <c r="G117"/>
  <c r="H117"/>
  <c r="I117"/>
  <c r="J117"/>
  <c r="K117"/>
  <c r="L117"/>
  <c r="M117"/>
  <c r="D118"/>
  <c r="E118"/>
  <c r="F118"/>
  <c r="G118"/>
  <c r="H118"/>
  <c r="I118"/>
  <c r="J118"/>
  <c r="K118"/>
  <c r="L118"/>
  <c r="M118"/>
  <c r="D119"/>
  <c r="E119"/>
  <c r="F119"/>
  <c r="G119"/>
  <c r="H119"/>
  <c r="I119"/>
  <c r="J119"/>
  <c r="K119"/>
  <c r="L119"/>
  <c r="M119"/>
  <c r="D120"/>
  <c r="E120"/>
  <c r="F120"/>
  <c r="G120"/>
  <c r="H120"/>
  <c r="I120"/>
  <c r="J120"/>
  <c r="K120"/>
  <c r="L120"/>
  <c r="M120"/>
  <c r="D121"/>
  <c r="E121"/>
  <c r="F121"/>
  <c r="G121"/>
  <c r="H121"/>
  <c r="I121"/>
  <c r="J121"/>
  <c r="K121"/>
  <c r="L121"/>
  <c r="M121"/>
  <c r="D122"/>
  <c r="E122"/>
  <c r="F122"/>
  <c r="G122"/>
  <c r="H122"/>
  <c r="I122"/>
  <c r="J122"/>
  <c r="K122"/>
  <c r="L122"/>
  <c r="M122"/>
  <c r="D123"/>
  <c r="E123"/>
  <c r="F123"/>
  <c r="G123"/>
  <c r="H123"/>
  <c r="I123"/>
  <c r="J123"/>
  <c r="K123"/>
  <c r="L123"/>
  <c r="M123"/>
  <c r="D124"/>
  <c r="E124"/>
  <c r="F124"/>
  <c r="G124"/>
  <c r="H124"/>
  <c r="I124"/>
  <c r="J124"/>
  <c r="K124"/>
  <c r="L124"/>
  <c r="M124"/>
  <c r="D125"/>
  <c r="E125"/>
  <c r="F125"/>
  <c r="G125"/>
  <c r="H125"/>
  <c r="I125"/>
  <c r="J125"/>
  <c r="K125"/>
  <c r="L125"/>
  <c r="M125"/>
  <c r="D126"/>
  <c r="E126"/>
  <c r="F126"/>
  <c r="G126"/>
  <c r="H126"/>
  <c r="I126"/>
  <c r="J126"/>
  <c r="K126"/>
  <c r="L126"/>
  <c r="M126"/>
  <c r="D127"/>
  <c r="E127"/>
  <c r="F127"/>
  <c r="G127"/>
  <c r="H127"/>
  <c r="I127"/>
  <c r="J127"/>
  <c r="K127"/>
  <c r="L127"/>
  <c r="M127"/>
  <c r="D128"/>
  <c r="E128"/>
  <c r="F128"/>
  <c r="G128"/>
  <c r="H128"/>
  <c r="I128"/>
  <c r="J128"/>
  <c r="K128"/>
  <c r="L128"/>
  <c r="M128"/>
  <c r="D129"/>
  <c r="E129"/>
  <c r="F129"/>
  <c r="G129"/>
  <c r="H129"/>
  <c r="I129"/>
  <c r="J129"/>
  <c r="K129"/>
  <c r="L129"/>
  <c r="M129"/>
  <c r="C113"/>
  <c r="C114"/>
  <c r="C115"/>
  <c r="C116"/>
  <c r="C117"/>
  <c r="C118"/>
  <c r="C119"/>
  <c r="C120"/>
  <c r="C121"/>
  <c r="C122"/>
  <c r="C123"/>
  <c r="C124"/>
  <c r="C125"/>
  <c r="C126"/>
  <c r="C127"/>
  <c r="C128"/>
  <c r="C129"/>
  <c r="C112"/>
  <c r="N129" l="1"/>
  <c r="N121"/>
  <c r="N113"/>
  <c r="O114"/>
  <c r="F130"/>
  <c r="N125"/>
  <c r="N117"/>
  <c r="J130"/>
  <c r="O122"/>
  <c r="H130"/>
  <c r="N122"/>
  <c r="N127"/>
  <c r="O124"/>
  <c r="N123"/>
  <c r="N120"/>
  <c r="N119"/>
  <c r="O116"/>
  <c r="N115"/>
  <c r="K130"/>
  <c r="G130"/>
  <c r="M130"/>
  <c r="I130"/>
  <c r="E130"/>
  <c r="O126"/>
  <c r="L130"/>
  <c r="N126"/>
  <c r="N114"/>
  <c r="N128"/>
  <c r="O125"/>
  <c r="O123"/>
  <c r="O121"/>
  <c r="O119"/>
  <c r="P119" s="1"/>
  <c r="O117"/>
  <c r="O115"/>
  <c r="P115" s="1"/>
  <c r="O113"/>
  <c r="P113" s="1"/>
  <c r="O118"/>
  <c r="D130"/>
  <c r="N112"/>
  <c r="N118"/>
  <c r="O129"/>
  <c r="O127"/>
  <c r="P123"/>
  <c r="N124"/>
  <c r="N116"/>
  <c r="O112"/>
  <c r="O128"/>
  <c r="O120"/>
  <c r="C130"/>
  <c r="I45" i="27"/>
  <c r="H45"/>
  <c r="H42"/>
  <c r="G3"/>
  <c r="P112" i="5" l="1"/>
  <c r="P118"/>
  <c r="P114"/>
  <c r="P127"/>
  <c r="P117"/>
  <c r="P125"/>
  <c r="P122"/>
  <c r="P124"/>
  <c r="P116"/>
  <c r="P121"/>
  <c r="P129"/>
  <c r="O130"/>
  <c r="P128"/>
  <c r="N130"/>
  <c r="B9" i="14"/>
  <c r="B10"/>
  <c r="B11" s="1"/>
  <c r="B12" s="1"/>
  <c r="H12" i="12"/>
  <c r="D9" i="13" s="1"/>
  <c r="H11" i="12"/>
  <c r="D8" i="13" s="1"/>
  <c r="P130" i="5" l="1"/>
  <c r="H13" i="12"/>
  <c r="H14" l="1"/>
  <c r="D10" i="13"/>
  <c r="E163" i="24"/>
  <c r="E164" s="1"/>
  <c r="D164"/>
  <c r="H15" i="12" l="1"/>
  <c r="D11" i="13"/>
  <c r="F163" i="24"/>
  <c r="H16" i="12" l="1"/>
  <c r="D12" i="13"/>
  <c r="F164" i="24"/>
  <c r="G163"/>
  <c r="H17" i="12" l="1"/>
  <c r="D13" i="13"/>
  <c r="H163" i="24"/>
  <c r="G164"/>
  <c r="H18" i="12" l="1"/>
  <c r="D14" i="13"/>
  <c r="H164" i="24"/>
  <c r="I163"/>
  <c r="H19" i="12" l="1"/>
  <c r="D15" i="13"/>
  <c r="I164" i="24"/>
  <c r="J163"/>
  <c r="H20" i="12" l="1"/>
  <c r="D16" i="13"/>
  <c r="J164" i="24"/>
  <c r="K163"/>
  <c r="H21" i="12" l="1"/>
  <c r="D17" i="13"/>
  <c r="L163" i="24"/>
  <c r="K164"/>
  <c r="H22" i="12" l="1"/>
  <c r="D18" i="13"/>
  <c r="L164" i="24"/>
  <c r="M163"/>
  <c r="H23" i="12" l="1"/>
  <c r="D19" i="13"/>
  <c r="M164" i="24"/>
  <c r="N163"/>
  <c r="H24" i="12" l="1"/>
  <c r="D20" i="13"/>
  <c r="N164" i="24"/>
  <c r="O163"/>
  <c r="H25" i="12" l="1"/>
  <c r="D21" i="13"/>
  <c r="P163" i="24"/>
  <c r="O164"/>
  <c r="H26" i="12" l="1"/>
  <c r="D22" i="13"/>
  <c r="P164" i="24"/>
  <c r="Q163"/>
  <c r="H27" i="12" l="1"/>
  <c r="D23" i="13"/>
  <c r="Q164" i="24"/>
  <c r="R163"/>
  <c r="H28" i="12" l="1"/>
  <c r="D24" i="13"/>
  <c r="R164" i="24"/>
  <c r="S163"/>
  <c r="H29" i="12" l="1"/>
  <c r="D25" i="13"/>
  <c r="T163" i="24"/>
  <c r="S164"/>
  <c r="H30" i="12" l="1"/>
  <c r="D26" i="13"/>
  <c r="T164" i="24"/>
  <c r="U163"/>
  <c r="H31" i="12" l="1"/>
  <c r="D27" i="13"/>
  <c r="U164" i="24"/>
  <c r="V163"/>
  <c r="H32" i="12" l="1"/>
  <c r="D28" i="13"/>
  <c r="V164" i="24"/>
  <c r="W163"/>
  <c r="W164" s="1"/>
  <c r="H33" i="12" l="1"/>
  <c r="D29" i="13"/>
  <c r="A9" i="11"/>
  <c r="B4" i="25"/>
  <c r="C4"/>
  <c r="A4" s="1"/>
  <c r="B5"/>
  <c r="C5"/>
  <c r="B6"/>
  <c r="C6"/>
  <c r="B7"/>
  <c r="C7"/>
  <c r="B8"/>
  <c r="C8"/>
  <c r="B9"/>
  <c r="C9"/>
  <c r="B10"/>
  <c r="C10"/>
  <c r="A10" s="1"/>
  <c r="B11"/>
  <c r="C11"/>
  <c r="B12"/>
  <c r="C12"/>
  <c r="B13"/>
  <c r="C13"/>
  <c r="B14"/>
  <c r="C14"/>
  <c r="B15"/>
  <c r="C15"/>
  <c r="B16"/>
  <c r="C16"/>
  <c r="B17"/>
  <c r="C17"/>
  <c r="B18"/>
  <c r="C18"/>
  <c r="B19"/>
  <c r="C19"/>
  <c r="B20"/>
  <c r="C20"/>
  <c r="B3"/>
  <c r="C3"/>
  <c r="A13" l="1"/>
  <c r="A20"/>
  <c r="A16"/>
  <c r="A14"/>
  <c r="A18"/>
  <c r="A12"/>
  <c r="A3"/>
  <c r="A8"/>
  <c r="A6"/>
  <c r="H34" i="12"/>
  <c r="D30" i="13"/>
  <c r="A19" i="25"/>
  <c r="A5"/>
  <c r="A11"/>
  <c r="A9"/>
  <c r="A7"/>
  <c r="A17"/>
  <c r="A15"/>
  <c r="E11"/>
  <c r="E6"/>
  <c r="E13"/>
  <c r="E7"/>
  <c r="E20"/>
  <c r="E3"/>
  <c r="E16"/>
  <c r="E4"/>
  <c r="E17"/>
  <c r="E8"/>
  <c r="E5"/>
  <c r="E18"/>
  <c r="E14"/>
  <c r="E9"/>
  <c r="E19"/>
  <c r="E15"/>
  <c r="E12"/>
  <c r="E10"/>
  <c r="H35" i="12" l="1"/>
  <c r="D31" i="13"/>
  <c r="A9" i="24"/>
  <c r="H36" i="12" l="1"/>
  <c r="D32" i="13"/>
  <c r="AD2" i="25"/>
  <c r="AC2"/>
  <c r="AB2"/>
  <c r="AA2"/>
  <c r="Z2"/>
  <c r="Y2"/>
  <c r="X2"/>
  <c r="W2"/>
  <c r="V2"/>
  <c r="U2"/>
  <c r="T2"/>
  <c r="S2"/>
  <c r="R2"/>
  <c r="Q2"/>
  <c r="P2"/>
  <c r="O2"/>
  <c r="N2"/>
  <c r="M2"/>
  <c r="L2"/>
  <c r="K2"/>
  <c r="H37" i="12" l="1"/>
  <c r="D33" i="13"/>
  <c r="A32" i="2"/>
  <c r="A33"/>
  <c r="A34" s="1"/>
  <c r="A35" s="1"/>
  <c r="A36" s="1"/>
  <c r="A37" s="1"/>
  <c r="A38" s="1"/>
  <c r="A39" s="1"/>
  <c r="A40" s="1"/>
  <c r="A41" s="1"/>
  <c r="A42" s="1"/>
  <c r="A43" s="1"/>
  <c r="A44" s="1"/>
  <c r="A45" s="1"/>
  <c r="A31"/>
  <c r="H38" i="12" l="1"/>
  <c r="D34" i="13"/>
  <c r="D35" i="24"/>
  <c r="D35" i="11"/>
  <c r="J9" i="2"/>
  <c r="J10"/>
  <c r="J11"/>
  <c r="J12"/>
  <c r="J13"/>
  <c r="J14"/>
  <c r="J15"/>
  <c r="J16"/>
  <c r="J17"/>
  <c r="J18"/>
  <c r="J19"/>
  <c r="J20"/>
  <c r="J21"/>
  <c r="J22"/>
  <c r="J23"/>
  <c r="J24"/>
  <c r="J25"/>
  <c r="J8"/>
  <c r="H39" i="12" l="1"/>
  <c r="D35" i="13"/>
  <c r="E54" i="2"/>
  <c r="M8" i="1"/>
  <c r="M31" s="1"/>
  <c r="M9"/>
  <c r="M32" s="1"/>
  <c r="M10"/>
  <c r="M33" s="1"/>
  <c r="M11"/>
  <c r="M34" s="1"/>
  <c r="M12"/>
  <c r="M35" s="1"/>
  <c r="M13"/>
  <c r="M36" s="1"/>
  <c r="M14"/>
  <c r="M37" s="1"/>
  <c r="M15"/>
  <c r="M38" s="1"/>
  <c r="M16"/>
  <c r="M39" s="1"/>
  <c r="M17"/>
  <c r="M40" s="1"/>
  <c r="M18"/>
  <c r="M41" s="1"/>
  <c r="M19"/>
  <c r="M42" s="1"/>
  <c r="M20"/>
  <c r="M43" s="1"/>
  <c r="M21"/>
  <c r="M44" s="1"/>
  <c r="M22"/>
  <c r="M45" s="1"/>
  <c r="M23"/>
  <c r="M46" s="1"/>
  <c r="M24"/>
  <c r="M47" s="1"/>
  <c r="M7"/>
  <c r="M30" s="1"/>
  <c r="N11" i="2"/>
  <c r="N7"/>
  <c r="F47"/>
  <c r="I27"/>
  <c r="E27"/>
  <c r="E26"/>
  <c r="H40" i="12" l="1"/>
  <c r="D36" i="13"/>
  <c r="F31" i="2"/>
  <c r="F32"/>
  <c r="F33"/>
  <c r="F34"/>
  <c r="F35"/>
  <c r="F36"/>
  <c r="F37"/>
  <c r="F38"/>
  <c r="F39"/>
  <c r="F40"/>
  <c r="F41"/>
  <c r="F42"/>
  <c r="F43"/>
  <c r="F44"/>
  <c r="F45"/>
  <c r="F46"/>
  <c r="F30"/>
  <c r="I26"/>
  <c r="F9"/>
  <c r="G9"/>
  <c r="H9"/>
  <c r="F10"/>
  <c r="G10"/>
  <c r="H10"/>
  <c r="F11"/>
  <c r="G11"/>
  <c r="H11"/>
  <c r="F12"/>
  <c r="G12"/>
  <c r="H12"/>
  <c r="F13"/>
  <c r="G13"/>
  <c r="H13"/>
  <c r="F14"/>
  <c r="G14"/>
  <c r="H14"/>
  <c r="F15"/>
  <c r="G15"/>
  <c r="H15"/>
  <c r="F16"/>
  <c r="G16"/>
  <c r="H16"/>
  <c r="F17"/>
  <c r="G17"/>
  <c r="H17"/>
  <c r="F18"/>
  <c r="G18"/>
  <c r="H18"/>
  <c r="F19"/>
  <c r="G19"/>
  <c r="H19"/>
  <c r="F20"/>
  <c r="G20"/>
  <c r="H20"/>
  <c r="F21"/>
  <c r="G21"/>
  <c r="H21"/>
  <c r="F22"/>
  <c r="G22"/>
  <c r="H22"/>
  <c r="F23"/>
  <c r="G23"/>
  <c r="H23"/>
  <c r="F24"/>
  <c r="G24"/>
  <c r="H24"/>
  <c r="F25"/>
  <c r="G25"/>
  <c r="H25"/>
  <c r="G8"/>
  <c r="H8"/>
  <c r="F8"/>
  <c r="K91" i="18"/>
  <c r="H74"/>
  <c r="I74"/>
  <c r="J74"/>
  <c r="H75"/>
  <c r="I75"/>
  <c r="J75"/>
  <c r="H76"/>
  <c r="I76"/>
  <c r="J76"/>
  <c r="H77"/>
  <c r="I77"/>
  <c r="J77"/>
  <c r="H78"/>
  <c r="I78"/>
  <c r="J78"/>
  <c r="H79"/>
  <c r="I79"/>
  <c r="J79"/>
  <c r="H80"/>
  <c r="I80"/>
  <c r="J80"/>
  <c r="H81"/>
  <c r="I81"/>
  <c r="J81"/>
  <c r="H82"/>
  <c r="I82"/>
  <c r="J82"/>
  <c r="H83"/>
  <c r="I83"/>
  <c r="J83"/>
  <c r="H84"/>
  <c r="I84"/>
  <c r="J84"/>
  <c r="H85"/>
  <c r="I85"/>
  <c r="J85"/>
  <c r="H86"/>
  <c r="I86"/>
  <c r="J86"/>
  <c r="H87"/>
  <c r="I87"/>
  <c r="J87"/>
  <c r="H88"/>
  <c r="I88"/>
  <c r="J88"/>
  <c r="H89"/>
  <c r="I89"/>
  <c r="J89"/>
  <c r="H90"/>
  <c r="I90"/>
  <c r="J90"/>
  <c r="I73"/>
  <c r="J73"/>
  <c r="H73"/>
  <c r="H41" i="12" l="1"/>
  <c r="D37" i="13"/>
  <c r="H75" i="5"/>
  <c r="H73"/>
  <c r="N8" i="1"/>
  <c r="N9"/>
  <c r="N10"/>
  <c r="N11"/>
  <c r="N12"/>
  <c r="N13"/>
  <c r="N14"/>
  <c r="N15"/>
  <c r="N16"/>
  <c r="N17"/>
  <c r="N18"/>
  <c r="N19"/>
  <c r="N20"/>
  <c r="N21"/>
  <c r="N22"/>
  <c r="N23"/>
  <c r="N24"/>
  <c r="N7"/>
  <c r="F8"/>
  <c r="F9"/>
  <c r="F10"/>
  <c r="F11"/>
  <c r="F12"/>
  <c r="F13"/>
  <c r="F14"/>
  <c r="F15"/>
  <c r="F16"/>
  <c r="F17"/>
  <c r="F18"/>
  <c r="F19"/>
  <c r="F20"/>
  <c r="F21"/>
  <c r="F22"/>
  <c r="F23"/>
  <c r="F24"/>
  <c r="F7"/>
  <c r="H74" i="5"/>
  <c r="H42" i="12" l="1"/>
  <c r="D38" i="13"/>
  <c r="H69" i="5"/>
  <c r="H70"/>
  <c r="G69"/>
  <c r="F69"/>
  <c r="F13" i="24"/>
  <c r="G13"/>
  <c r="H13"/>
  <c r="I13"/>
  <c r="J13"/>
  <c r="K13"/>
  <c r="L13"/>
  <c r="M13"/>
  <c r="N13"/>
  <c r="O13"/>
  <c r="P13"/>
  <c r="Q13"/>
  <c r="R13"/>
  <c r="S13"/>
  <c r="T13"/>
  <c r="U13"/>
  <c r="V13"/>
  <c r="W13"/>
  <c r="X13"/>
  <c r="F14"/>
  <c r="G14"/>
  <c r="H14"/>
  <c r="I14"/>
  <c r="J14"/>
  <c r="K14"/>
  <c r="L14"/>
  <c r="M14"/>
  <c r="N14"/>
  <c r="O14"/>
  <c r="P14"/>
  <c r="Q14"/>
  <c r="R14"/>
  <c r="S14"/>
  <c r="T14"/>
  <c r="U14"/>
  <c r="V14"/>
  <c r="W14"/>
  <c r="X14"/>
  <c r="F15"/>
  <c r="G15"/>
  <c r="H15"/>
  <c r="I15"/>
  <c r="J15"/>
  <c r="K15"/>
  <c r="L15"/>
  <c r="M15"/>
  <c r="N15"/>
  <c r="O15"/>
  <c r="P15"/>
  <c r="Q15"/>
  <c r="R15"/>
  <c r="S15"/>
  <c r="T15"/>
  <c r="U15"/>
  <c r="V15"/>
  <c r="W15"/>
  <c r="X15"/>
  <c r="F16"/>
  <c r="G16"/>
  <c r="H16"/>
  <c r="I16"/>
  <c r="J16"/>
  <c r="K16"/>
  <c r="L16"/>
  <c r="M16"/>
  <c r="N16"/>
  <c r="O16"/>
  <c r="P16"/>
  <c r="Q16"/>
  <c r="R16"/>
  <c r="S16"/>
  <c r="T16"/>
  <c r="U16"/>
  <c r="V16"/>
  <c r="W16"/>
  <c r="X16"/>
  <c r="F17"/>
  <c r="G17"/>
  <c r="H17"/>
  <c r="I17"/>
  <c r="J17"/>
  <c r="K17"/>
  <c r="L17"/>
  <c r="M17"/>
  <c r="N17"/>
  <c r="O17"/>
  <c r="P17"/>
  <c r="Q17"/>
  <c r="R17"/>
  <c r="S17"/>
  <c r="T17"/>
  <c r="U17"/>
  <c r="V17"/>
  <c r="W17"/>
  <c r="X17"/>
  <c r="F18"/>
  <c r="G18"/>
  <c r="H18"/>
  <c r="I18"/>
  <c r="J18"/>
  <c r="K18"/>
  <c r="L18"/>
  <c r="M18"/>
  <c r="N18"/>
  <c r="O18"/>
  <c r="P18"/>
  <c r="Q18"/>
  <c r="R18"/>
  <c r="S18"/>
  <c r="T18"/>
  <c r="U18"/>
  <c r="V18"/>
  <c r="W18"/>
  <c r="X18"/>
  <c r="F19"/>
  <c r="G19"/>
  <c r="H19"/>
  <c r="I19"/>
  <c r="J19"/>
  <c r="K19"/>
  <c r="L19"/>
  <c r="M19"/>
  <c r="N19"/>
  <c r="O19"/>
  <c r="P19"/>
  <c r="Q19"/>
  <c r="R19"/>
  <c r="S19"/>
  <c r="T19"/>
  <c r="U19"/>
  <c r="V19"/>
  <c r="W19"/>
  <c r="X19"/>
  <c r="F20"/>
  <c r="G20"/>
  <c r="H20"/>
  <c r="I20"/>
  <c r="J20"/>
  <c r="K20"/>
  <c r="L20"/>
  <c r="M20"/>
  <c r="N20"/>
  <c r="O20"/>
  <c r="P20"/>
  <c r="Q20"/>
  <c r="R20"/>
  <c r="S20"/>
  <c r="T20"/>
  <c r="U20"/>
  <c r="V20"/>
  <c r="W20"/>
  <c r="X20"/>
  <c r="F21"/>
  <c r="G21"/>
  <c r="H21"/>
  <c r="I21"/>
  <c r="J21"/>
  <c r="K21"/>
  <c r="L21"/>
  <c r="M21"/>
  <c r="N21"/>
  <c r="O21"/>
  <c r="P21"/>
  <c r="Q21"/>
  <c r="R21"/>
  <c r="S21"/>
  <c r="T21"/>
  <c r="U21"/>
  <c r="V21"/>
  <c r="W21"/>
  <c r="X21"/>
  <c r="F22"/>
  <c r="G22"/>
  <c r="H22"/>
  <c r="I22"/>
  <c r="J22"/>
  <c r="K22"/>
  <c r="L22"/>
  <c r="M22"/>
  <c r="N22"/>
  <c r="O22"/>
  <c r="P22"/>
  <c r="Q22"/>
  <c r="R22"/>
  <c r="S22"/>
  <c r="T22"/>
  <c r="U22"/>
  <c r="V22"/>
  <c r="W22"/>
  <c r="X22"/>
  <c r="F23"/>
  <c r="G23"/>
  <c r="H23"/>
  <c r="I23"/>
  <c r="J23"/>
  <c r="K23"/>
  <c r="L23"/>
  <c r="M23"/>
  <c r="N23"/>
  <c r="O23"/>
  <c r="P23"/>
  <c r="Q23"/>
  <c r="R23"/>
  <c r="S23"/>
  <c r="T23"/>
  <c r="U23"/>
  <c r="V23"/>
  <c r="W23"/>
  <c r="X23"/>
  <c r="F24"/>
  <c r="G24"/>
  <c r="H24"/>
  <c r="I24"/>
  <c r="J24"/>
  <c r="K24"/>
  <c r="L24"/>
  <c r="M24"/>
  <c r="N24"/>
  <c r="O24"/>
  <c r="P24"/>
  <c r="Q24"/>
  <c r="R24"/>
  <c r="S24"/>
  <c r="T24"/>
  <c r="U24"/>
  <c r="V24"/>
  <c r="W24"/>
  <c r="X24"/>
  <c r="F25"/>
  <c r="G25"/>
  <c r="H25"/>
  <c r="I25"/>
  <c r="J25"/>
  <c r="K25"/>
  <c r="L25"/>
  <c r="M25"/>
  <c r="N25"/>
  <c r="O25"/>
  <c r="P25"/>
  <c r="Q25"/>
  <c r="R25"/>
  <c r="S25"/>
  <c r="T25"/>
  <c r="U25"/>
  <c r="V25"/>
  <c r="W25"/>
  <c r="X25"/>
  <c r="F26"/>
  <c r="G26"/>
  <c r="H26"/>
  <c r="I26"/>
  <c r="J26"/>
  <c r="K26"/>
  <c r="L26"/>
  <c r="M26"/>
  <c r="N26"/>
  <c r="O26"/>
  <c r="P26"/>
  <c r="Q26"/>
  <c r="R26"/>
  <c r="S26"/>
  <c r="T26"/>
  <c r="U26"/>
  <c r="V26"/>
  <c r="W26"/>
  <c r="X26"/>
  <c r="F27"/>
  <c r="G27"/>
  <c r="H27"/>
  <c r="I27"/>
  <c r="J27"/>
  <c r="K27"/>
  <c r="L27"/>
  <c r="M27"/>
  <c r="N27"/>
  <c r="O27"/>
  <c r="P27"/>
  <c r="Q27"/>
  <c r="R27"/>
  <c r="S27"/>
  <c r="T27"/>
  <c r="U27"/>
  <c r="V27"/>
  <c r="W27"/>
  <c r="X27"/>
  <c r="F28"/>
  <c r="G28"/>
  <c r="H28"/>
  <c r="I28"/>
  <c r="J28"/>
  <c r="K28"/>
  <c r="L28"/>
  <c r="M28"/>
  <c r="N28"/>
  <c r="O28"/>
  <c r="P28"/>
  <c r="Q28"/>
  <c r="R28"/>
  <c r="S28"/>
  <c r="T28"/>
  <c r="U28"/>
  <c r="V28"/>
  <c r="W28"/>
  <c r="X28"/>
  <c r="F29"/>
  <c r="G29"/>
  <c r="H29"/>
  <c r="I29"/>
  <c r="J29"/>
  <c r="K29"/>
  <c r="L29"/>
  <c r="M29"/>
  <c r="N29"/>
  <c r="O29"/>
  <c r="P29"/>
  <c r="Q29"/>
  <c r="R29"/>
  <c r="S29"/>
  <c r="T29"/>
  <c r="U29"/>
  <c r="V29"/>
  <c r="W29"/>
  <c r="X29"/>
  <c r="F30"/>
  <c r="G30"/>
  <c r="H30"/>
  <c r="I30"/>
  <c r="J30"/>
  <c r="K30"/>
  <c r="L30"/>
  <c r="M30"/>
  <c r="N30"/>
  <c r="O30"/>
  <c r="P30"/>
  <c r="Q30"/>
  <c r="R30"/>
  <c r="S30"/>
  <c r="T30"/>
  <c r="U30"/>
  <c r="V30"/>
  <c r="W30"/>
  <c r="X30"/>
  <c r="E14"/>
  <c r="E15"/>
  <c r="E16"/>
  <c r="E17"/>
  <c r="E18"/>
  <c r="E19"/>
  <c r="E20"/>
  <c r="E21"/>
  <c r="E22"/>
  <c r="E23"/>
  <c r="E24"/>
  <c r="E25"/>
  <c r="E26"/>
  <c r="E27"/>
  <c r="E28"/>
  <c r="E29"/>
  <c r="E30"/>
  <c r="E13"/>
  <c r="H43" i="12" l="1"/>
  <c r="D39" i="13"/>
  <c r="D181" i="24"/>
  <c r="D173"/>
  <c r="D174"/>
  <c r="D180"/>
  <c r="D176"/>
  <c r="D172"/>
  <c r="D168"/>
  <c r="D177"/>
  <c r="D169"/>
  <c r="D182"/>
  <c r="D178"/>
  <c r="D170"/>
  <c r="D166"/>
  <c r="D165"/>
  <c r="D179"/>
  <c r="D175"/>
  <c r="D171"/>
  <c r="D167"/>
  <c r="E179"/>
  <c r="E177"/>
  <c r="E181"/>
  <c r="Y121"/>
  <c r="Y120"/>
  <c r="D120"/>
  <c r="C57"/>
  <c r="C53"/>
  <c r="C52"/>
  <c r="C51"/>
  <c r="C50"/>
  <c r="C49"/>
  <c r="C48"/>
  <c r="C47"/>
  <c r="C46"/>
  <c r="C45"/>
  <c r="C44"/>
  <c r="C43"/>
  <c r="C42"/>
  <c r="C41"/>
  <c r="C40"/>
  <c r="C39"/>
  <c r="C38"/>
  <c r="C37"/>
  <c r="C36"/>
  <c r="C35"/>
  <c r="Y53"/>
  <c r="Y52"/>
  <c r="Y51"/>
  <c r="Y50"/>
  <c r="Y49"/>
  <c r="Y48"/>
  <c r="Y47"/>
  <c r="Y46"/>
  <c r="Y45"/>
  <c r="Y44"/>
  <c r="Y43"/>
  <c r="Y42"/>
  <c r="Y41"/>
  <c r="Y40"/>
  <c r="Y39"/>
  <c r="Y38"/>
  <c r="Y37"/>
  <c r="Y36"/>
  <c r="T31"/>
  <c r="S31"/>
  <c r="P31"/>
  <c r="O31"/>
  <c r="L31"/>
  <c r="K31"/>
  <c r="H31"/>
  <c r="F31"/>
  <c r="F10"/>
  <c r="G10" s="1"/>
  <c r="H10" s="1"/>
  <c r="I10" s="1"/>
  <c r="J10" s="1"/>
  <c r="K10" s="1"/>
  <c r="L10" s="1"/>
  <c r="M10" s="1"/>
  <c r="N10" s="1"/>
  <c r="O10" s="1"/>
  <c r="P10" s="1"/>
  <c r="Q10" s="1"/>
  <c r="R10" s="1"/>
  <c r="S10" s="1"/>
  <c r="T10" s="1"/>
  <c r="U10" s="1"/>
  <c r="V10" s="1"/>
  <c r="W10" s="1"/>
  <c r="X10" s="1"/>
  <c r="C9"/>
  <c r="E11" s="1"/>
  <c r="E24" i="1"/>
  <c r="D24"/>
  <c r="C24"/>
  <c r="E23"/>
  <c r="D23"/>
  <c r="C23"/>
  <c r="E22"/>
  <c r="D22"/>
  <c r="C22"/>
  <c r="E21"/>
  <c r="D21"/>
  <c r="C21"/>
  <c r="E20"/>
  <c r="D20"/>
  <c r="C20"/>
  <c r="E19"/>
  <c r="D19"/>
  <c r="C19"/>
  <c r="E18"/>
  <c r="D18"/>
  <c r="C18"/>
  <c r="E17"/>
  <c r="D17"/>
  <c r="C17"/>
  <c r="E16"/>
  <c r="D16"/>
  <c r="C16"/>
  <c r="E15"/>
  <c r="D15"/>
  <c r="C15"/>
  <c r="E14"/>
  <c r="D14"/>
  <c r="C14"/>
  <c r="E13"/>
  <c r="D13"/>
  <c r="C13"/>
  <c r="E12"/>
  <c r="D12"/>
  <c r="C12"/>
  <c r="E11"/>
  <c r="D11"/>
  <c r="C11"/>
  <c r="E10"/>
  <c r="D10"/>
  <c r="C10"/>
  <c r="E9"/>
  <c r="D9"/>
  <c r="C9"/>
  <c r="E8"/>
  <c r="D8"/>
  <c r="C8"/>
  <c r="E7"/>
  <c r="D7"/>
  <c r="C7"/>
  <c r="P12" i="18"/>
  <c r="P15"/>
  <c r="P17"/>
  <c r="P18"/>
  <c r="P19"/>
  <c r="P20"/>
  <c r="P21"/>
  <c r="P23"/>
  <c r="P24"/>
  <c r="P25"/>
  <c r="O25"/>
  <c r="O24"/>
  <c r="O23"/>
  <c r="O21"/>
  <c r="O20"/>
  <c r="O19"/>
  <c r="O18"/>
  <c r="O17"/>
  <c r="O15"/>
  <c r="O12"/>
  <c r="O9"/>
  <c r="D58"/>
  <c r="D59"/>
  <c r="D60"/>
  <c r="D61"/>
  <c r="D62"/>
  <c r="D63"/>
  <c r="D64"/>
  <c r="D65"/>
  <c r="D66"/>
  <c r="D67"/>
  <c r="D57"/>
  <c r="P9"/>
  <c r="A9"/>
  <c r="C64" i="24" l="1"/>
  <c r="D64" s="1"/>
  <c r="C76"/>
  <c r="C63"/>
  <c r="D63" s="1"/>
  <c r="C67"/>
  <c r="C71"/>
  <c r="D71" s="1"/>
  <c r="C75"/>
  <c r="D75" s="1"/>
  <c r="C68"/>
  <c r="C66"/>
  <c r="C72"/>
  <c r="D72" s="1"/>
  <c r="C62"/>
  <c r="D62" s="1"/>
  <c r="C61"/>
  <c r="C65"/>
  <c r="D65" s="1"/>
  <c r="C69"/>
  <c r="C73"/>
  <c r="D73" s="1"/>
  <c r="C77"/>
  <c r="H44" i="12"/>
  <c r="D40" i="13"/>
  <c r="E182" i="24"/>
  <c r="E172"/>
  <c r="F181"/>
  <c r="E178"/>
  <c r="E168"/>
  <c r="E174"/>
  <c r="F177"/>
  <c r="E171"/>
  <c r="E166"/>
  <c r="E169"/>
  <c r="E176"/>
  <c r="D183"/>
  <c r="E173"/>
  <c r="F179"/>
  <c r="E175"/>
  <c r="E170"/>
  <c r="E180"/>
  <c r="E165"/>
  <c r="E167"/>
  <c r="F11"/>
  <c r="F34" s="1"/>
  <c r="E34"/>
  <c r="D66"/>
  <c r="C60"/>
  <c r="D60" s="1"/>
  <c r="C70"/>
  <c r="D70" s="1"/>
  <c r="C74"/>
  <c r="D74" s="1"/>
  <c r="E35"/>
  <c r="E53" s="1"/>
  <c r="V31"/>
  <c r="E12"/>
  <c r="E58"/>
  <c r="E83" s="1"/>
  <c r="E120" s="1"/>
  <c r="E31"/>
  <c r="I31"/>
  <c r="M31"/>
  <c r="U31"/>
  <c r="J31"/>
  <c r="N31"/>
  <c r="R31"/>
  <c r="Q31"/>
  <c r="E121"/>
  <c r="D77"/>
  <c r="D69"/>
  <c r="D76"/>
  <c r="D68"/>
  <c r="D67"/>
  <c r="D61"/>
  <c r="Y54"/>
  <c r="G31"/>
  <c r="W31"/>
  <c r="E59"/>
  <c r="E84"/>
  <c r="X31"/>
  <c r="C27" i="17"/>
  <c r="D63" i="5"/>
  <c r="D61"/>
  <c r="D60"/>
  <c r="D59"/>
  <c r="D58"/>
  <c r="D57"/>
  <c r="D56"/>
  <c r="D55"/>
  <c r="D53"/>
  <c r="D52"/>
  <c r="C42"/>
  <c r="C43"/>
  <c r="C44"/>
  <c r="C45"/>
  <c r="C46"/>
  <c r="C47"/>
  <c r="C48"/>
  <c r="C49"/>
  <c r="C50"/>
  <c r="C41"/>
  <c r="Q11"/>
  <c r="Q12"/>
  <c r="Q13"/>
  <c r="Q14"/>
  <c r="Q15"/>
  <c r="Q16"/>
  <c r="Q17"/>
  <c r="Q18"/>
  <c r="Q19"/>
  <c r="Q20"/>
  <c r="Q10"/>
  <c r="R11"/>
  <c r="R12"/>
  <c r="R13"/>
  <c r="R14"/>
  <c r="R15"/>
  <c r="R16"/>
  <c r="R17"/>
  <c r="R18"/>
  <c r="R19"/>
  <c r="R20"/>
  <c r="R10"/>
  <c r="G11" i="24" l="1"/>
  <c r="G34" s="1"/>
  <c r="A74"/>
  <c r="A64"/>
  <c r="A66"/>
  <c r="A72"/>
  <c r="B64"/>
  <c r="F165"/>
  <c r="H45" i="12"/>
  <c r="D41" i="13"/>
  <c r="F180" i="24"/>
  <c r="F173"/>
  <c r="F166"/>
  <c r="F168"/>
  <c r="G181"/>
  <c r="F170"/>
  <c r="G179"/>
  <c r="F169"/>
  <c r="F171"/>
  <c r="F174"/>
  <c r="F178"/>
  <c r="F172"/>
  <c r="E183"/>
  <c r="F175"/>
  <c r="F176"/>
  <c r="G177"/>
  <c r="F182"/>
  <c r="F167"/>
  <c r="B60"/>
  <c r="F121"/>
  <c r="F58"/>
  <c r="F83" s="1"/>
  <c r="F120" s="1"/>
  <c r="F84"/>
  <c r="F35"/>
  <c r="F40" s="1"/>
  <c r="F64" s="1"/>
  <c r="F12"/>
  <c r="F59"/>
  <c r="B70"/>
  <c r="A70"/>
  <c r="A60"/>
  <c r="B66"/>
  <c r="B74"/>
  <c r="B72"/>
  <c r="A61"/>
  <c r="B61"/>
  <c r="A73"/>
  <c r="B73"/>
  <c r="A67"/>
  <c r="B67"/>
  <c r="A65"/>
  <c r="B65"/>
  <c r="A69"/>
  <c r="B69"/>
  <c r="A77"/>
  <c r="B77"/>
  <c r="A68"/>
  <c r="B68"/>
  <c r="A71"/>
  <c r="B71"/>
  <c r="A62"/>
  <c r="B62"/>
  <c r="A63"/>
  <c r="B63"/>
  <c r="A76"/>
  <c r="B76"/>
  <c r="A75"/>
  <c r="B75"/>
  <c r="E37"/>
  <c r="E47"/>
  <c r="E50"/>
  <c r="E41"/>
  <c r="E48"/>
  <c r="E49"/>
  <c r="E38"/>
  <c r="E52"/>
  <c r="E42"/>
  <c r="E66" s="1"/>
  <c r="E46"/>
  <c r="E45"/>
  <c r="E51"/>
  <c r="E43"/>
  <c r="E39"/>
  <c r="E36"/>
  <c r="E44"/>
  <c r="E40"/>
  <c r="E64" s="1"/>
  <c r="N66" i="12"/>
  <c r="N84" s="1"/>
  <c r="N102" s="1"/>
  <c r="N67"/>
  <c r="N85" s="1"/>
  <c r="N103" s="1"/>
  <c r="N68"/>
  <c r="N86" s="1"/>
  <c r="N104" s="1"/>
  <c r="N69"/>
  <c r="N87" s="1"/>
  <c r="N105" s="1"/>
  <c r="N70"/>
  <c r="N88" s="1"/>
  <c r="N106" s="1"/>
  <c r="N71"/>
  <c r="N89" s="1"/>
  <c r="N107" s="1"/>
  <c r="N72"/>
  <c r="N90" s="1"/>
  <c r="N108" s="1"/>
  <c r="N73"/>
  <c r="N91" s="1"/>
  <c r="N109" s="1"/>
  <c r="N74"/>
  <c r="N92" s="1"/>
  <c r="N110" s="1"/>
  <c r="N75"/>
  <c r="N93" s="1"/>
  <c r="N111" s="1"/>
  <c r="N76"/>
  <c r="N94" s="1"/>
  <c r="N112" s="1"/>
  <c r="N77"/>
  <c r="N95" s="1"/>
  <c r="N113" s="1"/>
  <c r="N78"/>
  <c r="N96" s="1"/>
  <c r="N114" s="1"/>
  <c r="N79"/>
  <c r="N97" s="1"/>
  <c r="N115" s="1"/>
  <c r="N80"/>
  <c r="N98" s="1"/>
  <c r="N116" s="1"/>
  <c r="N81"/>
  <c r="N99" s="1"/>
  <c r="N117" s="1"/>
  <c r="N82"/>
  <c r="N100" s="1"/>
  <c r="N118" s="1"/>
  <c r="N65"/>
  <c r="N83" s="1"/>
  <c r="N101" s="1"/>
  <c r="M118"/>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66"/>
  <c r="M67"/>
  <c r="M65"/>
  <c r="U29"/>
  <c r="U30"/>
  <c r="U31"/>
  <c r="U32"/>
  <c r="U33"/>
  <c r="U34"/>
  <c r="U35"/>
  <c r="U36"/>
  <c r="U37"/>
  <c r="U38"/>
  <c r="U39"/>
  <c r="U40"/>
  <c r="U41"/>
  <c r="U42"/>
  <c r="U43"/>
  <c r="U44"/>
  <c r="U45"/>
  <c r="U46"/>
  <c r="U47"/>
  <c r="U48"/>
  <c r="U49"/>
  <c r="U50"/>
  <c r="U51"/>
  <c r="U52"/>
  <c r="U53"/>
  <c r="U54"/>
  <c r="U55"/>
  <c r="U56"/>
  <c r="U57"/>
  <c r="U58"/>
  <c r="U59"/>
  <c r="U60"/>
  <c r="U61"/>
  <c r="U62"/>
  <c r="U63"/>
  <c r="U64"/>
  <c r="U83"/>
  <c r="U84"/>
  <c r="U85"/>
  <c r="U86"/>
  <c r="U87"/>
  <c r="U88"/>
  <c r="U89"/>
  <c r="U90"/>
  <c r="U91"/>
  <c r="U92"/>
  <c r="U93"/>
  <c r="U94"/>
  <c r="U95"/>
  <c r="U96"/>
  <c r="U97"/>
  <c r="U98"/>
  <c r="U99"/>
  <c r="U100"/>
  <c r="U101"/>
  <c r="U102"/>
  <c r="U103"/>
  <c r="U104"/>
  <c r="U105"/>
  <c r="U106"/>
  <c r="U107"/>
  <c r="U108"/>
  <c r="U109"/>
  <c r="U110"/>
  <c r="U111"/>
  <c r="U112"/>
  <c r="U113"/>
  <c r="U114"/>
  <c r="U115"/>
  <c r="U116"/>
  <c r="U117"/>
  <c r="U118"/>
  <c r="G84" i="24" l="1"/>
  <c r="H11"/>
  <c r="H34" s="1"/>
  <c r="G121"/>
  <c r="G35"/>
  <c r="G46" s="1"/>
  <c r="G70" s="1"/>
  <c r="G59"/>
  <c r="G58"/>
  <c r="G83" s="1"/>
  <c r="G120" s="1"/>
  <c r="G12"/>
  <c r="E74"/>
  <c r="E72"/>
  <c r="G165"/>
  <c r="H46" i="12"/>
  <c r="D42" i="13"/>
  <c r="G172" i="24"/>
  <c r="G169"/>
  <c r="G168"/>
  <c r="G171"/>
  <c r="H179"/>
  <c r="H181"/>
  <c r="G166"/>
  <c r="G180"/>
  <c r="G167"/>
  <c r="H177"/>
  <c r="G175"/>
  <c r="G178"/>
  <c r="G174"/>
  <c r="G170"/>
  <c r="G173"/>
  <c r="G182"/>
  <c r="G176"/>
  <c r="F183"/>
  <c r="F44"/>
  <c r="F68" s="1"/>
  <c r="F49"/>
  <c r="F73" s="1"/>
  <c r="F45"/>
  <c r="F69" s="1"/>
  <c r="F50"/>
  <c r="F74" s="1"/>
  <c r="F39"/>
  <c r="F63" s="1"/>
  <c r="F48"/>
  <c r="F72" s="1"/>
  <c r="F52"/>
  <c r="F76" s="1"/>
  <c r="F46"/>
  <c r="F70" s="1"/>
  <c r="F43"/>
  <c r="F67" s="1"/>
  <c r="F37"/>
  <c r="F61" s="1"/>
  <c r="F47"/>
  <c r="F71" s="1"/>
  <c r="F36"/>
  <c r="F60" s="1"/>
  <c r="F51"/>
  <c r="F75" s="1"/>
  <c r="F41"/>
  <c r="F65" s="1"/>
  <c r="F53"/>
  <c r="F77" s="1"/>
  <c r="F42"/>
  <c r="F66" s="1"/>
  <c r="F38"/>
  <c r="F62" s="1"/>
  <c r="E60"/>
  <c r="E70"/>
  <c r="E63"/>
  <c r="E65"/>
  <c r="E76"/>
  <c r="E62"/>
  <c r="E68"/>
  <c r="E69"/>
  <c r="E67"/>
  <c r="E61"/>
  <c r="E75"/>
  <c r="E71"/>
  <c r="E77"/>
  <c r="E73"/>
  <c r="E54"/>
  <c r="E85"/>
  <c r="E122" s="1"/>
  <c r="B53" i="5"/>
  <c r="B55"/>
  <c r="B56"/>
  <c r="B57"/>
  <c r="B58"/>
  <c r="B59"/>
  <c r="B60"/>
  <c r="B61"/>
  <c r="B63"/>
  <c r="B42"/>
  <c r="B43"/>
  <c r="B44"/>
  <c r="B45"/>
  <c r="B46"/>
  <c r="B47"/>
  <c r="B48"/>
  <c r="B49"/>
  <c r="B50"/>
  <c r="O11"/>
  <c r="P11" s="1"/>
  <c r="O12"/>
  <c r="P12" s="1"/>
  <c r="O13"/>
  <c r="O14"/>
  <c r="O15"/>
  <c r="O16"/>
  <c r="P16" s="1"/>
  <c r="O17"/>
  <c r="O18"/>
  <c r="O19"/>
  <c r="P19" s="1"/>
  <c r="O20"/>
  <c r="P20" s="1"/>
  <c r="O10"/>
  <c r="P10" s="1"/>
  <c r="B41" s="1"/>
  <c r="B52" s="1"/>
  <c r="P15"/>
  <c r="P14"/>
  <c r="P18"/>
  <c r="P17"/>
  <c r="P13"/>
  <c r="G37" i="24" l="1"/>
  <c r="G61" s="1"/>
  <c r="G50"/>
  <c r="G74" s="1"/>
  <c r="G49"/>
  <c r="G73" s="1"/>
  <c r="G41"/>
  <c r="G65" s="1"/>
  <c r="I11"/>
  <c r="I34" s="1"/>
  <c r="G42"/>
  <c r="G66" s="1"/>
  <c r="G53"/>
  <c r="G77" s="1"/>
  <c r="H35"/>
  <c r="H42" s="1"/>
  <c r="H66" s="1"/>
  <c r="G40"/>
  <c r="G64" s="1"/>
  <c r="G45"/>
  <c r="G69" s="1"/>
  <c r="H59"/>
  <c r="H84"/>
  <c r="G44"/>
  <c r="G68" s="1"/>
  <c r="G52"/>
  <c r="G76" s="1"/>
  <c r="G51"/>
  <c r="G75" s="1"/>
  <c r="G47"/>
  <c r="G71" s="1"/>
  <c r="G48"/>
  <c r="G72" s="1"/>
  <c r="H121"/>
  <c r="H12"/>
  <c r="G38"/>
  <c r="G62" s="1"/>
  <c r="G36"/>
  <c r="G60" s="1"/>
  <c r="G39"/>
  <c r="G63" s="1"/>
  <c r="G43"/>
  <c r="G67" s="1"/>
  <c r="H58"/>
  <c r="H83" s="1"/>
  <c r="H120" s="1"/>
  <c r="H165"/>
  <c r="H47" i="12"/>
  <c r="D43" i="13"/>
  <c r="H176" i="24"/>
  <c r="H173"/>
  <c r="H174"/>
  <c r="H175"/>
  <c r="H167"/>
  <c r="H166"/>
  <c r="I179"/>
  <c r="H168"/>
  <c r="H172"/>
  <c r="H182"/>
  <c r="H170"/>
  <c r="H178"/>
  <c r="I177"/>
  <c r="H180"/>
  <c r="I181"/>
  <c r="H171"/>
  <c r="H169"/>
  <c r="G183"/>
  <c r="F85"/>
  <c r="F122" s="1"/>
  <c r="F86"/>
  <c r="E86"/>
  <c r="E123" s="1"/>
  <c r="G85"/>
  <c r="G122" s="1"/>
  <c r="F87"/>
  <c r="E87"/>
  <c r="F54"/>
  <c r="F90"/>
  <c r="H43"/>
  <c r="H67" s="1"/>
  <c r="E88"/>
  <c r="F89"/>
  <c r="H53"/>
  <c r="H77" s="1"/>
  <c r="E92"/>
  <c r="H48"/>
  <c r="H72" s="1"/>
  <c r="E89"/>
  <c r="F88"/>
  <c r="F91"/>
  <c r="E96"/>
  <c r="F114"/>
  <c r="F92"/>
  <c r="F94"/>
  <c r="F95"/>
  <c r="F100"/>
  <c r="F107"/>
  <c r="F104"/>
  <c r="F103"/>
  <c r="F116"/>
  <c r="F101"/>
  <c r="F105"/>
  <c r="F106"/>
  <c r="F102"/>
  <c r="E116"/>
  <c r="F115"/>
  <c r="E94"/>
  <c r="E91"/>
  <c r="E109"/>
  <c r="E108"/>
  <c r="E115"/>
  <c r="E101"/>
  <c r="E103"/>
  <c r="E107"/>
  <c r="E113"/>
  <c r="E99"/>
  <c r="F110"/>
  <c r="F109"/>
  <c r="F96"/>
  <c r="E97"/>
  <c r="F113"/>
  <c r="E110"/>
  <c r="F93"/>
  <c r="E114"/>
  <c r="F112"/>
  <c r="E104"/>
  <c r="F111"/>
  <c r="E93"/>
  <c r="E111"/>
  <c r="F97"/>
  <c r="E102"/>
  <c r="E98"/>
  <c r="E95"/>
  <c r="E106"/>
  <c r="F108"/>
  <c r="F98"/>
  <c r="E105"/>
  <c r="E100"/>
  <c r="E112"/>
  <c r="F99"/>
  <c r="E90"/>
  <c r="Y121" i="11"/>
  <c r="Y120"/>
  <c r="D120"/>
  <c r="C57"/>
  <c r="C53"/>
  <c r="C77" s="1"/>
  <c r="C52"/>
  <c r="C76" s="1"/>
  <c r="C51"/>
  <c r="C75" s="1"/>
  <c r="C50"/>
  <c r="C74" s="1"/>
  <c r="C49"/>
  <c r="C73" s="1"/>
  <c r="C48"/>
  <c r="C72" s="1"/>
  <c r="C47"/>
  <c r="C71" s="1"/>
  <c r="C46"/>
  <c r="C70" s="1"/>
  <c r="C45"/>
  <c r="C69" s="1"/>
  <c r="C44"/>
  <c r="C68" s="1"/>
  <c r="C43"/>
  <c r="C67" s="1"/>
  <c r="C42"/>
  <c r="C66" s="1"/>
  <c r="C41"/>
  <c r="C65" s="1"/>
  <c r="C40"/>
  <c r="C64" s="1"/>
  <c r="C39"/>
  <c r="C63" s="1"/>
  <c r="C38"/>
  <c r="C62" s="1"/>
  <c r="C37"/>
  <c r="C61" s="1"/>
  <c r="C36"/>
  <c r="C35"/>
  <c r="H45" i="24" l="1"/>
  <c r="H69" s="1"/>
  <c r="H47"/>
  <c r="H71" s="1"/>
  <c r="H50"/>
  <c r="H74" s="1"/>
  <c r="H37"/>
  <c r="H61" s="1"/>
  <c r="H52"/>
  <c r="H76" s="1"/>
  <c r="H36"/>
  <c r="H60" s="1"/>
  <c r="H51"/>
  <c r="H75" s="1"/>
  <c r="H44"/>
  <c r="H68" s="1"/>
  <c r="H41"/>
  <c r="H65" s="1"/>
  <c r="H49"/>
  <c r="H73" s="1"/>
  <c r="H40"/>
  <c r="H64" s="1"/>
  <c r="H39"/>
  <c r="H63" s="1"/>
  <c r="I59"/>
  <c r="H46"/>
  <c r="H70" s="1"/>
  <c r="H38"/>
  <c r="H62" s="1"/>
  <c r="I84"/>
  <c r="G89"/>
  <c r="I35"/>
  <c r="I47" s="1"/>
  <c r="I71" s="1"/>
  <c r="I12"/>
  <c r="J11"/>
  <c r="J34" s="1"/>
  <c r="G87"/>
  <c r="I58"/>
  <c r="I83" s="1"/>
  <c r="I120" s="1"/>
  <c r="I121"/>
  <c r="G86"/>
  <c r="G123" s="1"/>
  <c r="G90"/>
  <c r="G127" s="1"/>
  <c r="G91"/>
  <c r="G88"/>
  <c r="G93"/>
  <c r="G92"/>
  <c r="G54"/>
  <c r="F128"/>
  <c r="I165"/>
  <c r="H183"/>
  <c r="H48" i="12"/>
  <c r="D44" i="13"/>
  <c r="I171" i="24"/>
  <c r="I180"/>
  <c r="I178"/>
  <c r="I182"/>
  <c r="I168"/>
  <c r="I166"/>
  <c r="I175"/>
  <c r="I173"/>
  <c r="I169"/>
  <c r="J181"/>
  <c r="J177"/>
  <c r="I170"/>
  <c r="I172"/>
  <c r="J179"/>
  <c r="I167"/>
  <c r="I174"/>
  <c r="I176"/>
  <c r="F125"/>
  <c r="F123"/>
  <c r="E126"/>
  <c r="F124"/>
  <c r="E124"/>
  <c r="H85"/>
  <c r="H122" s="1"/>
  <c r="E125"/>
  <c r="E142"/>
  <c r="F127"/>
  <c r="E134"/>
  <c r="F126"/>
  <c r="E127"/>
  <c r="F129"/>
  <c r="E130"/>
  <c r="C60" i="11"/>
  <c r="F136" i="24"/>
  <c r="F152"/>
  <c r="F134"/>
  <c r="E137"/>
  <c r="F141"/>
  <c r="F148"/>
  <c r="E151"/>
  <c r="F133"/>
  <c r="E136"/>
  <c r="F142"/>
  <c r="E132"/>
  <c r="E148"/>
  <c r="E140"/>
  <c r="E146"/>
  <c r="F144"/>
  <c r="F132"/>
  <c r="E141"/>
  <c r="F130"/>
  <c r="F146"/>
  <c r="E138"/>
  <c r="E128"/>
  <c r="F139"/>
  <c r="F137"/>
  <c r="F118"/>
  <c r="F153"/>
  <c r="E118"/>
  <c r="E153"/>
  <c r="E133"/>
  <c r="F138"/>
  <c r="E149"/>
  <c r="E139"/>
  <c r="F149"/>
  <c r="F150"/>
  <c r="F147"/>
  <c r="E144"/>
  <c r="E145"/>
  <c r="F131"/>
  <c r="E129"/>
  <c r="E143"/>
  <c r="F145"/>
  <c r="F135"/>
  <c r="E135"/>
  <c r="E147"/>
  <c r="E150"/>
  <c r="E152"/>
  <c r="E131"/>
  <c r="F143"/>
  <c r="F140"/>
  <c r="F151"/>
  <c r="G98"/>
  <c r="G96"/>
  <c r="G110"/>
  <c r="G97"/>
  <c r="G106"/>
  <c r="G95"/>
  <c r="G99"/>
  <c r="G94"/>
  <c r="G102"/>
  <c r="G111"/>
  <c r="G100"/>
  <c r="G109"/>
  <c r="G108"/>
  <c r="G112"/>
  <c r="G101"/>
  <c r="G105"/>
  <c r="G115"/>
  <c r="D63" i="11"/>
  <c r="J6" i="25" s="1"/>
  <c r="D67" i="11"/>
  <c r="J10" i="25" s="1"/>
  <c r="D71" i="11"/>
  <c r="J14" i="25" s="1"/>
  <c r="D75" i="11"/>
  <c r="J18" i="25" s="1"/>
  <c r="D62" i="11"/>
  <c r="J5" i="25" s="1"/>
  <c r="D66" i="11"/>
  <c r="J9" i="25" s="1"/>
  <c r="D70" i="11"/>
  <c r="J13" i="25" s="1"/>
  <c r="D74" i="11"/>
  <c r="J17" i="25" s="1"/>
  <c r="D61" i="11"/>
  <c r="J4" i="25" s="1"/>
  <c r="D65" i="11"/>
  <c r="J8" i="25" s="1"/>
  <c r="D69" i="11"/>
  <c r="J12" i="25" s="1"/>
  <c r="D73" i="11"/>
  <c r="J16" i="25" s="1"/>
  <c r="D77" i="11"/>
  <c r="J20" i="25" s="1"/>
  <c r="D64" i="11"/>
  <c r="J7" i="25" s="1"/>
  <c r="D68" i="11"/>
  <c r="J11" i="25" s="1"/>
  <c r="D72" i="11"/>
  <c r="J15" i="25" s="1"/>
  <c r="D76" i="11"/>
  <c r="J19" i="25" s="1"/>
  <c r="G113" i="24"/>
  <c r="G104"/>
  <c r="G116"/>
  <c r="G107"/>
  <c r="G114"/>
  <c r="G103"/>
  <c r="J10" i="12"/>
  <c r="K10"/>
  <c r="I10"/>
  <c r="H86" i="24" l="1"/>
  <c r="H94"/>
  <c r="H111"/>
  <c r="H105"/>
  <c r="H54"/>
  <c r="H93"/>
  <c r="H131" s="1"/>
  <c r="H112"/>
  <c r="H149" s="1"/>
  <c r="I49"/>
  <c r="I73" s="1"/>
  <c r="J58"/>
  <c r="J83" s="1"/>
  <c r="J120" s="1"/>
  <c r="J84"/>
  <c r="G124"/>
  <c r="H114"/>
  <c r="J12"/>
  <c r="D60" i="11"/>
  <c r="B60" s="1"/>
  <c r="I3" i="25"/>
  <c r="I45" i="24"/>
  <c r="I69" s="1"/>
  <c r="I50"/>
  <c r="I74" s="1"/>
  <c r="H104"/>
  <c r="H96"/>
  <c r="I39"/>
  <c r="I63" s="1"/>
  <c r="H87"/>
  <c r="H124" s="1"/>
  <c r="H103"/>
  <c r="H95"/>
  <c r="I44"/>
  <c r="I68" s="1"/>
  <c r="H100"/>
  <c r="H88"/>
  <c r="H90"/>
  <c r="H108"/>
  <c r="H110"/>
  <c r="H109"/>
  <c r="H115"/>
  <c r="H97"/>
  <c r="I46"/>
  <c r="I70" s="1"/>
  <c r="I41"/>
  <c r="I65" s="1"/>
  <c r="I40"/>
  <c r="I64" s="1"/>
  <c r="I51"/>
  <c r="I75" s="1"/>
  <c r="H91"/>
  <c r="H113"/>
  <c r="H98"/>
  <c r="I42"/>
  <c r="I66" s="1"/>
  <c r="I38"/>
  <c r="I62" s="1"/>
  <c r="I37"/>
  <c r="I61" s="1"/>
  <c r="I36"/>
  <c r="I60" s="1"/>
  <c r="I52"/>
  <c r="I76" s="1"/>
  <c r="H89"/>
  <c r="H107"/>
  <c r="H116"/>
  <c r="H153" s="1"/>
  <c r="H106"/>
  <c r="H143" s="1"/>
  <c r="H102"/>
  <c r="H99"/>
  <c r="H101"/>
  <c r="I53"/>
  <c r="I77" s="1"/>
  <c r="I48"/>
  <c r="I72" s="1"/>
  <c r="I43"/>
  <c r="I67" s="1"/>
  <c r="H92"/>
  <c r="G130"/>
  <c r="G129"/>
  <c r="G128"/>
  <c r="G131"/>
  <c r="J59"/>
  <c r="J121"/>
  <c r="K11"/>
  <c r="K34" s="1"/>
  <c r="J35"/>
  <c r="J49" s="1"/>
  <c r="J73" s="1"/>
  <c r="G125"/>
  <c r="G126"/>
  <c r="AL7" i="25"/>
  <c r="AP7"/>
  <c r="BB7"/>
  <c r="AK7"/>
  <c r="BA7"/>
  <c r="AH7"/>
  <c r="AT7"/>
  <c r="AS7"/>
  <c r="AU7"/>
  <c r="AX7"/>
  <c r="AO7"/>
  <c r="AJ7"/>
  <c r="BD7"/>
  <c r="AQ7"/>
  <c r="AI7"/>
  <c r="AY7"/>
  <c r="AG7"/>
  <c r="AN7"/>
  <c r="AW7"/>
  <c r="AF7"/>
  <c r="AZ7"/>
  <c r="AM7"/>
  <c r="BC7"/>
  <c r="AV7"/>
  <c r="F7"/>
  <c r="F8"/>
  <c r="AV8"/>
  <c r="BD8"/>
  <c r="AZ8"/>
  <c r="AW8"/>
  <c r="AF8"/>
  <c r="AO8"/>
  <c r="AY8"/>
  <c r="AH8"/>
  <c r="BA8"/>
  <c r="AJ8"/>
  <c r="AT8"/>
  <c r="AI8"/>
  <c r="BC8"/>
  <c r="AL8"/>
  <c r="AN8"/>
  <c r="AX8"/>
  <c r="AG8"/>
  <c r="AM8"/>
  <c r="AP8"/>
  <c r="AS8"/>
  <c r="BB8"/>
  <c r="AK8"/>
  <c r="AQ8"/>
  <c r="AU8"/>
  <c r="AK9"/>
  <c r="AL9"/>
  <c r="AW9"/>
  <c r="AH9"/>
  <c r="AT9"/>
  <c r="AG9"/>
  <c r="AP9"/>
  <c r="BB9"/>
  <c r="AO9"/>
  <c r="AX9"/>
  <c r="AN9"/>
  <c r="AU9"/>
  <c r="AS9"/>
  <c r="AJ9"/>
  <c r="BD9"/>
  <c r="AQ9"/>
  <c r="AI9"/>
  <c r="F9"/>
  <c r="BA9"/>
  <c r="AF9"/>
  <c r="AZ9"/>
  <c r="AM9"/>
  <c r="BC9"/>
  <c r="AV9"/>
  <c r="AY9"/>
  <c r="F10"/>
  <c r="AM10"/>
  <c r="BD10"/>
  <c r="AI10"/>
  <c r="AZ10"/>
  <c r="AV10"/>
  <c r="AQ10"/>
  <c r="BB10"/>
  <c r="AK10"/>
  <c r="AS10"/>
  <c r="AP10"/>
  <c r="AO10"/>
  <c r="BA10"/>
  <c r="AF10"/>
  <c r="AU10"/>
  <c r="AW10"/>
  <c r="AT10"/>
  <c r="AJ10"/>
  <c r="AY10"/>
  <c r="AH10"/>
  <c r="AX10"/>
  <c r="AG10"/>
  <c r="AN10"/>
  <c r="BC10"/>
  <c r="AL10"/>
  <c r="AO11"/>
  <c r="AP11"/>
  <c r="AF11"/>
  <c r="AZ11"/>
  <c r="AM11"/>
  <c r="BC11"/>
  <c r="AK11"/>
  <c r="AH11"/>
  <c r="AV11"/>
  <c r="AI11"/>
  <c r="AY11"/>
  <c r="BB11"/>
  <c r="AG11"/>
  <c r="AX11"/>
  <c r="AN11"/>
  <c r="F11"/>
  <c r="AU11"/>
  <c r="AT11"/>
  <c r="BA11"/>
  <c r="AW11"/>
  <c r="AJ11"/>
  <c r="BD11"/>
  <c r="AQ11"/>
  <c r="AL11"/>
  <c r="AS11"/>
  <c r="F12"/>
  <c r="AH12"/>
  <c r="AL12"/>
  <c r="AP12"/>
  <c r="AU12"/>
  <c r="AY12"/>
  <c r="BC12"/>
  <c r="AG12"/>
  <c r="AK12"/>
  <c r="AO12"/>
  <c r="AT12"/>
  <c r="AX12"/>
  <c r="BB12"/>
  <c r="AF12"/>
  <c r="AJ12"/>
  <c r="AN12"/>
  <c r="AS12"/>
  <c r="AW12"/>
  <c r="BA12"/>
  <c r="AI12"/>
  <c r="AM12"/>
  <c r="AQ12"/>
  <c r="AV12"/>
  <c r="AZ12"/>
  <c r="BD12"/>
  <c r="AK13"/>
  <c r="AP13"/>
  <c r="BA13"/>
  <c r="AJ13"/>
  <c r="BD13"/>
  <c r="AQ13"/>
  <c r="AG13"/>
  <c r="AT13"/>
  <c r="AF13"/>
  <c r="AZ13"/>
  <c r="AM13"/>
  <c r="BC13"/>
  <c r="AL13"/>
  <c r="AH13"/>
  <c r="AV13"/>
  <c r="AI13"/>
  <c r="AY13"/>
  <c r="AW13"/>
  <c r="AS13"/>
  <c r="AX13"/>
  <c r="AN13"/>
  <c r="F13"/>
  <c r="AU13"/>
  <c r="AO13"/>
  <c r="BB13"/>
  <c r="F14"/>
  <c r="AJ14"/>
  <c r="AO14"/>
  <c r="AU14"/>
  <c r="AY14"/>
  <c r="BC14"/>
  <c r="AI14"/>
  <c r="AN14"/>
  <c r="AT14"/>
  <c r="AX14"/>
  <c r="BB14"/>
  <c r="AG14"/>
  <c r="AM14"/>
  <c r="AS14"/>
  <c r="AW14"/>
  <c r="BA14"/>
  <c r="AF14"/>
  <c r="AK14"/>
  <c r="AQ14"/>
  <c r="AV14"/>
  <c r="AZ14"/>
  <c r="BD14"/>
  <c r="AH14"/>
  <c r="AL14"/>
  <c r="AP14"/>
  <c r="AH15"/>
  <c r="AT15"/>
  <c r="AP15"/>
  <c r="BB15"/>
  <c r="AL15"/>
  <c r="BA15"/>
  <c r="AK15"/>
  <c r="AX15"/>
  <c r="AV15"/>
  <c r="AY15"/>
  <c r="AS15"/>
  <c r="AW15"/>
  <c r="AN15"/>
  <c r="F15"/>
  <c r="AU15"/>
  <c r="AG15"/>
  <c r="AZ15"/>
  <c r="BC15"/>
  <c r="AJ15"/>
  <c r="BD15"/>
  <c r="AQ15"/>
  <c r="AF15"/>
  <c r="AM15"/>
  <c r="AO15"/>
  <c r="AI15"/>
  <c r="AF16"/>
  <c r="AJ16"/>
  <c r="AN16"/>
  <c r="AS16"/>
  <c r="AW16"/>
  <c r="BA16"/>
  <c r="AI16"/>
  <c r="AM16"/>
  <c r="AQ16"/>
  <c r="AV16"/>
  <c r="AZ16"/>
  <c r="BD16"/>
  <c r="F16"/>
  <c r="AH16"/>
  <c r="AL16"/>
  <c r="AP16"/>
  <c r="AU16"/>
  <c r="AY16"/>
  <c r="BC16"/>
  <c r="AG16"/>
  <c r="AK16"/>
  <c r="AO16"/>
  <c r="AT16"/>
  <c r="AX16"/>
  <c r="BB16"/>
  <c r="AG17"/>
  <c r="AK17"/>
  <c r="AT17"/>
  <c r="AH17"/>
  <c r="AS17"/>
  <c r="BB17"/>
  <c r="AP17"/>
  <c r="BA17"/>
  <c r="AL17"/>
  <c r="AX17"/>
  <c r="AV17"/>
  <c r="AI17"/>
  <c r="AN17"/>
  <c r="F17"/>
  <c r="AU17"/>
  <c r="AZ17"/>
  <c r="BC17"/>
  <c r="AO17"/>
  <c r="AJ17"/>
  <c r="BD17"/>
  <c r="AQ17"/>
  <c r="AW17"/>
  <c r="AF17"/>
  <c r="AM17"/>
  <c r="AY17"/>
  <c r="AF18"/>
  <c r="AJ18"/>
  <c r="AN18"/>
  <c r="AS18"/>
  <c r="AW18"/>
  <c r="BA18"/>
  <c r="AI18"/>
  <c r="AM18"/>
  <c r="AQ18"/>
  <c r="AV18"/>
  <c r="AZ18"/>
  <c r="BD18"/>
  <c r="F18"/>
  <c r="AH18"/>
  <c r="AL18"/>
  <c r="AP18"/>
  <c r="AU18"/>
  <c r="AY18"/>
  <c r="BC18"/>
  <c r="AG18"/>
  <c r="AK18"/>
  <c r="AO18"/>
  <c r="AT18"/>
  <c r="AX18"/>
  <c r="BB18"/>
  <c r="AP19"/>
  <c r="AV19"/>
  <c r="AI19"/>
  <c r="AY19"/>
  <c r="BB19"/>
  <c r="AX19"/>
  <c r="AN19"/>
  <c r="F19"/>
  <c r="AU19"/>
  <c r="AT19"/>
  <c r="BA19"/>
  <c r="AG19"/>
  <c r="AJ19"/>
  <c r="BD19"/>
  <c r="AQ19"/>
  <c r="AL19"/>
  <c r="AS19"/>
  <c r="AW19"/>
  <c r="AO19"/>
  <c r="AF19"/>
  <c r="AZ19"/>
  <c r="AM19"/>
  <c r="BC19"/>
  <c r="AK19"/>
  <c r="AH19"/>
  <c r="AG20"/>
  <c r="AK20"/>
  <c r="AO20"/>
  <c r="AT20"/>
  <c r="AX20"/>
  <c r="BB20"/>
  <c r="AF20"/>
  <c r="AJ20"/>
  <c r="AN20"/>
  <c r="AS20"/>
  <c r="AW20"/>
  <c r="BA20"/>
  <c r="AI20"/>
  <c r="AM20"/>
  <c r="AQ20"/>
  <c r="AV20"/>
  <c r="AZ20"/>
  <c r="BD20"/>
  <c r="F20"/>
  <c r="AH20"/>
  <c r="AL20"/>
  <c r="AP20"/>
  <c r="AU20"/>
  <c r="AY20"/>
  <c r="BC20"/>
  <c r="F4"/>
  <c r="AG4"/>
  <c r="AM4"/>
  <c r="AS4"/>
  <c r="AX4"/>
  <c r="BD4"/>
  <c r="AF4"/>
  <c r="AK4"/>
  <c r="AQ4"/>
  <c r="AW4"/>
  <c r="BB4"/>
  <c r="AJ4"/>
  <c r="AO4"/>
  <c r="AV4"/>
  <c r="BA4"/>
  <c r="AI4"/>
  <c r="AN4"/>
  <c r="AT4"/>
  <c r="AZ4"/>
  <c r="AY4"/>
  <c r="AH4"/>
  <c r="BC4"/>
  <c r="AL4"/>
  <c r="AP4"/>
  <c r="AU4"/>
  <c r="AH5"/>
  <c r="AP5"/>
  <c r="AX5"/>
  <c r="AF5"/>
  <c r="AZ5"/>
  <c r="AM5"/>
  <c r="BC5"/>
  <c r="AL5"/>
  <c r="AS5"/>
  <c r="AV5"/>
  <c r="AI5"/>
  <c r="AY5"/>
  <c r="AW5"/>
  <c r="AK5"/>
  <c r="BD5"/>
  <c r="AT5"/>
  <c r="AN5"/>
  <c r="F5"/>
  <c r="AU5"/>
  <c r="AO5"/>
  <c r="BB5"/>
  <c r="AJ5"/>
  <c r="AQ5"/>
  <c r="AG5"/>
  <c r="BA5"/>
  <c r="F6"/>
  <c r="AV6"/>
  <c r="AQ6"/>
  <c r="AM6"/>
  <c r="BD6"/>
  <c r="AI6"/>
  <c r="AZ6"/>
  <c r="AN6"/>
  <c r="AO6"/>
  <c r="AP6"/>
  <c r="AS6"/>
  <c r="AT6"/>
  <c r="AU6"/>
  <c r="AW6"/>
  <c r="AF6"/>
  <c r="AX6"/>
  <c r="AG6"/>
  <c r="AY6"/>
  <c r="AH6"/>
  <c r="BA6"/>
  <c r="AJ6"/>
  <c r="BB6"/>
  <c r="AK6"/>
  <c r="BC6"/>
  <c r="AL6"/>
  <c r="J165" i="24"/>
  <c r="H49" i="12"/>
  <c r="D45" i="13"/>
  <c r="J176" i="24"/>
  <c r="J167"/>
  <c r="J172"/>
  <c r="K177"/>
  <c r="J169"/>
  <c r="J175"/>
  <c r="J168"/>
  <c r="J178"/>
  <c r="J171"/>
  <c r="J174"/>
  <c r="K179"/>
  <c r="J170"/>
  <c r="K181"/>
  <c r="J173"/>
  <c r="J166"/>
  <c r="J182"/>
  <c r="J180"/>
  <c r="I183"/>
  <c r="I85"/>
  <c r="I122" s="1"/>
  <c r="H123"/>
  <c r="G148"/>
  <c r="G144"/>
  <c r="G149"/>
  <c r="G137"/>
  <c r="G134"/>
  <c r="E155"/>
  <c r="E156" s="1"/>
  <c r="G152"/>
  <c r="G146"/>
  <c r="G143"/>
  <c r="F155"/>
  <c r="G118"/>
  <c r="G153"/>
  <c r="G150"/>
  <c r="G140"/>
  <c r="G142"/>
  <c r="G136"/>
  <c r="G147"/>
  <c r="G138"/>
  <c r="G139"/>
  <c r="G135"/>
  <c r="G151"/>
  <c r="G141"/>
  <c r="G145"/>
  <c r="G132"/>
  <c r="G133"/>
  <c r="B72" i="11"/>
  <c r="A72"/>
  <c r="A73"/>
  <c r="B73"/>
  <c r="B74"/>
  <c r="A74"/>
  <c r="B75"/>
  <c r="A75"/>
  <c r="B76"/>
  <c r="A76"/>
  <c r="A77"/>
  <c r="B77"/>
  <c r="A61"/>
  <c r="B61"/>
  <c r="B62"/>
  <c r="A62"/>
  <c r="B63"/>
  <c r="A63"/>
  <c r="B64"/>
  <c r="A64"/>
  <c r="A65"/>
  <c r="B65"/>
  <c r="B66"/>
  <c r="A66"/>
  <c r="B67"/>
  <c r="A67"/>
  <c r="B68"/>
  <c r="A68"/>
  <c r="A69"/>
  <c r="B69"/>
  <c r="B70"/>
  <c r="A70"/>
  <c r="B71"/>
  <c r="A71"/>
  <c r="G14" i="25" l="1"/>
  <c r="H12"/>
  <c r="G10"/>
  <c r="H8"/>
  <c r="G6"/>
  <c r="H4"/>
  <c r="G19"/>
  <c r="G17"/>
  <c r="G15"/>
  <c r="H132" i="24"/>
  <c r="H152"/>
  <c r="I86"/>
  <c r="I123" s="1"/>
  <c r="H125"/>
  <c r="H11" i="25"/>
  <c r="G20"/>
  <c r="H13"/>
  <c r="H7"/>
  <c r="H5"/>
  <c r="H18"/>
  <c r="A60" i="11"/>
  <c r="H9" i="25"/>
  <c r="G16"/>
  <c r="J3"/>
  <c r="AG3" s="1"/>
  <c r="H151" i="24"/>
  <c r="G13" i="25"/>
  <c r="G11"/>
  <c r="G7"/>
  <c r="G5"/>
  <c r="G18"/>
  <c r="H16"/>
  <c r="G9"/>
  <c r="H20"/>
  <c r="H14"/>
  <c r="G12"/>
  <c r="H10"/>
  <c r="G8"/>
  <c r="H6"/>
  <c r="G4"/>
  <c r="H19"/>
  <c r="H17"/>
  <c r="H15"/>
  <c r="H135" i="24"/>
  <c r="H141"/>
  <c r="K121"/>
  <c r="H133"/>
  <c r="H150"/>
  <c r="H142"/>
  <c r="H134"/>
  <c r="K59"/>
  <c r="I89"/>
  <c r="H139"/>
  <c r="H127"/>
  <c r="H128"/>
  <c r="I88"/>
  <c r="I126" s="1"/>
  <c r="H147"/>
  <c r="H137"/>
  <c r="J52"/>
  <c r="J76" s="1"/>
  <c r="H118"/>
  <c r="J41"/>
  <c r="J65" s="1"/>
  <c r="H136"/>
  <c r="H146"/>
  <c r="I99"/>
  <c r="J46"/>
  <c r="J70" s="1"/>
  <c r="H140"/>
  <c r="I110"/>
  <c r="I116"/>
  <c r="I118" s="1"/>
  <c r="H148"/>
  <c r="J39"/>
  <c r="J63" s="1"/>
  <c r="J51"/>
  <c r="J75" s="1"/>
  <c r="H144"/>
  <c r="I102"/>
  <c r="I107"/>
  <c r="H129"/>
  <c r="H138"/>
  <c r="J47"/>
  <c r="J71" s="1"/>
  <c r="J48"/>
  <c r="J72" s="1"/>
  <c r="J42"/>
  <c r="J66" s="1"/>
  <c r="I106"/>
  <c r="I103"/>
  <c r="I140" s="1"/>
  <c r="H130"/>
  <c r="J36"/>
  <c r="J60" s="1"/>
  <c r="J43"/>
  <c r="J67" s="1"/>
  <c r="J44"/>
  <c r="J68" s="1"/>
  <c r="H126"/>
  <c r="I101"/>
  <c r="I111"/>
  <c r="I104"/>
  <c r="I141" s="1"/>
  <c r="I92"/>
  <c r="I112"/>
  <c r="I96"/>
  <c r="I100"/>
  <c r="I97"/>
  <c r="I115"/>
  <c r="I93"/>
  <c r="I91"/>
  <c r="I90"/>
  <c r="K35"/>
  <c r="K48" s="1"/>
  <c r="K72" s="1"/>
  <c r="I113"/>
  <c r="I94"/>
  <c r="I87"/>
  <c r="I124" s="1"/>
  <c r="I114"/>
  <c r="I109"/>
  <c r="I98"/>
  <c r="I108"/>
  <c r="I145" s="1"/>
  <c r="I95"/>
  <c r="I105"/>
  <c r="H145"/>
  <c r="I54"/>
  <c r="J40"/>
  <c r="J64" s="1"/>
  <c r="J45"/>
  <c r="J69" s="1"/>
  <c r="J37"/>
  <c r="J61" s="1"/>
  <c r="J50"/>
  <c r="J74" s="1"/>
  <c r="K84"/>
  <c r="K58"/>
  <c r="K83" s="1"/>
  <c r="K120" s="1"/>
  <c r="J38"/>
  <c r="J62" s="1"/>
  <c r="J53"/>
  <c r="J77" s="1"/>
  <c r="K12"/>
  <c r="L11"/>
  <c r="L121" s="1"/>
  <c r="K165"/>
  <c r="L165" s="1"/>
  <c r="H50" i="12"/>
  <c r="D46" i="13"/>
  <c r="K180" i="24"/>
  <c r="K166"/>
  <c r="L181"/>
  <c r="L179"/>
  <c r="K171"/>
  <c r="K168"/>
  <c r="K169"/>
  <c r="K172"/>
  <c r="K176"/>
  <c r="K182"/>
  <c r="K173"/>
  <c r="K170"/>
  <c r="K174"/>
  <c r="K178"/>
  <c r="K175"/>
  <c r="L177"/>
  <c r="K167"/>
  <c r="J183"/>
  <c r="AM3" i="25"/>
  <c r="J85" i="24"/>
  <c r="J122" s="1"/>
  <c r="F156"/>
  <c r="G155"/>
  <c r="AQ3" i="25" l="1"/>
  <c r="AZ3"/>
  <c r="I127" i="24"/>
  <c r="I137"/>
  <c r="AN3" i="25"/>
  <c r="BA3"/>
  <c r="BC3"/>
  <c r="BB3"/>
  <c r="AX3"/>
  <c r="AT3"/>
  <c r="AH3"/>
  <c r="AP3"/>
  <c r="AW3"/>
  <c r="BD3"/>
  <c r="AY3"/>
  <c r="I142" i="24"/>
  <c r="AF3" i="25"/>
  <c r="AL3"/>
  <c r="AO3"/>
  <c r="AS3"/>
  <c r="AV3"/>
  <c r="AU3"/>
  <c r="F3"/>
  <c r="AJ3"/>
  <c r="H3"/>
  <c r="AI3"/>
  <c r="AK3"/>
  <c r="G3"/>
  <c r="I132" i="24"/>
  <c r="I135"/>
  <c r="I129"/>
  <c r="I130"/>
  <c r="I134"/>
  <c r="I144"/>
  <c r="J115"/>
  <c r="I139"/>
  <c r="J101"/>
  <c r="I125"/>
  <c r="I136"/>
  <c r="J91"/>
  <c r="I143"/>
  <c r="J93"/>
  <c r="K43"/>
  <c r="K67" s="1"/>
  <c r="J92"/>
  <c r="J129" s="1"/>
  <c r="L58"/>
  <c r="L83" s="1"/>
  <c r="L120" s="1"/>
  <c r="L59"/>
  <c r="I151"/>
  <c r="I152"/>
  <c r="I150"/>
  <c r="J88"/>
  <c r="H155"/>
  <c r="J86"/>
  <c r="J123" s="1"/>
  <c r="I138"/>
  <c r="L12"/>
  <c r="I147"/>
  <c r="I148"/>
  <c r="I149"/>
  <c r="K51"/>
  <c r="K75" s="1"/>
  <c r="I146"/>
  <c r="K41"/>
  <c r="K65" s="1"/>
  <c r="M11"/>
  <c r="M34" s="1"/>
  <c r="I128"/>
  <c r="J109"/>
  <c r="I153"/>
  <c r="K53"/>
  <c r="K77" s="1"/>
  <c r="K45"/>
  <c r="K69" s="1"/>
  <c r="K37"/>
  <c r="K61" s="1"/>
  <c r="K40"/>
  <c r="K64" s="1"/>
  <c r="J102"/>
  <c r="J103"/>
  <c r="I133"/>
  <c r="I131"/>
  <c r="K47"/>
  <c r="K71" s="1"/>
  <c r="K39"/>
  <c r="K63" s="1"/>
  <c r="K44"/>
  <c r="K68" s="1"/>
  <c r="L84"/>
  <c r="K49"/>
  <c r="K73" s="1"/>
  <c r="J113"/>
  <c r="J116"/>
  <c r="J118" s="1"/>
  <c r="J99"/>
  <c r="K52"/>
  <c r="K76" s="1"/>
  <c r="K42"/>
  <c r="K66" s="1"/>
  <c r="K50"/>
  <c r="K74" s="1"/>
  <c r="K36"/>
  <c r="K60" s="1"/>
  <c r="K46"/>
  <c r="K70" s="1"/>
  <c r="K38"/>
  <c r="K62" s="1"/>
  <c r="J89"/>
  <c r="J114"/>
  <c r="J100"/>
  <c r="J110"/>
  <c r="J97"/>
  <c r="J108"/>
  <c r="J94"/>
  <c r="J111"/>
  <c r="J95"/>
  <c r="J104"/>
  <c r="J90"/>
  <c r="L34"/>
  <c r="L35"/>
  <c r="J112"/>
  <c r="J105"/>
  <c r="J98"/>
  <c r="J106"/>
  <c r="J96"/>
  <c r="J107"/>
  <c r="J87"/>
  <c r="J54"/>
  <c r="H51" i="12"/>
  <c r="D47" i="13"/>
  <c r="L167" i="24"/>
  <c r="L175"/>
  <c r="L174"/>
  <c r="L173"/>
  <c r="L176"/>
  <c r="L169"/>
  <c r="L171"/>
  <c r="M181"/>
  <c r="L180"/>
  <c r="M177"/>
  <c r="L178"/>
  <c r="L170"/>
  <c r="L182"/>
  <c r="L172"/>
  <c r="L168"/>
  <c r="M179"/>
  <c r="L166"/>
  <c r="K183"/>
  <c r="M165"/>
  <c r="M58"/>
  <c r="M83" s="1"/>
  <c r="M120" s="1"/>
  <c r="K85"/>
  <c r="K122" s="1"/>
  <c r="G156"/>
  <c r="J148" l="1"/>
  <c r="J131"/>
  <c r="J150"/>
  <c r="J141"/>
  <c r="J130"/>
  <c r="K87"/>
  <c r="I155"/>
  <c r="J138"/>
  <c r="J124"/>
  <c r="K107"/>
  <c r="J125"/>
  <c r="K94"/>
  <c r="J139"/>
  <c r="M121"/>
  <c r="N11"/>
  <c r="N34" s="1"/>
  <c r="M35"/>
  <c r="M37" s="1"/>
  <c r="M61" s="1"/>
  <c r="M84"/>
  <c r="K111"/>
  <c r="K114"/>
  <c r="J153"/>
  <c r="J128"/>
  <c r="H156"/>
  <c r="K89"/>
  <c r="K93"/>
  <c r="K131" s="1"/>
  <c r="J144"/>
  <c r="J132"/>
  <c r="J126"/>
  <c r="K86"/>
  <c r="K123" s="1"/>
  <c r="J151"/>
  <c r="K91"/>
  <c r="J135"/>
  <c r="K99"/>
  <c r="J140"/>
  <c r="M12"/>
  <c r="M59"/>
  <c r="K98"/>
  <c r="J147"/>
  <c r="K115"/>
  <c r="J137"/>
  <c r="K103"/>
  <c r="K109"/>
  <c r="K102"/>
  <c r="K92"/>
  <c r="J133"/>
  <c r="K113"/>
  <c r="K96"/>
  <c r="K95"/>
  <c r="K101"/>
  <c r="K97"/>
  <c r="K104"/>
  <c r="K90"/>
  <c r="K127" s="1"/>
  <c r="K88"/>
  <c r="J142"/>
  <c r="K112"/>
  <c r="K149" s="1"/>
  <c r="K110"/>
  <c r="K108"/>
  <c r="J127"/>
  <c r="J146"/>
  <c r="K100"/>
  <c r="K106"/>
  <c r="K116"/>
  <c r="K105"/>
  <c r="J136"/>
  <c r="K54"/>
  <c r="J134"/>
  <c r="J145"/>
  <c r="J149"/>
  <c r="L52"/>
  <c r="L76" s="1"/>
  <c r="L36"/>
  <c r="L38"/>
  <c r="L62" s="1"/>
  <c r="L40"/>
  <c r="L64" s="1"/>
  <c r="L42"/>
  <c r="L66" s="1"/>
  <c r="L44"/>
  <c r="L68" s="1"/>
  <c r="L46"/>
  <c r="L70" s="1"/>
  <c r="L48"/>
  <c r="L72" s="1"/>
  <c r="L50"/>
  <c r="L74" s="1"/>
  <c r="L53"/>
  <c r="L77" s="1"/>
  <c r="L37"/>
  <c r="L61" s="1"/>
  <c r="L39"/>
  <c r="L63" s="1"/>
  <c r="L41"/>
  <c r="L65" s="1"/>
  <c r="L51"/>
  <c r="L75" s="1"/>
  <c r="L45"/>
  <c r="L69" s="1"/>
  <c r="L47"/>
  <c r="L71" s="1"/>
  <c r="L49"/>
  <c r="L73" s="1"/>
  <c r="L43"/>
  <c r="L67" s="1"/>
  <c r="J152"/>
  <c r="J143"/>
  <c r="M40"/>
  <c r="M64" s="1"/>
  <c r="L183"/>
  <c r="H52" i="12"/>
  <c r="D48" i="13"/>
  <c r="N179" i="24"/>
  <c r="M172"/>
  <c r="M170"/>
  <c r="N177"/>
  <c r="N181"/>
  <c r="M169"/>
  <c r="M173"/>
  <c r="M175"/>
  <c r="M166"/>
  <c r="M168"/>
  <c r="M182"/>
  <c r="M178"/>
  <c r="M180"/>
  <c r="M171"/>
  <c r="M176"/>
  <c r="M174"/>
  <c r="M167"/>
  <c r="N165"/>
  <c r="L85"/>
  <c r="L122" s="1"/>
  <c r="M51" l="1"/>
  <c r="M75" s="1"/>
  <c r="N58"/>
  <c r="N83" s="1"/>
  <c r="N120" s="1"/>
  <c r="N12"/>
  <c r="N35"/>
  <c r="N39" s="1"/>
  <c r="N63" s="1"/>
  <c r="I156"/>
  <c r="N121"/>
  <c r="M39"/>
  <c r="M63" s="1"/>
  <c r="M38"/>
  <c r="M62" s="1"/>
  <c r="M50"/>
  <c r="M74" s="1"/>
  <c r="M86" s="1"/>
  <c r="M41"/>
  <c r="M65" s="1"/>
  <c r="M46"/>
  <c r="M70" s="1"/>
  <c r="M53"/>
  <c r="M77" s="1"/>
  <c r="M36"/>
  <c r="M60" s="1"/>
  <c r="M48"/>
  <c r="M72" s="1"/>
  <c r="M45"/>
  <c r="M69" s="1"/>
  <c r="M47"/>
  <c r="M71" s="1"/>
  <c r="K137"/>
  <c r="K147"/>
  <c r="K130"/>
  <c r="M44"/>
  <c r="M68" s="1"/>
  <c r="M42"/>
  <c r="M66" s="1"/>
  <c r="M49"/>
  <c r="M73" s="1"/>
  <c r="M43"/>
  <c r="M67" s="1"/>
  <c r="M52"/>
  <c r="M76" s="1"/>
  <c r="K124"/>
  <c r="K142"/>
  <c r="K145"/>
  <c r="K152"/>
  <c r="K136"/>
  <c r="O11"/>
  <c r="O34" s="1"/>
  <c r="N84"/>
  <c r="N59"/>
  <c r="K148"/>
  <c r="K126"/>
  <c r="K153"/>
  <c r="K128"/>
  <c r="K133"/>
  <c r="K129"/>
  <c r="L86"/>
  <c r="L123" s="1"/>
  <c r="K143"/>
  <c r="K132"/>
  <c r="K138"/>
  <c r="K134"/>
  <c r="K150"/>
  <c r="K141"/>
  <c r="K118"/>
  <c r="K146"/>
  <c r="K151"/>
  <c r="K125"/>
  <c r="K139"/>
  <c r="K140"/>
  <c r="K144"/>
  <c r="K135"/>
  <c r="L87"/>
  <c r="J155"/>
  <c r="L60"/>
  <c r="L54"/>
  <c r="O84"/>
  <c r="H53" i="12"/>
  <c r="D49" i="13"/>
  <c r="N167" i="24"/>
  <c r="N176"/>
  <c r="N180"/>
  <c r="N182"/>
  <c r="N166"/>
  <c r="N173"/>
  <c r="O181"/>
  <c r="N170"/>
  <c r="O179"/>
  <c r="N174"/>
  <c r="N171"/>
  <c r="N178"/>
  <c r="N168"/>
  <c r="N175"/>
  <c r="N169"/>
  <c r="O177"/>
  <c r="N172"/>
  <c r="M183"/>
  <c r="O165"/>
  <c r="M85"/>
  <c r="M122" s="1"/>
  <c r="N37" l="1"/>
  <c r="N61" s="1"/>
  <c r="N43"/>
  <c r="N67" s="1"/>
  <c r="N40"/>
  <c r="N64" s="1"/>
  <c r="N52"/>
  <c r="N76" s="1"/>
  <c r="N47"/>
  <c r="N71" s="1"/>
  <c r="N42"/>
  <c r="N66" s="1"/>
  <c r="N44"/>
  <c r="N68" s="1"/>
  <c r="N48"/>
  <c r="N72" s="1"/>
  <c r="N41"/>
  <c r="N65" s="1"/>
  <c r="N53"/>
  <c r="N77" s="1"/>
  <c r="N51"/>
  <c r="N75" s="1"/>
  <c r="N46"/>
  <c r="N70" s="1"/>
  <c r="N50"/>
  <c r="N74" s="1"/>
  <c r="N49"/>
  <c r="N73" s="1"/>
  <c r="N38"/>
  <c r="N62" s="1"/>
  <c r="N36"/>
  <c r="N60" s="1"/>
  <c r="N45"/>
  <c r="N69" s="1"/>
  <c r="J156"/>
  <c r="M104"/>
  <c r="M116"/>
  <c r="M108"/>
  <c r="M87"/>
  <c r="M124" s="1"/>
  <c r="O35"/>
  <c r="O52" s="1"/>
  <c r="O76" s="1"/>
  <c r="M97"/>
  <c r="M89"/>
  <c r="M99"/>
  <c r="M109"/>
  <c r="M105"/>
  <c r="M91"/>
  <c r="M110"/>
  <c r="M93"/>
  <c r="M112"/>
  <c r="M107"/>
  <c r="M145" s="1"/>
  <c r="M100"/>
  <c r="M137" s="1"/>
  <c r="M115"/>
  <c r="M114"/>
  <c r="M103"/>
  <c r="M92"/>
  <c r="M90"/>
  <c r="M98"/>
  <c r="M135" s="1"/>
  <c r="M54"/>
  <c r="M101"/>
  <c r="M138" s="1"/>
  <c r="M94"/>
  <c r="M131" s="1"/>
  <c r="M96"/>
  <c r="M134" s="1"/>
  <c r="M95"/>
  <c r="M88"/>
  <c r="M125" s="1"/>
  <c r="M102"/>
  <c r="M111"/>
  <c r="M113"/>
  <c r="M106"/>
  <c r="O58"/>
  <c r="O83" s="1"/>
  <c r="O120" s="1"/>
  <c r="O121"/>
  <c r="O12"/>
  <c r="P11"/>
  <c r="P34" s="1"/>
  <c r="O59"/>
  <c r="L124"/>
  <c r="K155"/>
  <c r="L91"/>
  <c r="L108"/>
  <c r="L102"/>
  <c r="L101"/>
  <c r="L113"/>
  <c r="L90"/>
  <c r="L96"/>
  <c r="L94"/>
  <c r="L110"/>
  <c r="L115"/>
  <c r="L88"/>
  <c r="L125" s="1"/>
  <c r="L107"/>
  <c r="L109"/>
  <c r="L93"/>
  <c r="L92"/>
  <c r="L97"/>
  <c r="L99"/>
  <c r="L112"/>
  <c r="L103"/>
  <c r="L140" s="1"/>
  <c r="L106"/>
  <c r="L116"/>
  <c r="L114"/>
  <c r="L89"/>
  <c r="L126" s="1"/>
  <c r="L98"/>
  <c r="L135" s="1"/>
  <c r="L111"/>
  <c r="L148" s="1"/>
  <c r="L95"/>
  <c r="L100"/>
  <c r="L105"/>
  <c r="L104"/>
  <c r="H54" i="12"/>
  <c r="D50" i="13"/>
  <c r="O172" i="24"/>
  <c r="O169"/>
  <c r="O168"/>
  <c r="O171"/>
  <c r="P179"/>
  <c r="P181"/>
  <c r="O166"/>
  <c r="O180"/>
  <c r="O167"/>
  <c r="P177"/>
  <c r="O175"/>
  <c r="O178"/>
  <c r="O174"/>
  <c r="O170"/>
  <c r="O173"/>
  <c r="O182"/>
  <c r="O176"/>
  <c r="N183"/>
  <c r="O40"/>
  <c r="O64" s="1"/>
  <c r="P165"/>
  <c r="M123"/>
  <c r="N85"/>
  <c r="N122" s="1"/>
  <c r="M118"/>
  <c r="N102" l="1"/>
  <c r="M153"/>
  <c r="N113"/>
  <c r="O50"/>
  <c r="O74" s="1"/>
  <c r="O38"/>
  <c r="O62" s="1"/>
  <c r="M126"/>
  <c r="N103"/>
  <c r="N86"/>
  <c r="N123" s="1"/>
  <c r="N105"/>
  <c r="N89"/>
  <c r="N87"/>
  <c r="M139"/>
  <c r="M130"/>
  <c r="M146"/>
  <c r="N101"/>
  <c r="N94"/>
  <c r="N104"/>
  <c r="N141" s="1"/>
  <c r="N97"/>
  <c r="N99"/>
  <c r="N98"/>
  <c r="O46"/>
  <c r="O70" s="1"/>
  <c r="N88"/>
  <c r="N106"/>
  <c r="N114"/>
  <c r="O39"/>
  <c r="O63" s="1"/>
  <c r="N95"/>
  <c r="N132" s="1"/>
  <c r="O53"/>
  <c r="O77" s="1"/>
  <c r="O45"/>
  <c r="O69" s="1"/>
  <c r="O36"/>
  <c r="O60" s="1"/>
  <c r="O44"/>
  <c r="O68" s="1"/>
  <c r="M147"/>
  <c r="N93"/>
  <c r="N96"/>
  <c r="N112"/>
  <c r="N111"/>
  <c r="N92"/>
  <c r="N91"/>
  <c r="N54"/>
  <c r="O42"/>
  <c r="O66" s="1"/>
  <c r="O47"/>
  <c r="O71" s="1"/>
  <c r="O43"/>
  <c r="O67" s="1"/>
  <c r="O48"/>
  <c r="O72" s="1"/>
  <c r="N109"/>
  <c r="O41"/>
  <c r="O65" s="1"/>
  <c r="O51"/>
  <c r="O75" s="1"/>
  <c r="O37"/>
  <c r="O61" s="1"/>
  <c r="O49"/>
  <c r="O73" s="1"/>
  <c r="M141"/>
  <c r="N107"/>
  <c r="N116"/>
  <c r="N118" s="1"/>
  <c r="N110"/>
  <c r="N115"/>
  <c r="N108"/>
  <c r="N100"/>
  <c r="N90"/>
  <c r="Q11"/>
  <c r="Q34" s="1"/>
  <c r="K156"/>
  <c r="M129"/>
  <c r="M127"/>
  <c r="M128"/>
  <c r="M140"/>
  <c r="P12"/>
  <c r="P58"/>
  <c r="P83" s="1"/>
  <c r="P120" s="1"/>
  <c r="M144"/>
  <c r="P59"/>
  <c r="P84"/>
  <c r="M148"/>
  <c r="M151"/>
  <c r="M143"/>
  <c r="M149"/>
  <c r="M142"/>
  <c r="P35"/>
  <c r="P38" s="1"/>
  <c r="P62" s="1"/>
  <c r="P121"/>
  <c r="M150"/>
  <c r="M132"/>
  <c r="M136"/>
  <c r="M152"/>
  <c r="M133"/>
  <c r="L146"/>
  <c r="L136"/>
  <c r="L132"/>
  <c r="L134"/>
  <c r="L141"/>
  <c r="L150"/>
  <c r="L128"/>
  <c r="L130"/>
  <c r="L127"/>
  <c r="L145"/>
  <c r="L139"/>
  <c r="L147"/>
  <c r="L149"/>
  <c r="L152"/>
  <c r="L137"/>
  <c r="L129"/>
  <c r="L133"/>
  <c r="L118"/>
  <c r="L153"/>
  <c r="L151"/>
  <c r="L142"/>
  <c r="L143"/>
  <c r="L144"/>
  <c r="L131"/>
  <c r="L138"/>
  <c r="H55" i="12"/>
  <c r="D51" i="13"/>
  <c r="P176" i="24"/>
  <c r="P182"/>
  <c r="P170"/>
  <c r="P178"/>
  <c r="Q177"/>
  <c r="P180"/>
  <c r="Q181"/>
  <c r="P171"/>
  <c r="P169"/>
  <c r="P173"/>
  <c r="P174"/>
  <c r="P175"/>
  <c r="P167"/>
  <c r="P166"/>
  <c r="Q179"/>
  <c r="P168"/>
  <c r="P172"/>
  <c r="O183"/>
  <c r="Q165"/>
  <c r="O85"/>
  <c r="O122" s="1"/>
  <c r="N140" l="1"/>
  <c r="N150"/>
  <c r="N142"/>
  <c r="O86"/>
  <c r="O123" s="1"/>
  <c r="N129"/>
  <c r="N126"/>
  <c r="N133"/>
  <c r="N151"/>
  <c r="N147"/>
  <c r="N127"/>
  <c r="N149"/>
  <c r="N153"/>
  <c r="O100"/>
  <c r="N135"/>
  <c r="N131"/>
  <c r="N134"/>
  <c r="N130"/>
  <c r="N136"/>
  <c r="Q35"/>
  <c r="Q45" s="1"/>
  <c r="Q69" s="1"/>
  <c r="O87"/>
  <c r="O124" s="1"/>
  <c r="N143"/>
  <c r="N137"/>
  <c r="N138"/>
  <c r="N124"/>
  <c r="O90"/>
  <c r="O94"/>
  <c r="N125"/>
  <c r="N139"/>
  <c r="O91"/>
  <c r="O128" s="1"/>
  <c r="O104"/>
  <c r="O97"/>
  <c r="O112"/>
  <c r="N148"/>
  <c r="N152"/>
  <c r="N146"/>
  <c r="N144"/>
  <c r="O110"/>
  <c r="N145"/>
  <c r="O101"/>
  <c r="O98"/>
  <c r="O89"/>
  <c r="Q84"/>
  <c r="O95"/>
  <c r="O108"/>
  <c r="O103"/>
  <c r="O96"/>
  <c r="O107"/>
  <c r="O102"/>
  <c r="O93"/>
  <c r="O54"/>
  <c r="Q12"/>
  <c r="P36"/>
  <c r="P60" s="1"/>
  <c r="O105"/>
  <c r="O114"/>
  <c r="O106"/>
  <c r="O116"/>
  <c r="O118" s="1"/>
  <c r="O88"/>
  <c r="O126" s="1"/>
  <c r="O92"/>
  <c r="Q58"/>
  <c r="Q83" s="1"/>
  <c r="Q120" s="1"/>
  <c r="R11"/>
  <c r="R34" s="1"/>
  <c r="O111"/>
  <c r="O148" s="1"/>
  <c r="O99"/>
  <c r="O115"/>
  <c r="O113"/>
  <c r="O150" s="1"/>
  <c r="O109"/>
  <c r="O147" s="1"/>
  <c r="N128"/>
  <c r="Q121"/>
  <c r="Q59"/>
  <c r="Q85" s="1"/>
  <c r="Q122" s="1"/>
  <c r="P51"/>
  <c r="P75" s="1"/>
  <c r="P43"/>
  <c r="P67" s="1"/>
  <c r="P42"/>
  <c r="P66" s="1"/>
  <c r="P45"/>
  <c r="P69" s="1"/>
  <c r="P53"/>
  <c r="P77" s="1"/>
  <c r="P47"/>
  <c r="P71" s="1"/>
  <c r="P49"/>
  <c r="P73" s="1"/>
  <c r="P40"/>
  <c r="P64" s="1"/>
  <c r="P46"/>
  <c r="P70" s="1"/>
  <c r="P39"/>
  <c r="P63" s="1"/>
  <c r="P41"/>
  <c r="P65" s="1"/>
  <c r="P48"/>
  <c r="P72" s="1"/>
  <c r="P52"/>
  <c r="P76" s="1"/>
  <c r="P44"/>
  <c r="P68" s="1"/>
  <c r="P37"/>
  <c r="P61" s="1"/>
  <c r="P50"/>
  <c r="P74" s="1"/>
  <c r="M155"/>
  <c r="L155"/>
  <c r="L156" s="1"/>
  <c r="Q42"/>
  <c r="Q66" s="1"/>
  <c r="Q44"/>
  <c r="Q68" s="1"/>
  <c r="H56" i="12"/>
  <c r="D52" i="13"/>
  <c r="Q172" i="24"/>
  <c r="R179"/>
  <c r="Q167"/>
  <c r="Q174"/>
  <c r="Q169"/>
  <c r="R181"/>
  <c r="R177"/>
  <c r="Q170"/>
  <c r="Q176"/>
  <c r="Q50"/>
  <c r="Q74" s="1"/>
  <c r="Q171"/>
  <c r="Q180"/>
  <c r="Q178"/>
  <c r="Q182"/>
  <c r="Q168"/>
  <c r="Q166"/>
  <c r="Q175"/>
  <c r="Q173"/>
  <c r="Q53"/>
  <c r="Q77" s="1"/>
  <c r="P183"/>
  <c r="R165"/>
  <c r="P85"/>
  <c r="P122" s="1"/>
  <c r="Q41" l="1"/>
  <c r="Q65" s="1"/>
  <c r="Q51"/>
  <c r="Q75" s="1"/>
  <c r="Q40"/>
  <c r="Q64" s="1"/>
  <c r="Q38"/>
  <c r="Q62" s="1"/>
  <c r="Q48"/>
  <c r="Q72" s="1"/>
  <c r="Q37"/>
  <c r="Q61" s="1"/>
  <c r="O144"/>
  <c r="Q52"/>
  <c r="Q76" s="1"/>
  <c r="Q36"/>
  <c r="Q60" s="1"/>
  <c r="Q43"/>
  <c r="Q67" s="1"/>
  <c r="O138"/>
  <c r="O129"/>
  <c r="O133"/>
  <c r="O145"/>
  <c r="O151"/>
  <c r="O132"/>
  <c r="O136"/>
  <c r="O152"/>
  <c r="O134"/>
  <c r="O153"/>
  <c r="O131"/>
  <c r="O127"/>
  <c r="Q39"/>
  <c r="Q63" s="1"/>
  <c r="Q46"/>
  <c r="Q70" s="1"/>
  <c r="Q47"/>
  <c r="Q71" s="1"/>
  <c r="Q49"/>
  <c r="Q73" s="1"/>
  <c r="O139"/>
  <c r="N155"/>
  <c r="O137"/>
  <c r="O135"/>
  <c r="R12"/>
  <c r="R84"/>
  <c r="R35"/>
  <c r="R41" s="1"/>
  <c r="R65" s="1"/>
  <c r="R121"/>
  <c r="R59"/>
  <c r="R58"/>
  <c r="R83" s="1"/>
  <c r="R120" s="1"/>
  <c r="S11"/>
  <c r="S34" s="1"/>
  <c r="P116"/>
  <c r="O142"/>
  <c r="O130"/>
  <c r="O140"/>
  <c r="O149"/>
  <c r="P108"/>
  <c r="O143"/>
  <c r="O141"/>
  <c r="O146"/>
  <c r="O125"/>
  <c r="P109"/>
  <c r="P87"/>
  <c r="M156"/>
  <c r="P89"/>
  <c r="P97"/>
  <c r="P88"/>
  <c r="P86"/>
  <c r="P123" s="1"/>
  <c r="P107"/>
  <c r="P98"/>
  <c r="P90"/>
  <c r="P111"/>
  <c r="P96"/>
  <c r="P112"/>
  <c r="P101"/>
  <c r="P92"/>
  <c r="P115"/>
  <c r="P95"/>
  <c r="P106"/>
  <c r="P113"/>
  <c r="P100"/>
  <c r="P110"/>
  <c r="P102"/>
  <c r="P139" s="1"/>
  <c r="P99"/>
  <c r="P94"/>
  <c r="P91"/>
  <c r="P103"/>
  <c r="P104"/>
  <c r="P93"/>
  <c r="P54"/>
  <c r="P105"/>
  <c r="P114"/>
  <c r="P151" s="1"/>
  <c r="T11"/>
  <c r="T34" s="1"/>
  <c r="H57" i="12"/>
  <c r="D53" i="13"/>
  <c r="R175" i="24"/>
  <c r="R168"/>
  <c r="R178"/>
  <c r="R171"/>
  <c r="R170"/>
  <c r="S181"/>
  <c r="R174"/>
  <c r="S179"/>
  <c r="R173"/>
  <c r="R166"/>
  <c r="R182"/>
  <c r="R180"/>
  <c r="R176"/>
  <c r="S177"/>
  <c r="R169"/>
  <c r="R167"/>
  <c r="R172"/>
  <c r="Q86"/>
  <c r="Q123" s="1"/>
  <c r="Q183"/>
  <c r="R85"/>
  <c r="R122" s="1"/>
  <c r="S165"/>
  <c r="Q115" l="1"/>
  <c r="P135"/>
  <c r="R36"/>
  <c r="R60" s="1"/>
  <c r="Q104"/>
  <c r="P140"/>
  <c r="Q97"/>
  <c r="R52"/>
  <c r="R76" s="1"/>
  <c r="P131"/>
  <c r="R39"/>
  <c r="R63" s="1"/>
  <c r="S12"/>
  <c r="Q90"/>
  <c r="P145"/>
  <c r="Q116"/>
  <c r="Q118" s="1"/>
  <c r="S84"/>
  <c r="Q100"/>
  <c r="Q93"/>
  <c r="Q96"/>
  <c r="P147"/>
  <c r="Q91"/>
  <c r="Q128" s="1"/>
  <c r="Q103"/>
  <c r="Q98"/>
  <c r="Q89"/>
  <c r="P142"/>
  <c r="N156"/>
  <c r="Q88"/>
  <c r="Q92"/>
  <c r="Q99"/>
  <c r="Q137" s="1"/>
  <c r="Q109"/>
  <c r="Q94"/>
  <c r="Q54"/>
  <c r="Q114"/>
  <c r="Q110"/>
  <c r="Q147" s="1"/>
  <c r="R44"/>
  <c r="R68" s="1"/>
  <c r="R38"/>
  <c r="R62" s="1"/>
  <c r="R43"/>
  <c r="R67" s="1"/>
  <c r="S59"/>
  <c r="P153"/>
  <c r="Q87"/>
  <c r="Q124" s="1"/>
  <c r="Q102"/>
  <c r="Q140" s="1"/>
  <c r="Q105"/>
  <c r="Q142" s="1"/>
  <c r="Q107"/>
  <c r="Q95"/>
  <c r="Q106"/>
  <c r="Q143" s="1"/>
  <c r="Q101"/>
  <c r="Q108"/>
  <c r="Q111"/>
  <c r="Q112"/>
  <c r="Q113"/>
  <c r="R45"/>
  <c r="R69" s="1"/>
  <c r="R37"/>
  <c r="R61" s="1"/>
  <c r="P118"/>
  <c r="P146"/>
  <c r="P129"/>
  <c r="P149"/>
  <c r="P124"/>
  <c r="R46"/>
  <c r="R70" s="1"/>
  <c r="R42"/>
  <c r="R66" s="1"/>
  <c r="R53"/>
  <c r="R77" s="1"/>
  <c r="S35"/>
  <c r="S46" s="1"/>
  <c r="S70" s="1"/>
  <c r="R49"/>
  <c r="R73" s="1"/>
  <c r="R40"/>
  <c r="R64" s="1"/>
  <c r="R50"/>
  <c r="R74" s="1"/>
  <c r="R51"/>
  <c r="R75" s="1"/>
  <c r="R48"/>
  <c r="R72" s="1"/>
  <c r="R47"/>
  <c r="R71" s="1"/>
  <c r="S121"/>
  <c r="S58"/>
  <c r="S83" s="1"/>
  <c r="S120" s="1"/>
  <c r="P132"/>
  <c r="P136"/>
  <c r="O155"/>
  <c r="P134"/>
  <c r="P150"/>
  <c r="P127"/>
  <c r="P125"/>
  <c r="P143"/>
  <c r="P128"/>
  <c r="P141"/>
  <c r="P144"/>
  <c r="P126"/>
  <c r="P133"/>
  <c r="P148"/>
  <c r="P152"/>
  <c r="P130"/>
  <c r="P137"/>
  <c r="P138"/>
  <c r="T84"/>
  <c r="T58"/>
  <c r="T83" s="1"/>
  <c r="T120" s="1"/>
  <c r="U11"/>
  <c r="U34" s="1"/>
  <c r="T59"/>
  <c r="T121"/>
  <c r="T35"/>
  <c r="T48" s="1"/>
  <c r="T72" s="1"/>
  <c r="T12"/>
  <c r="H58" i="12"/>
  <c r="D54" i="13"/>
  <c r="R183" i="24"/>
  <c r="S172"/>
  <c r="S176"/>
  <c r="S182"/>
  <c r="S173"/>
  <c r="S174"/>
  <c r="S170"/>
  <c r="S175"/>
  <c r="S167"/>
  <c r="T177"/>
  <c r="S180"/>
  <c r="S166"/>
  <c r="T179"/>
  <c r="T181"/>
  <c r="S171"/>
  <c r="S168"/>
  <c r="S169"/>
  <c r="S178"/>
  <c r="T165"/>
  <c r="Q145" l="1"/>
  <c r="T85"/>
  <c r="T122" s="1"/>
  <c r="Q130"/>
  <c r="Q141"/>
  <c r="Q129"/>
  <c r="Q127"/>
  <c r="Q131"/>
  <c r="Q134"/>
  <c r="Q153"/>
  <c r="Q138"/>
  <c r="Q133"/>
  <c r="Q149"/>
  <c r="Q139"/>
  <c r="R114"/>
  <c r="Q132"/>
  <c r="Q125"/>
  <c r="Q135"/>
  <c r="S48"/>
  <c r="S72" s="1"/>
  <c r="S38"/>
  <c r="S62" s="1"/>
  <c r="Q150"/>
  <c r="S42"/>
  <c r="S66" s="1"/>
  <c r="S53"/>
  <c r="S77" s="1"/>
  <c r="S43"/>
  <c r="S67" s="1"/>
  <c r="S45"/>
  <c r="S69" s="1"/>
  <c r="T47"/>
  <c r="T71" s="1"/>
  <c r="S37"/>
  <c r="S61" s="1"/>
  <c r="S40"/>
  <c r="S64" s="1"/>
  <c r="Q151"/>
  <c r="R102"/>
  <c r="Q152"/>
  <c r="Q144"/>
  <c r="O156"/>
  <c r="R100"/>
  <c r="Q148"/>
  <c r="R107"/>
  <c r="T53"/>
  <c r="T77" s="1"/>
  <c r="Q136"/>
  <c r="Q126"/>
  <c r="Q146"/>
  <c r="R109"/>
  <c r="R96"/>
  <c r="T40"/>
  <c r="T64" s="1"/>
  <c r="R111"/>
  <c r="R97"/>
  <c r="R89"/>
  <c r="R112"/>
  <c r="R88"/>
  <c r="R93"/>
  <c r="R92"/>
  <c r="R87"/>
  <c r="R98"/>
  <c r="R116"/>
  <c r="R118" s="1"/>
  <c r="R110"/>
  <c r="R105"/>
  <c r="R91"/>
  <c r="R54"/>
  <c r="R101"/>
  <c r="R138" s="1"/>
  <c r="R106"/>
  <c r="R103"/>
  <c r="R108"/>
  <c r="R90"/>
  <c r="R127" s="1"/>
  <c r="R95"/>
  <c r="R94"/>
  <c r="S36"/>
  <c r="S60" s="1"/>
  <c r="S44"/>
  <c r="S68" s="1"/>
  <c r="S52"/>
  <c r="S76" s="1"/>
  <c r="S51"/>
  <c r="S75" s="1"/>
  <c r="R115"/>
  <c r="R99"/>
  <c r="R137" s="1"/>
  <c r="R113"/>
  <c r="R151" s="1"/>
  <c r="R104"/>
  <c r="R141" s="1"/>
  <c r="S49"/>
  <c r="S73" s="1"/>
  <c r="S47"/>
  <c r="S71" s="1"/>
  <c r="S39"/>
  <c r="S63" s="1"/>
  <c r="S41"/>
  <c r="S65" s="1"/>
  <c r="S50"/>
  <c r="S74" s="1"/>
  <c r="R86"/>
  <c r="R123" s="1"/>
  <c r="T45"/>
  <c r="T69" s="1"/>
  <c r="T38"/>
  <c r="T62" s="1"/>
  <c r="T49"/>
  <c r="T73" s="1"/>
  <c r="U84"/>
  <c r="U35"/>
  <c r="U47" s="1"/>
  <c r="U71" s="1"/>
  <c r="T44"/>
  <c r="T68" s="1"/>
  <c r="T51"/>
  <c r="T75" s="1"/>
  <c r="T39"/>
  <c r="T63" s="1"/>
  <c r="T43"/>
  <c r="T67" s="1"/>
  <c r="P155"/>
  <c r="T37"/>
  <c r="T61" s="1"/>
  <c r="T42"/>
  <c r="T66" s="1"/>
  <c r="T41"/>
  <c r="T65" s="1"/>
  <c r="U59"/>
  <c r="U12"/>
  <c r="U58"/>
  <c r="U83" s="1"/>
  <c r="U120" s="1"/>
  <c r="V11"/>
  <c r="V34" s="1"/>
  <c r="U121"/>
  <c r="T46"/>
  <c r="T70" s="1"/>
  <c r="T36"/>
  <c r="T60" s="1"/>
  <c r="T52"/>
  <c r="T76" s="1"/>
  <c r="T50"/>
  <c r="T74" s="1"/>
  <c r="S183"/>
  <c r="H59" i="12"/>
  <c r="D55" i="13"/>
  <c r="T169" i="24"/>
  <c r="T168"/>
  <c r="U181"/>
  <c r="V181" s="1"/>
  <c r="W181" s="1"/>
  <c r="T166"/>
  <c r="U177"/>
  <c r="V177" s="1"/>
  <c r="W177" s="1"/>
  <c r="T175"/>
  <c r="T174"/>
  <c r="T182"/>
  <c r="T172"/>
  <c r="T178"/>
  <c r="T171"/>
  <c r="U179"/>
  <c r="V179" s="1"/>
  <c r="W179" s="1"/>
  <c r="T180"/>
  <c r="T167"/>
  <c r="T170"/>
  <c r="T173"/>
  <c r="T176"/>
  <c r="U165"/>
  <c r="S85"/>
  <c r="S122" s="1"/>
  <c r="U41" l="1"/>
  <c r="U65" s="1"/>
  <c r="W11"/>
  <c r="W34" s="1"/>
  <c r="U51"/>
  <c r="U75" s="1"/>
  <c r="U43"/>
  <c r="U67" s="1"/>
  <c r="U48"/>
  <c r="U72" s="1"/>
  <c r="U52"/>
  <c r="U76" s="1"/>
  <c r="U46"/>
  <c r="U70" s="1"/>
  <c r="U45"/>
  <c r="U69" s="1"/>
  <c r="R152"/>
  <c r="R145"/>
  <c r="R135"/>
  <c r="U37"/>
  <c r="U61" s="1"/>
  <c r="U38"/>
  <c r="U62" s="1"/>
  <c r="U49"/>
  <c r="U73" s="1"/>
  <c r="R147"/>
  <c r="P156"/>
  <c r="R131"/>
  <c r="R124"/>
  <c r="Q155"/>
  <c r="R129"/>
  <c r="R139"/>
  <c r="S104"/>
  <c r="R128"/>
  <c r="R125"/>
  <c r="R149"/>
  <c r="R146"/>
  <c r="R143"/>
  <c r="S110"/>
  <c r="R140"/>
  <c r="R130"/>
  <c r="R134"/>
  <c r="S103"/>
  <c r="S87"/>
  <c r="R132"/>
  <c r="R136"/>
  <c r="U50"/>
  <c r="U74" s="1"/>
  <c r="U86" s="1"/>
  <c r="U42"/>
  <c r="U66" s="1"/>
  <c r="U40"/>
  <c r="U64" s="1"/>
  <c r="U53"/>
  <c r="U77" s="1"/>
  <c r="S98"/>
  <c r="R150"/>
  <c r="S94"/>
  <c r="R144"/>
  <c r="R133"/>
  <c r="R153"/>
  <c r="S91"/>
  <c r="R126"/>
  <c r="S96"/>
  <c r="S89"/>
  <c r="R148"/>
  <c r="S86"/>
  <c r="S123" s="1"/>
  <c r="S108"/>
  <c r="S116"/>
  <c r="S118" s="1"/>
  <c r="S92"/>
  <c r="S129" s="1"/>
  <c r="S54"/>
  <c r="S100"/>
  <c r="S107"/>
  <c r="S115"/>
  <c r="S97"/>
  <c r="S113"/>
  <c r="S95"/>
  <c r="R142"/>
  <c r="S109"/>
  <c r="S93"/>
  <c r="S90"/>
  <c r="S127" s="1"/>
  <c r="S106"/>
  <c r="S114"/>
  <c r="S101"/>
  <c r="S138" s="1"/>
  <c r="S111"/>
  <c r="S99"/>
  <c r="S112"/>
  <c r="S102"/>
  <c r="S105"/>
  <c r="S142" s="1"/>
  <c r="S88"/>
  <c r="U44"/>
  <c r="U68" s="1"/>
  <c r="U39"/>
  <c r="U63" s="1"/>
  <c r="U36"/>
  <c r="U60" s="1"/>
  <c r="V58"/>
  <c r="V83" s="1"/>
  <c r="V120" s="1"/>
  <c r="V35"/>
  <c r="V44" s="1"/>
  <c r="V68" s="1"/>
  <c r="V59"/>
  <c r="V12"/>
  <c r="V84"/>
  <c r="V121"/>
  <c r="T54"/>
  <c r="H60" i="12"/>
  <c r="D56" i="13"/>
  <c r="U176" i="24"/>
  <c r="V176" s="1"/>
  <c r="W176" s="1"/>
  <c r="U170"/>
  <c r="V170" s="1"/>
  <c r="W170" s="1"/>
  <c r="U180"/>
  <c r="V180" s="1"/>
  <c r="W180" s="1"/>
  <c r="U171"/>
  <c r="V171" s="1"/>
  <c r="W171" s="1"/>
  <c r="U172"/>
  <c r="V172" s="1"/>
  <c r="W172" s="1"/>
  <c r="U174"/>
  <c r="V174" s="1"/>
  <c r="W174" s="1"/>
  <c r="U169"/>
  <c r="V169" s="1"/>
  <c r="W169" s="1"/>
  <c r="U173"/>
  <c r="V173" s="1"/>
  <c r="W173" s="1"/>
  <c r="U167"/>
  <c r="V167" s="1"/>
  <c r="W167" s="1"/>
  <c r="U178"/>
  <c r="V178" s="1"/>
  <c r="W178" s="1"/>
  <c r="U182"/>
  <c r="V182" s="1"/>
  <c r="W182" s="1"/>
  <c r="U175"/>
  <c r="V175" s="1"/>
  <c r="W175" s="1"/>
  <c r="U166"/>
  <c r="V166" s="1"/>
  <c r="W166" s="1"/>
  <c r="U168"/>
  <c r="V168" s="1"/>
  <c r="W168" s="1"/>
  <c r="T183"/>
  <c r="V165"/>
  <c r="T86"/>
  <c r="T123" s="1"/>
  <c r="U85"/>
  <c r="U122" s="1"/>
  <c r="T87"/>
  <c r="T89"/>
  <c r="T91"/>
  <c r="T88"/>
  <c r="T92"/>
  <c r="T90"/>
  <c r="T98"/>
  <c r="T102"/>
  <c r="T111"/>
  <c r="T104"/>
  <c r="T106"/>
  <c r="T101"/>
  <c r="T108"/>
  <c r="T100"/>
  <c r="T115"/>
  <c r="T93"/>
  <c r="T112"/>
  <c r="T96"/>
  <c r="T103"/>
  <c r="T94"/>
  <c r="T95"/>
  <c r="T113"/>
  <c r="T99"/>
  <c r="T97"/>
  <c r="T114"/>
  <c r="T107"/>
  <c r="T105"/>
  <c r="T109"/>
  <c r="T116"/>
  <c r="T110"/>
  <c r="W59"/>
  <c r="W12"/>
  <c r="W84"/>
  <c r="S139" l="1"/>
  <c r="Q156"/>
  <c r="W35"/>
  <c r="W40" s="1"/>
  <c r="W64" s="1"/>
  <c r="X11"/>
  <c r="X34" s="1"/>
  <c r="S131"/>
  <c r="W58"/>
  <c r="W83" s="1"/>
  <c r="W120" s="1"/>
  <c r="W121"/>
  <c r="U89"/>
  <c r="S147"/>
  <c r="S145"/>
  <c r="S133"/>
  <c r="S128"/>
  <c r="S126"/>
  <c r="V52"/>
  <c r="V76" s="1"/>
  <c r="U107"/>
  <c r="S149"/>
  <c r="S124"/>
  <c r="S150"/>
  <c r="S135"/>
  <c r="U88"/>
  <c r="S137"/>
  <c r="S141"/>
  <c r="S132"/>
  <c r="S144"/>
  <c r="U91"/>
  <c r="U87"/>
  <c r="U124" s="1"/>
  <c r="U113"/>
  <c r="S125"/>
  <c r="U105"/>
  <c r="S151"/>
  <c r="U96"/>
  <c r="S153"/>
  <c r="S143"/>
  <c r="U99"/>
  <c r="S140"/>
  <c r="S148"/>
  <c r="S136"/>
  <c r="R155"/>
  <c r="R156" s="1"/>
  <c r="S152"/>
  <c r="S134"/>
  <c r="U104"/>
  <c r="U98"/>
  <c r="U110"/>
  <c r="U94"/>
  <c r="U111"/>
  <c r="U100"/>
  <c r="U102"/>
  <c r="S146"/>
  <c r="S130"/>
  <c r="U109"/>
  <c r="U108"/>
  <c r="U145" s="1"/>
  <c r="U116"/>
  <c r="U118" s="1"/>
  <c r="U106"/>
  <c r="U143" s="1"/>
  <c r="U93"/>
  <c r="U54"/>
  <c r="U103"/>
  <c r="U97"/>
  <c r="U101"/>
  <c r="U115"/>
  <c r="U95"/>
  <c r="U132" s="1"/>
  <c r="U114"/>
  <c r="U90"/>
  <c r="U112"/>
  <c r="U92"/>
  <c r="V48"/>
  <c r="V72" s="1"/>
  <c r="V38"/>
  <c r="V62" s="1"/>
  <c r="V42"/>
  <c r="V66" s="1"/>
  <c r="V51"/>
  <c r="V75" s="1"/>
  <c r="V40"/>
  <c r="V64" s="1"/>
  <c r="V50"/>
  <c r="V74" s="1"/>
  <c r="V46"/>
  <c r="V70" s="1"/>
  <c r="V36"/>
  <c r="V60" s="1"/>
  <c r="V53"/>
  <c r="V77" s="1"/>
  <c r="V39"/>
  <c r="V63" s="1"/>
  <c r="V49"/>
  <c r="V73" s="1"/>
  <c r="V45"/>
  <c r="V69" s="1"/>
  <c r="V43"/>
  <c r="V67" s="1"/>
  <c r="V41"/>
  <c r="V65" s="1"/>
  <c r="V37"/>
  <c r="V61" s="1"/>
  <c r="V47"/>
  <c r="V71" s="1"/>
  <c r="H61" i="12"/>
  <c r="D57" i="13"/>
  <c r="U183" i="24"/>
  <c r="T131"/>
  <c r="T124"/>
  <c r="W165"/>
  <c r="W183" s="1"/>
  <c r="V183"/>
  <c r="T127"/>
  <c r="U123"/>
  <c r="T125"/>
  <c r="T130"/>
  <c r="T129"/>
  <c r="T126"/>
  <c r="T128"/>
  <c r="T149"/>
  <c r="T144"/>
  <c r="T146"/>
  <c r="T134"/>
  <c r="T138"/>
  <c r="T142"/>
  <c r="T151"/>
  <c r="T145"/>
  <c r="T136"/>
  <c r="T140"/>
  <c r="T118"/>
  <c r="T153"/>
  <c r="T152"/>
  <c r="T143"/>
  <c r="T148"/>
  <c r="T139"/>
  <c r="T135"/>
  <c r="T132"/>
  <c r="T147"/>
  <c r="T150"/>
  <c r="T133"/>
  <c r="T137"/>
  <c r="T141"/>
  <c r="X121"/>
  <c r="X35"/>
  <c r="Y31"/>
  <c r="W48"/>
  <c r="W72" s="1"/>
  <c r="W45"/>
  <c r="W69" s="1"/>
  <c r="X12" l="1"/>
  <c r="W52"/>
  <c r="W76" s="1"/>
  <c r="W37"/>
  <c r="W61" s="1"/>
  <c r="W38"/>
  <c r="W62" s="1"/>
  <c r="W51"/>
  <c r="W75" s="1"/>
  <c r="W41"/>
  <c r="W65" s="1"/>
  <c r="X59"/>
  <c r="X58"/>
  <c r="X83" s="1"/>
  <c r="X120" s="1"/>
  <c r="X84"/>
  <c r="U137"/>
  <c r="W53"/>
  <c r="W77" s="1"/>
  <c r="W39"/>
  <c r="W63" s="1"/>
  <c r="W42"/>
  <c r="W66" s="1"/>
  <c r="W43"/>
  <c r="W67" s="1"/>
  <c r="W47"/>
  <c r="W71" s="1"/>
  <c r="W50"/>
  <c r="W74" s="1"/>
  <c r="W46"/>
  <c r="W70" s="1"/>
  <c r="W36"/>
  <c r="W60" s="1"/>
  <c r="W44"/>
  <c r="W68" s="1"/>
  <c r="W49"/>
  <c r="W73" s="1"/>
  <c r="U139"/>
  <c r="U147"/>
  <c r="U126"/>
  <c r="U131"/>
  <c r="U140"/>
  <c r="U144"/>
  <c r="U125"/>
  <c r="U151"/>
  <c r="U134"/>
  <c r="U135"/>
  <c r="U142"/>
  <c r="U128"/>
  <c r="U136"/>
  <c r="U149"/>
  <c r="U148"/>
  <c r="U129"/>
  <c r="U141"/>
  <c r="U153"/>
  <c r="S155"/>
  <c r="S156" s="1"/>
  <c r="U146"/>
  <c r="U152"/>
  <c r="U138"/>
  <c r="U127"/>
  <c r="U150"/>
  <c r="U130"/>
  <c r="U133"/>
  <c r="V54"/>
  <c r="H62" i="12"/>
  <c r="D58" i="13"/>
  <c r="V85" i="24"/>
  <c r="V122" s="1"/>
  <c r="V86"/>
  <c r="V88"/>
  <c r="V93"/>
  <c r="V89"/>
  <c r="V92"/>
  <c r="V90"/>
  <c r="V91"/>
  <c r="V95"/>
  <c r="V87"/>
  <c r="V96"/>
  <c r="V105"/>
  <c r="V107"/>
  <c r="V101"/>
  <c r="T155"/>
  <c r="V112"/>
  <c r="V115"/>
  <c r="V97"/>
  <c r="V102"/>
  <c r="V113"/>
  <c r="V103"/>
  <c r="V108"/>
  <c r="V106"/>
  <c r="V114"/>
  <c r="V100"/>
  <c r="V98"/>
  <c r="V99"/>
  <c r="V104"/>
  <c r="V109"/>
  <c r="V94"/>
  <c r="V116"/>
  <c r="V110"/>
  <c r="V111"/>
  <c r="X51"/>
  <c r="X50"/>
  <c r="X43"/>
  <c r="X42"/>
  <c r="X53"/>
  <c r="X77" s="1"/>
  <c r="X52"/>
  <c r="X45"/>
  <c r="X44"/>
  <c r="X37"/>
  <c r="X36"/>
  <c r="X47"/>
  <c r="X46"/>
  <c r="X39"/>
  <c r="X38"/>
  <c r="X48"/>
  <c r="X49"/>
  <c r="X40"/>
  <c r="X41"/>
  <c r="V141" l="1"/>
  <c r="W54"/>
  <c r="U155"/>
  <c r="T156"/>
  <c r="H63" i="12"/>
  <c r="D59" i="13"/>
  <c r="Y77" i="24"/>
  <c r="V126"/>
  <c r="V131"/>
  <c r="V124"/>
  <c r="V130"/>
  <c r="V123"/>
  <c r="W86"/>
  <c r="W85"/>
  <c r="W122" s="1"/>
  <c r="W87"/>
  <c r="W92"/>
  <c r="V133"/>
  <c r="V127"/>
  <c r="V129"/>
  <c r="V128"/>
  <c r="W112"/>
  <c r="W89"/>
  <c r="V125"/>
  <c r="W90"/>
  <c r="W88"/>
  <c r="W91"/>
  <c r="V134"/>
  <c r="V150"/>
  <c r="V143"/>
  <c r="V145"/>
  <c r="V142"/>
  <c r="V135"/>
  <c r="V148"/>
  <c r="V146"/>
  <c r="V136"/>
  <c r="V139"/>
  <c r="V140"/>
  <c r="V147"/>
  <c r="W109"/>
  <c r="V132"/>
  <c r="V118"/>
  <c r="V153"/>
  <c r="V149"/>
  <c r="V151"/>
  <c r="V152"/>
  <c r="V144"/>
  <c r="V137"/>
  <c r="V138"/>
  <c r="W95"/>
  <c r="W111"/>
  <c r="W96"/>
  <c r="W115"/>
  <c r="W113"/>
  <c r="X73"/>
  <c r="X68"/>
  <c r="X72"/>
  <c r="X71"/>
  <c r="X69"/>
  <c r="X67"/>
  <c r="W106"/>
  <c r="W105"/>
  <c r="W102"/>
  <c r="W108"/>
  <c r="W110"/>
  <c r="W99"/>
  <c r="W98"/>
  <c r="W116"/>
  <c r="W93"/>
  <c r="X70"/>
  <c r="X66"/>
  <c r="X64"/>
  <c r="X63"/>
  <c r="X61"/>
  <c r="X75"/>
  <c r="X65"/>
  <c r="X62"/>
  <c r="X60"/>
  <c r="X76"/>
  <c r="X74"/>
  <c r="W101"/>
  <c r="W100"/>
  <c r="W114"/>
  <c r="W107"/>
  <c r="W97"/>
  <c r="W104"/>
  <c r="W94"/>
  <c r="W103"/>
  <c r="AA77"/>
  <c r="Y85"/>
  <c r="Y122" s="1"/>
  <c r="X54"/>
  <c r="U156" l="1"/>
  <c r="H64" i="12"/>
  <c r="D60" i="13"/>
  <c r="Y60" i="24"/>
  <c r="Y61"/>
  <c r="Y70"/>
  <c r="Y71"/>
  <c r="Y76"/>
  <c r="Y75"/>
  <c r="Y66"/>
  <c r="Y69"/>
  <c r="Y73"/>
  <c r="Y74"/>
  <c r="Y65"/>
  <c r="Y64"/>
  <c r="Y67"/>
  <c r="Y68"/>
  <c r="Y62"/>
  <c r="Y63"/>
  <c r="Y72"/>
  <c r="W124"/>
  <c r="W123"/>
  <c r="X85"/>
  <c r="X122" s="1"/>
  <c r="X86"/>
  <c r="AA62"/>
  <c r="AA63"/>
  <c r="AA60"/>
  <c r="AA61"/>
  <c r="AA70"/>
  <c r="AA71"/>
  <c r="AA76"/>
  <c r="AA75"/>
  <c r="AA73"/>
  <c r="AA65"/>
  <c r="AA64"/>
  <c r="AA67"/>
  <c r="AA68"/>
  <c r="W125"/>
  <c r="W130"/>
  <c r="W129"/>
  <c r="X91"/>
  <c r="X90"/>
  <c r="X92"/>
  <c r="W150"/>
  <c r="W127"/>
  <c r="W128"/>
  <c r="AA66"/>
  <c r="X88"/>
  <c r="AA74"/>
  <c r="X87"/>
  <c r="W126"/>
  <c r="X89"/>
  <c r="W144"/>
  <c r="W147"/>
  <c r="W137"/>
  <c r="W151"/>
  <c r="W131"/>
  <c r="W135"/>
  <c r="W139"/>
  <c r="W133"/>
  <c r="V155"/>
  <c r="V156" s="1"/>
  <c r="W141"/>
  <c r="W136"/>
  <c r="W118"/>
  <c r="W153"/>
  <c r="W152"/>
  <c r="W140"/>
  <c r="W145"/>
  <c r="W132"/>
  <c r="W142"/>
  <c r="X104"/>
  <c r="W134"/>
  <c r="W138"/>
  <c r="W143"/>
  <c r="W148"/>
  <c r="W146"/>
  <c r="W149"/>
  <c r="X98"/>
  <c r="X96"/>
  <c r="X109"/>
  <c r="X102"/>
  <c r="X100"/>
  <c r="X108"/>
  <c r="X106"/>
  <c r="X99"/>
  <c r="X110"/>
  <c r="X105"/>
  <c r="X114"/>
  <c r="X113"/>
  <c r="X93"/>
  <c r="X115"/>
  <c r="X111"/>
  <c r="X116"/>
  <c r="X103"/>
  <c r="X97"/>
  <c r="X134" s="1"/>
  <c r="X94"/>
  <c r="X101"/>
  <c r="X107"/>
  <c r="AA69"/>
  <c r="AA72"/>
  <c r="X95"/>
  <c r="X112"/>
  <c r="H65" i="12" l="1"/>
  <c r="H66" s="1"/>
  <c r="H67" s="1"/>
  <c r="H68" s="1"/>
  <c r="H69" s="1"/>
  <c r="H70" s="1"/>
  <c r="H71" s="1"/>
  <c r="H72" s="1"/>
  <c r="H73" s="1"/>
  <c r="H74" s="1"/>
  <c r="H75" s="1"/>
  <c r="H76" s="1"/>
  <c r="H77" s="1"/>
  <c r="H78" s="1"/>
  <c r="H79" s="1"/>
  <c r="H80" s="1"/>
  <c r="H81" s="1"/>
  <c r="H82" s="1"/>
  <c r="H83" s="1"/>
  <c r="H84" s="1"/>
  <c r="H85" s="1"/>
  <c r="H86" s="1"/>
  <c r="H87" s="1"/>
  <c r="H88" s="1"/>
  <c r="H89" s="1"/>
  <c r="H90" s="1"/>
  <c r="H91" s="1"/>
  <c r="H92" s="1"/>
  <c r="H93" s="1"/>
  <c r="H94" s="1"/>
  <c r="H95" s="1"/>
  <c r="H96" s="1"/>
  <c r="H97" s="1"/>
  <c r="H98" s="1"/>
  <c r="H99" s="1"/>
  <c r="H100" s="1"/>
  <c r="H101" s="1"/>
  <c r="H102" s="1"/>
  <c r="H103" s="1"/>
  <c r="H104" s="1"/>
  <c r="H105" s="1"/>
  <c r="H106" s="1"/>
  <c r="H107" s="1"/>
  <c r="H108" s="1"/>
  <c r="H109" s="1"/>
  <c r="H110" s="1"/>
  <c r="H111" s="1"/>
  <c r="H112" s="1"/>
  <c r="H113" s="1"/>
  <c r="H114" s="1"/>
  <c r="H115" s="1"/>
  <c r="H116" s="1"/>
  <c r="H117" s="1"/>
  <c r="H118" s="1"/>
  <c r="D61" i="13"/>
  <c r="Y87" i="24"/>
  <c r="Y79"/>
  <c r="Y114"/>
  <c r="Y104"/>
  <c r="Y97"/>
  <c r="Y93"/>
  <c r="Y109"/>
  <c r="Y105"/>
  <c r="Y107"/>
  <c r="Y112"/>
  <c r="Y106"/>
  <c r="Y116"/>
  <c r="Y92"/>
  <c r="Y88"/>
  <c r="Y99"/>
  <c r="Y98"/>
  <c r="Y89"/>
  <c r="Y115"/>
  <c r="Y111"/>
  <c r="Y95"/>
  <c r="Y110"/>
  <c r="Y103"/>
  <c r="Y101"/>
  <c r="Y91"/>
  <c r="Y90"/>
  <c r="Y127" s="1"/>
  <c r="Y100"/>
  <c r="Y113"/>
  <c r="Y108"/>
  <c r="Y102"/>
  <c r="Y94"/>
  <c r="Y131" s="1"/>
  <c r="Y96"/>
  <c r="Y86"/>
  <c r="Y123" s="1"/>
  <c r="X126"/>
  <c r="X124"/>
  <c r="X123"/>
  <c r="X128"/>
  <c r="X129"/>
  <c r="X125"/>
  <c r="X130"/>
  <c r="X127"/>
  <c r="X144"/>
  <c r="X149"/>
  <c r="X147"/>
  <c r="X152"/>
  <c r="X132"/>
  <c r="X138"/>
  <c r="X150"/>
  <c r="X136"/>
  <c r="X135"/>
  <c r="X141"/>
  <c r="X139"/>
  <c r="X140"/>
  <c r="AA79"/>
  <c r="X142"/>
  <c r="X145"/>
  <c r="X133"/>
  <c r="X118"/>
  <c r="X153"/>
  <c r="X137"/>
  <c r="X131"/>
  <c r="X148"/>
  <c r="X151"/>
  <c r="X143"/>
  <c r="X146"/>
  <c r="W155"/>
  <c r="W156" s="1"/>
  <c r="Y133" l="1"/>
  <c r="Y143"/>
  <c r="Y126"/>
  <c r="Y136"/>
  <c r="Y146"/>
  <c r="Y150"/>
  <c r="Y148"/>
  <c r="Y145"/>
  <c r="Y135"/>
  <c r="Y142"/>
  <c r="Y137"/>
  <c r="Y140"/>
  <c r="Y152"/>
  <c r="Y125"/>
  <c r="Y153"/>
  <c r="Y118"/>
  <c r="Y151"/>
  <c r="Y128"/>
  <c r="Y132"/>
  <c r="Y141"/>
  <c r="Y124"/>
  <c r="Y138"/>
  <c r="Y139"/>
  <c r="Y147"/>
  <c r="Y129"/>
  <c r="Y144"/>
  <c r="Y134"/>
  <c r="Y149"/>
  <c r="Y130"/>
  <c r="X155"/>
  <c r="X156" s="1"/>
  <c r="C10" s="1"/>
  <c r="Y156" l="1"/>
  <c r="A42" i="12" l="1"/>
  <c r="B42" s="1"/>
  <c r="N12"/>
  <c r="N13"/>
  <c r="N14"/>
  <c r="N15"/>
  <c r="N16"/>
  <c r="N17"/>
  <c r="N18"/>
  <c r="N19"/>
  <c r="N20"/>
  <c r="N21"/>
  <c r="N22"/>
  <c r="N23"/>
  <c r="N24"/>
  <c r="N25"/>
  <c r="N26"/>
  <c r="N27"/>
  <c r="N28"/>
  <c r="N11"/>
  <c r="J8" i="1"/>
  <c r="K8"/>
  <c r="L8" s="1"/>
  <c r="J9"/>
  <c r="K9"/>
  <c r="L9" s="1"/>
  <c r="J10"/>
  <c r="K10"/>
  <c r="L10" s="1"/>
  <c r="J11"/>
  <c r="K11"/>
  <c r="L11" s="1"/>
  <c r="J12"/>
  <c r="K12"/>
  <c r="L12" s="1"/>
  <c r="J13"/>
  <c r="K13"/>
  <c r="L13" s="1"/>
  <c r="J14"/>
  <c r="K14"/>
  <c r="L14" s="1"/>
  <c r="J15"/>
  <c r="K15"/>
  <c r="L15" s="1"/>
  <c r="J16"/>
  <c r="K16"/>
  <c r="L16" s="1"/>
  <c r="J17"/>
  <c r="K17"/>
  <c r="L17" s="1"/>
  <c r="J18"/>
  <c r="K18"/>
  <c r="L18" s="1"/>
  <c r="J19"/>
  <c r="K19"/>
  <c r="L19" s="1"/>
  <c r="J20"/>
  <c r="K20"/>
  <c r="L20" s="1"/>
  <c r="J21"/>
  <c r="K21"/>
  <c r="L21" s="1"/>
  <c r="J22"/>
  <c r="K22"/>
  <c r="L22" s="1"/>
  <c r="J23"/>
  <c r="K23"/>
  <c r="L23" s="1"/>
  <c r="J24"/>
  <c r="K24"/>
  <c r="L24" s="1"/>
  <c r="J7"/>
  <c r="K7"/>
  <c r="L7" s="1"/>
  <c r="Q13"/>
  <c r="Q9"/>
  <c r="U17" i="12" l="1"/>
  <c r="U71"/>
  <c r="U27"/>
  <c r="U81"/>
  <c r="U19"/>
  <c r="U73"/>
  <c r="U15"/>
  <c r="U69"/>
  <c r="U28"/>
  <c r="U82"/>
  <c r="U76"/>
  <c r="U22"/>
  <c r="U11"/>
  <c r="U65"/>
  <c r="U77"/>
  <c r="U23"/>
  <c r="U67"/>
  <c r="U13"/>
  <c r="U79"/>
  <c r="U25"/>
  <c r="U75"/>
  <c r="U21"/>
  <c r="U80"/>
  <c r="U26"/>
  <c r="U24"/>
  <c r="U78"/>
  <c r="U20"/>
  <c r="U74"/>
  <c r="U72"/>
  <c r="U18"/>
  <c r="U16"/>
  <c r="U70"/>
  <c r="U68"/>
  <c r="U14"/>
  <c r="U12"/>
  <c r="U66"/>
  <c r="A36"/>
  <c r="B36" s="1"/>
  <c r="A79"/>
  <c r="C79" s="1"/>
  <c r="B22" i="21" s="1"/>
  <c r="A69" i="12"/>
  <c r="C69" s="1"/>
  <c r="B12" i="21" s="1"/>
  <c r="A22" i="12"/>
  <c r="C22" s="1"/>
  <c r="A100"/>
  <c r="B100" s="1"/>
  <c r="A43" i="21" s="1"/>
  <c r="A90" i="12"/>
  <c r="B90" s="1"/>
  <c r="A33" i="21" s="1"/>
  <c r="A43" i="12"/>
  <c r="B43" s="1"/>
  <c r="A37"/>
  <c r="A81"/>
  <c r="B81" s="1"/>
  <c r="A24" i="21" s="1"/>
  <c r="A70" i="12"/>
  <c r="C70" s="1"/>
  <c r="B13" i="21" s="1"/>
  <c r="A23" i="12"/>
  <c r="C23" s="1"/>
  <c r="A13"/>
  <c r="C13" s="1"/>
  <c r="A91"/>
  <c r="B91" s="1"/>
  <c r="A34" i="21" s="1"/>
  <c r="A44" i="12"/>
  <c r="B44" s="1"/>
  <c r="A31"/>
  <c r="B31" s="1"/>
  <c r="A74"/>
  <c r="C74" s="1"/>
  <c r="B17" i="21" s="1"/>
  <c r="A27" i="12"/>
  <c r="C27" s="1"/>
  <c r="A17"/>
  <c r="C17" s="1"/>
  <c r="A95"/>
  <c r="B95" s="1"/>
  <c r="A38" i="21" s="1"/>
  <c r="A84" i="12"/>
  <c r="B84" s="1"/>
  <c r="A27" i="21" s="1"/>
  <c r="A38" i="12"/>
  <c r="B38" s="1"/>
  <c r="A32"/>
  <c r="B32" s="1"/>
  <c r="A75"/>
  <c r="A65"/>
  <c r="C65" s="1"/>
  <c r="B8" i="21" s="1"/>
  <c r="A18" i="12"/>
  <c r="C18" s="1"/>
  <c r="A96"/>
  <c r="B96" s="1"/>
  <c r="A39" i="21" s="1"/>
  <c r="A86" i="12"/>
  <c r="B86" s="1"/>
  <c r="A29" i="21" s="1"/>
  <c r="A39" i="12"/>
  <c r="B39" s="1"/>
  <c r="A33"/>
  <c r="A82"/>
  <c r="B82" s="1"/>
  <c r="A25" i="21" s="1"/>
  <c r="A77" i="12"/>
  <c r="B77" s="1"/>
  <c r="A20" i="21" s="1"/>
  <c r="A71" i="12"/>
  <c r="C71" s="1"/>
  <c r="B14" i="21" s="1"/>
  <c r="A66" i="12"/>
  <c r="C66" s="1"/>
  <c r="B9" i="21" s="1"/>
  <c r="A25" i="12"/>
  <c r="C25" s="1"/>
  <c r="A19"/>
  <c r="C19" s="1"/>
  <c r="A14"/>
  <c r="C14" s="1"/>
  <c r="A98"/>
  <c r="B98" s="1"/>
  <c r="A41" i="21" s="1"/>
  <c r="A92" i="12"/>
  <c r="B92" s="1"/>
  <c r="A35" i="21" s="1"/>
  <c r="A87" i="12"/>
  <c r="B87" s="1"/>
  <c r="A30" i="21" s="1"/>
  <c r="A46" i="12"/>
  <c r="B46" s="1"/>
  <c r="A40"/>
  <c r="B40" s="1"/>
  <c r="A35"/>
  <c r="B35" s="1"/>
  <c r="A29"/>
  <c r="A78"/>
  <c r="B78" s="1"/>
  <c r="A73"/>
  <c r="C73" s="1"/>
  <c r="B16" i="21" s="1"/>
  <c r="A67" i="12"/>
  <c r="C67" s="1"/>
  <c r="B10" i="21" s="1"/>
  <c r="A26" i="12"/>
  <c r="C26" s="1"/>
  <c r="A21"/>
  <c r="C21" s="1"/>
  <c r="A15"/>
  <c r="C15" s="1"/>
  <c r="A99"/>
  <c r="B99" s="1"/>
  <c r="A94"/>
  <c r="B94" s="1"/>
  <c r="A37" i="21" s="1"/>
  <c r="A88" i="12"/>
  <c r="B88" s="1"/>
  <c r="A31" i="21" s="1"/>
  <c r="A83" i="12"/>
  <c r="B83" s="1"/>
  <c r="A26" i="21" s="1"/>
  <c r="A11" i="12"/>
  <c r="A51"/>
  <c r="A55"/>
  <c r="A59"/>
  <c r="A63"/>
  <c r="A103"/>
  <c r="A107"/>
  <c r="A111"/>
  <c r="A115"/>
  <c r="A47"/>
  <c r="A53"/>
  <c r="A57"/>
  <c r="A61"/>
  <c r="A101"/>
  <c r="A105"/>
  <c r="A109"/>
  <c r="A113"/>
  <c r="A117"/>
  <c r="A48"/>
  <c r="A50"/>
  <c r="A52"/>
  <c r="A54"/>
  <c r="A56"/>
  <c r="A58"/>
  <c r="A60"/>
  <c r="A62"/>
  <c r="A64"/>
  <c r="A102"/>
  <c r="A104"/>
  <c r="A106"/>
  <c r="A108"/>
  <c r="A110"/>
  <c r="A112"/>
  <c r="A114"/>
  <c r="A116"/>
  <c r="A118"/>
  <c r="A49"/>
  <c r="B13"/>
  <c r="C42"/>
  <c r="A34"/>
  <c r="A30"/>
  <c r="A80"/>
  <c r="A76"/>
  <c r="A72"/>
  <c r="A68"/>
  <c r="A28"/>
  <c r="A24"/>
  <c r="A20"/>
  <c r="A16"/>
  <c r="A12"/>
  <c r="A97"/>
  <c r="A93"/>
  <c r="A89"/>
  <c r="A85"/>
  <c r="A45"/>
  <c r="A41"/>
  <c r="C84"/>
  <c r="H7" i="1"/>
  <c r="I7"/>
  <c r="H8"/>
  <c r="I8"/>
  <c r="H9"/>
  <c r="I9"/>
  <c r="H10"/>
  <c r="I10"/>
  <c r="H11"/>
  <c r="I11"/>
  <c r="H12"/>
  <c r="I12"/>
  <c r="H13"/>
  <c r="I13"/>
  <c r="H14"/>
  <c r="I14"/>
  <c r="H15"/>
  <c r="I15"/>
  <c r="H16"/>
  <c r="I16"/>
  <c r="H17"/>
  <c r="I17"/>
  <c r="H18"/>
  <c r="I18"/>
  <c r="H19"/>
  <c r="I19"/>
  <c r="H20"/>
  <c r="I20"/>
  <c r="H21"/>
  <c r="I21"/>
  <c r="H22"/>
  <c r="I22"/>
  <c r="H23"/>
  <c r="I23"/>
  <c r="H24"/>
  <c r="I24"/>
  <c r="G8"/>
  <c r="G9"/>
  <c r="G10"/>
  <c r="G11"/>
  <c r="G12"/>
  <c r="G13"/>
  <c r="G14"/>
  <c r="G15"/>
  <c r="G16"/>
  <c r="G17"/>
  <c r="G18"/>
  <c r="G19"/>
  <c r="G20"/>
  <c r="G21"/>
  <c r="G22"/>
  <c r="G23"/>
  <c r="G24"/>
  <c r="G7"/>
  <c r="C31" i="12" l="1"/>
  <c r="B28" i="13" s="1"/>
  <c r="C92" i="12"/>
  <c r="B35" i="21" s="1"/>
  <c r="C39" i="12"/>
  <c r="B22"/>
  <c r="A19" i="13" s="1"/>
  <c r="B74" i="12"/>
  <c r="A17" i="21" s="1"/>
  <c r="B65" i="12"/>
  <c r="A8" i="21" s="1"/>
  <c r="A42"/>
  <c r="B14" i="13"/>
  <c r="A10"/>
  <c r="B12"/>
  <c r="B15"/>
  <c r="B24"/>
  <c r="B67" i="12"/>
  <c r="A10" i="21" s="1"/>
  <c r="A35" i="13"/>
  <c r="B22"/>
  <c r="B27" i="21"/>
  <c r="B23" i="13"/>
  <c r="B16"/>
  <c r="B20"/>
  <c r="B18"/>
  <c r="A39"/>
  <c r="A21" i="21"/>
  <c r="B11" i="13"/>
  <c r="B10"/>
  <c r="B19"/>
  <c r="C35" i="12"/>
  <c r="B32" i="13" s="1"/>
  <c r="B25" i="12"/>
  <c r="B19"/>
  <c r="C94"/>
  <c r="B37" i="21" s="1"/>
  <c r="C77" i="12"/>
  <c r="B20" i="21" s="1"/>
  <c r="A43" i="13"/>
  <c r="C87" i="12"/>
  <c r="A28" i="13"/>
  <c r="B26" i="12"/>
  <c r="B23"/>
  <c r="C99"/>
  <c r="B42" i="21" s="1"/>
  <c r="M44" i="12"/>
  <c r="M40"/>
  <c r="M36"/>
  <c r="M32"/>
  <c r="M28"/>
  <c r="M26"/>
  <c r="M24"/>
  <c r="M22"/>
  <c r="M20"/>
  <c r="M18"/>
  <c r="M16"/>
  <c r="M14"/>
  <c r="M12"/>
  <c r="M45"/>
  <c r="M41"/>
  <c r="M37"/>
  <c r="M33"/>
  <c r="M64"/>
  <c r="M62"/>
  <c r="M60"/>
  <c r="M58"/>
  <c r="M56"/>
  <c r="M54"/>
  <c r="M52"/>
  <c r="M50"/>
  <c r="M48"/>
  <c r="M46"/>
  <c r="M42"/>
  <c r="M38"/>
  <c r="M34"/>
  <c r="M30"/>
  <c r="M27"/>
  <c r="M25"/>
  <c r="M23"/>
  <c r="M21"/>
  <c r="M19"/>
  <c r="M17"/>
  <c r="M15"/>
  <c r="M13"/>
  <c r="M11"/>
  <c r="M29"/>
  <c r="M43"/>
  <c r="M39"/>
  <c r="M35"/>
  <c r="M31"/>
  <c r="M63"/>
  <c r="M61"/>
  <c r="M59"/>
  <c r="M57"/>
  <c r="M55"/>
  <c r="M53"/>
  <c r="M51"/>
  <c r="M49"/>
  <c r="M47"/>
  <c r="B79"/>
  <c r="C96"/>
  <c r="B39" i="21" s="1"/>
  <c r="C43" i="12"/>
  <c r="C86"/>
  <c r="B29" i="21" s="1"/>
  <c r="C98" i="12"/>
  <c r="C91"/>
  <c r="C81"/>
  <c r="B24" i="21" s="1"/>
  <c r="C44" i="12"/>
  <c r="B15"/>
  <c r="C78"/>
  <c r="C36"/>
  <c r="B27"/>
  <c r="C88"/>
  <c r="C32"/>
  <c r="C38"/>
  <c r="B18"/>
  <c r="B17"/>
  <c r="C100"/>
  <c r="B43" i="21" s="1"/>
  <c r="C95" i="12"/>
  <c r="B71"/>
  <c r="C90"/>
  <c r="B33" i="21" s="1"/>
  <c r="C82" i="12"/>
  <c r="B70"/>
  <c r="B69"/>
  <c r="C75"/>
  <c r="B75"/>
  <c r="C37"/>
  <c r="B37"/>
  <c r="B14"/>
  <c r="B66"/>
  <c r="A9" i="21" s="1"/>
  <c r="B33" i="12"/>
  <c r="C33"/>
  <c r="C29"/>
  <c r="B29"/>
  <c r="C46"/>
  <c r="C40"/>
  <c r="C83"/>
  <c r="B21"/>
  <c r="B73"/>
  <c r="B45"/>
  <c r="C45"/>
  <c r="B97"/>
  <c r="C97"/>
  <c r="C24"/>
  <c r="B24"/>
  <c r="C76"/>
  <c r="B76"/>
  <c r="C49"/>
  <c r="B49"/>
  <c r="B112"/>
  <c r="C112"/>
  <c r="C104"/>
  <c r="B104"/>
  <c r="C60"/>
  <c r="B60"/>
  <c r="C52"/>
  <c r="B52"/>
  <c r="C113"/>
  <c r="B113"/>
  <c r="C61"/>
  <c r="B61"/>
  <c r="C115"/>
  <c r="B115"/>
  <c r="C63"/>
  <c r="B63"/>
  <c r="C11"/>
  <c r="B11"/>
  <c r="B41"/>
  <c r="C41"/>
  <c r="B93"/>
  <c r="C93"/>
  <c r="C20"/>
  <c r="B20"/>
  <c r="C72"/>
  <c r="B72"/>
  <c r="B34"/>
  <c r="C34"/>
  <c r="C114"/>
  <c r="B114"/>
  <c r="C106"/>
  <c r="B106"/>
  <c r="C62"/>
  <c r="B62"/>
  <c r="A59" i="13" s="1"/>
  <c r="C54" i="12"/>
  <c r="B54"/>
  <c r="C117"/>
  <c r="B117"/>
  <c r="C101"/>
  <c r="B101"/>
  <c r="C47"/>
  <c r="B47"/>
  <c r="C103"/>
  <c r="B103"/>
  <c r="C51"/>
  <c r="B51"/>
  <c r="B89"/>
  <c r="C89"/>
  <c r="C16"/>
  <c r="B16"/>
  <c r="C68"/>
  <c r="B11" i="21" s="1"/>
  <c r="B68" i="12"/>
  <c r="B30"/>
  <c r="C30"/>
  <c r="B116"/>
  <c r="C116"/>
  <c r="B108"/>
  <c r="C108"/>
  <c r="B64"/>
  <c r="C64"/>
  <c r="C56"/>
  <c r="B56"/>
  <c r="C48"/>
  <c r="B48"/>
  <c r="C105"/>
  <c r="B105"/>
  <c r="C53"/>
  <c r="B53"/>
  <c r="C107"/>
  <c r="B107"/>
  <c r="C55"/>
  <c r="B55"/>
  <c r="B85"/>
  <c r="C85"/>
  <c r="C12"/>
  <c r="B12"/>
  <c r="C28"/>
  <c r="B28"/>
  <c r="C80"/>
  <c r="B80"/>
  <c r="C118"/>
  <c r="B118"/>
  <c r="C110"/>
  <c r="B110"/>
  <c r="C102"/>
  <c r="B102"/>
  <c r="C58"/>
  <c r="B58"/>
  <c r="C50"/>
  <c r="B50"/>
  <c r="C109"/>
  <c r="B109"/>
  <c r="C57"/>
  <c r="B57"/>
  <c r="C111"/>
  <c r="B111"/>
  <c r="C59"/>
  <c r="B59"/>
  <c r="L50" i="18"/>
  <c r="N25"/>
  <c r="L25" s="1"/>
  <c r="F25"/>
  <c r="N24"/>
  <c r="L24" s="1"/>
  <c r="F24"/>
  <c r="N23"/>
  <c r="L23" s="1"/>
  <c r="F23"/>
  <c r="G23"/>
  <c r="N22"/>
  <c r="L22" s="1"/>
  <c r="F22"/>
  <c r="N21"/>
  <c r="L21" s="1"/>
  <c r="F21"/>
  <c r="N20"/>
  <c r="L20" s="1"/>
  <c r="F20"/>
  <c r="I20"/>
  <c r="N19"/>
  <c r="L19"/>
  <c r="F19"/>
  <c r="N18"/>
  <c r="L18" s="1"/>
  <c r="F18"/>
  <c r="N17"/>
  <c r="L17" s="1"/>
  <c r="F17"/>
  <c r="N16"/>
  <c r="L16" s="1"/>
  <c r="F16"/>
  <c r="I16"/>
  <c r="N15"/>
  <c r="L15"/>
  <c r="F15"/>
  <c r="N14"/>
  <c r="L14" s="1"/>
  <c r="F14"/>
  <c r="N13"/>
  <c r="L13" s="1"/>
  <c r="F13"/>
  <c r="I13"/>
  <c r="N12"/>
  <c r="L12" s="1"/>
  <c r="F12"/>
  <c r="I12"/>
  <c r="H12"/>
  <c r="J35" s="1"/>
  <c r="N11"/>
  <c r="L11"/>
  <c r="F11"/>
  <c r="H11"/>
  <c r="J34" s="1"/>
  <c r="N10"/>
  <c r="L10"/>
  <c r="F10"/>
  <c r="N9"/>
  <c r="L9" s="1"/>
  <c r="F9"/>
  <c r="I9"/>
  <c r="N8"/>
  <c r="L8" s="1"/>
  <c r="F8"/>
  <c r="G25" s="1"/>
  <c r="I8"/>
  <c r="I31" s="1"/>
  <c r="H8"/>
  <c r="G137" i="17"/>
  <c r="N84"/>
  <c r="M84"/>
  <c r="L84"/>
  <c r="K84"/>
  <c r="J84"/>
  <c r="I84"/>
  <c r="H84"/>
  <c r="G84"/>
  <c r="F84"/>
  <c r="E84"/>
  <c r="D84"/>
  <c r="C84"/>
  <c r="O58"/>
  <c r="N58"/>
  <c r="M58"/>
  <c r="L58"/>
  <c r="K58"/>
  <c r="J58"/>
  <c r="I58"/>
  <c r="H58"/>
  <c r="G58"/>
  <c r="F58"/>
  <c r="E58"/>
  <c r="D58"/>
  <c r="C58"/>
  <c r="AO48"/>
  <c r="AN48"/>
  <c r="AM48"/>
  <c r="AL48"/>
  <c r="AK48"/>
  <c r="AJ48"/>
  <c r="AI48"/>
  <c r="AH48"/>
  <c r="AG48"/>
  <c r="AF48"/>
  <c r="AE48"/>
  <c r="AC48"/>
  <c r="AD48" s="1"/>
  <c r="AB48"/>
  <c r="AA48"/>
  <c r="Y48"/>
  <c r="Z48" s="1"/>
  <c r="X48"/>
  <c r="AO47"/>
  <c r="AN47"/>
  <c r="AM47"/>
  <c r="AL47"/>
  <c r="AK47"/>
  <c r="AI47"/>
  <c r="AJ47" s="1"/>
  <c r="AH47"/>
  <c r="AG47"/>
  <c r="AF47"/>
  <c r="AE47"/>
  <c r="AC47"/>
  <c r="AD47" s="1"/>
  <c r="AB47"/>
  <c r="AA47"/>
  <c r="Y47"/>
  <c r="Z47" s="1"/>
  <c r="X47"/>
  <c r="AO45"/>
  <c r="AN45"/>
  <c r="AM45"/>
  <c r="AL45"/>
  <c r="AK45"/>
  <c r="AI45"/>
  <c r="AJ45" s="1"/>
  <c r="AH45"/>
  <c r="AG45"/>
  <c r="AF45"/>
  <c r="AE45"/>
  <c r="AC45"/>
  <c r="AD45" s="1"/>
  <c r="AB45"/>
  <c r="AA45"/>
  <c r="Y45"/>
  <c r="Z45" s="1"/>
  <c r="X45"/>
  <c r="AO44"/>
  <c r="AN44"/>
  <c r="AM44"/>
  <c r="AL44"/>
  <c r="AK44"/>
  <c r="AI44"/>
  <c r="AJ44" s="1"/>
  <c r="AH44"/>
  <c r="AG44"/>
  <c r="AF44"/>
  <c r="AE44"/>
  <c r="AC44"/>
  <c r="AD44" s="1"/>
  <c r="AB44"/>
  <c r="AA44"/>
  <c r="Y44"/>
  <c r="Z44" s="1"/>
  <c r="X44"/>
  <c r="AO43"/>
  <c r="AN43"/>
  <c r="AM43"/>
  <c r="AL43"/>
  <c r="AK43"/>
  <c r="AI43"/>
  <c r="AJ43" s="1"/>
  <c r="AH43"/>
  <c r="AG43"/>
  <c r="AF43"/>
  <c r="AE43"/>
  <c r="AC43"/>
  <c r="AD43" s="1"/>
  <c r="AB43"/>
  <c r="AA43"/>
  <c r="Y43"/>
  <c r="Z43" s="1"/>
  <c r="X43"/>
  <c r="AO42"/>
  <c r="AN42"/>
  <c r="AM42"/>
  <c r="AL42"/>
  <c r="AK42"/>
  <c r="AI42"/>
  <c r="AJ42" s="1"/>
  <c r="AH42"/>
  <c r="AG42"/>
  <c r="AF42"/>
  <c r="AE42"/>
  <c r="AC42"/>
  <c r="AD42" s="1"/>
  <c r="AB42"/>
  <c r="AA42"/>
  <c r="Y42"/>
  <c r="Z42" s="1"/>
  <c r="X42"/>
  <c r="AO41"/>
  <c r="AN41"/>
  <c r="AM41"/>
  <c r="AL41"/>
  <c r="AK41"/>
  <c r="AI41"/>
  <c r="AJ41" s="1"/>
  <c r="AH41"/>
  <c r="AG41"/>
  <c r="AF41"/>
  <c r="AE41"/>
  <c r="AC41"/>
  <c r="AD41" s="1"/>
  <c r="AB41"/>
  <c r="AA41"/>
  <c r="Y41"/>
  <c r="Z41" s="1"/>
  <c r="X41"/>
  <c r="AO40"/>
  <c r="AN40"/>
  <c r="AM40"/>
  <c r="AL40"/>
  <c r="AK40"/>
  <c r="AI40"/>
  <c r="AJ40" s="1"/>
  <c r="AH40"/>
  <c r="AG40"/>
  <c r="AF40"/>
  <c r="AE40"/>
  <c r="AC40"/>
  <c r="AD40" s="1"/>
  <c r="AB40"/>
  <c r="AA40"/>
  <c r="Y40"/>
  <c r="Z40" s="1"/>
  <c r="X40"/>
  <c r="AO37"/>
  <c r="AN37"/>
  <c r="AM37"/>
  <c r="AL37"/>
  <c r="AK37"/>
  <c r="AJ37"/>
  <c r="AI37"/>
  <c r="AH37"/>
  <c r="AG37"/>
  <c r="AF37"/>
  <c r="AE37"/>
  <c r="AC37"/>
  <c r="AD37" s="1"/>
  <c r="AB37"/>
  <c r="AA37"/>
  <c r="Y37"/>
  <c r="Z37" s="1"/>
  <c r="X37"/>
  <c r="AO35"/>
  <c r="AN35"/>
  <c r="AM35"/>
  <c r="AL35"/>
  <c r="AK35"/>
  <c r="AJ35"/>
  <c r="AI35"/>
  <c r="AH35"/>
  <c r="AG35"/>
  <c r="AF35"/>
  <c r="AE35"/>
  <c r="AC35"/>
  <c r="AD35" s="1"/>
  <c r="AB35"/>
  <c r="AA35"/>
  <c r="Y35"/>
  <c r="Z35" s="1"/>
  <c r="X35"/>
  <c r="AO34"/>
  <c r="AN34"/>
  <c r="AM34"/>
  <c r="AL34"/>
  <c r="AK34"/>
  <c r="AJ34"/>
  <c r="AI34"/>
  <c r="AH34"/>
  <c r="AG34"/>
  <c r="AF34"/>
  <c r="AE34"/>
  <c r="AC34"/>
  <c r="AD34" s="1"/>
  <c r="AB34"/>
  <c r="AA34"/>
  <c r="Y34"/>
  <c r="Z34" s="1"/>
  <c r="X34"/>
  <c r="O30"/>
  <c r="O29" s="1"/>
  <c r="M30"/>
  <c r="M29" s="1"/>
  <c r="K30"/>
  <c r="K29" s="1"/>
  <c r="I30"/>
  <c r="I29" s="1"/>
  <c r="G30"/>
  <c r="G29" s="1"/>
  <c r="E30"/>
  <c r="E29" s="1"/>
  <c r="C30"/>
  <c r="C29" s="1"/>
  <c r="AO28"/>
  <c r="AN28"/>
  <c r="AM28"/>
  <c r="AL28"/>
  <c r="AK28"/>
  <c r="AJ28"/>
  <c r="AI28"/>
  <c r="AH28"/>
  <c r="AG28"/>
  <c r="AF28"/>
  <c r="AE28"/>
  <c r="AC28"/>
  <c r="AD28" s="1"/>
  <c r="AB28"/>
  <c r="AA28"/>
  <c r="Y28"/>
  <c r="Z28" s="1"/>
  <c r="X28"/>
  <c r="O28"/>
  <c r="M28"/>
  <c r="K28"/>
  <c r="I28"/>
  <c r="G28"/>
  <c r="E28"/>
  <c r="C28"/>
  <c r="O27"/>
  <c r="N27"/>
  <c r="N30" s="1"/>
  <c r="M27"/>
  <c r="L27"/>
  <c r="L30" s="1"/>
  <c r="K27"/>
  <c r="J27"/>
  <c r="J30" s="1"/>
  <c r="I27"/>
  <c r="H27"/>
  <c r="H30" s="1"/>
  <c r="G27"/>
  <c r="F27"/>
  <c r="F30" s="1"/>
  <c r="E27"/>
  <c r="D27"/>
  <c r="D30" s="1"/>
  <c r="W10"/>
  <c r="B2" i="21"/>
  <c r="B54" l="1"/>
  <c r="B41" i="13"/>
  <c r="B23" i="21"/>
  <c r="B46" i="13"/>
  <c r="A12" i="21"/>
  <c r="A24" i="13"/>
  <c r="A45" i="21"/>
  <c r="A61"/>
  <c r="A25" i="13"/>
  <c r="B28" i="21"/>
  <c r="A50"/>
  <c r="A48"/>
  <c r="B51"/>
  <c r="B45" i="13"/>
  <c r="A13"/>
  <c r="A60" i="21"/>
  <c r="A57"/>
  <c r="A33" i="13"/>
  <c r="A15" i="21"/>
  <c r="B36"/>
  <c r="A8" i="13"/>
  <c r="A58" i="21"/>
  <c r="A56"/>
  <c r="B55"/>
  <c r="A37" i="13"/>
  <c r="A19" i="21"/>
  <c r="B40"/>
  <c r="A34" i="13"/>
  <c r="A16" i="21"/>
  <c r="B52" i="13"/>
  <c r="A31"/>
  <c r="A13" i="21"/>
  <c r="B38"/>
  <c r="B35" i="13"/>
  <c r="B51"/>
  <c r="B58"/>
  <c r="A22"/>
  <c r="A38"/>
  <c r="B9"/>
  <c r="A32" i="21"/>
  <c r="B44"/>
  <c r="B49"/>
  <c r="B17" i="13"/>
  <c r="B21"/>
  <c r="A23"/>
  <c r="A54" i="21"/>
  <c r="A52"/>
  <c r="A53"/>
  <c r="A41" i="13"/>
  <c r="A23" i="21"/>
  <c r="A9" i="13"/>
  <c r="B59" i="21"/>
  <c r="A29" i="13"/>
  <c r="A11" i="21"/>
  <c r="B32"/>
  <c r="A46"/>
  <c r="A44"/>
  <c r="A49"/>
  <c r="B49" i="13"/>
  <c r="A17"/>
  <c r="A47" i="21"/>
  <c r="A21" i="13"/>
  <c r="B60"/>
  <c r="B26" i="21"/>
  <c r="A11" i="13"/>
  <c r="B36"/>
  <c r="B18" i="21"/>
  <c r="A14" i="13"/>
  <c r="B31" i="21"/>
  <c r="A12" i="13"/>
  <c r="B41" i="21"/>
  <c r="A40" i="13"/>
  <c r="A22" i="21"/>
  <c r="A16" i="13"/>
  <c r="B52" i="21"/>
  <c r="B53"/>
  <c r="A59"/>
  <c r="B46"/>
  <c r="B47"/>
  <c r="A42" i="13"/>
  <c r="B30"/>
  <c r="A32"/>
  <c r="A14" i="21"/>
  <c r="A15" i="13"/>
  <c r="A20"/>
  <c r="B45" i="21"/>
  <c r="B61"/>
  <c r="B25" i="13"/>
  <c r="A28" i="21"/>
  <c r="B50"/>
  <c r="B48"/>
  <c r="A51"/>
  <c r="A45" i="13"/>
  <c r="B13"/>
  <c r="B60" i="21"/>
  <c r="B57"/>
  <c r="B33" i="13"/>
  <c r="B15" i="21"/>
  <c r="A36"/>
  <c r="B8" i="13"/>
  <c r="B58" i="21"/>
  <c r="B56"/>
  <c r="A55"/>
  <c r="B37" i="13"/>
  <c r="B19" i="21"/>
  <c r="A40"/>
  <c r="A18" i="13"/>
  <c r="A44"/>
  <c r="A36"/>
  <c r="A18" i="21"/>
  <c r="B43" i="13"/>
  <c r="B25" i="21"/>
  <c r="B39" i="13"/>
  <c r="B21" i="21"/>
  <c r="B34"/>
  <c r="B30"/>
  <c r="B27" i="13"/>
  <c r="A54"/>
  <c r="B47"/>
  <c r="B56"/>
  <c r="B44"/>
  <c r="B40"/>
  <c r="A47"/>
  <c r="A50"/>
  <c r="A57"/>
  <c r="A27"/>
  <c r="A48"/>
  <c r="B53"/>
  <c r="B42"/>
  <c r="A51"/>
  <c r="A53"/>
  <c r="B34"/>
  <c r="A46"/>
  <c r="A26"/>
  <c r="B26"/>
  <c r="B31"/>
  <c r="B38"/>
  <c r="A58"/>
  <c r="B57"/>
  <c r="B61"/>
  <c r="B29"/>
  <c r="A49"/>
  <c r="A56"/>
  <c r="A60"/>
  <c r="B55"/>
  <c r="B48"/>
  <c r="A52"/>
  <c r="A30"/>
  <c r="B59"/>
  <c r="A55"/>
  <c r="B54"/>
  <c r="A61"/>
  <c r="B50"/>
  <c r="G10" i="18"/>
  <c r="G11"/>
  <c r="G14"/>
  <c r="H15"/>
  <c r="J38" s="1"/>
  <c r="H16"/>
  <c r="J39" s="1"/>
  <c r="I39" s="1"/>
  <c r="I17"/>
  <c r="H19"/>
  <c r="J42" s="1"/>
  <c r="H20"/>
  <c r="J43" s="1"/>
  <c r="I21"/>
  <c r="I44" s="1"/>
  <c r="I24"/>
  <c r="G15"/>
  <c r="G18"/>
  <c r="G19"/>
  <c r="G22"/>
  <c r="H23"/>
  <c r="J46" s="1"/>
  <c r="H24"/>
  <c r="J47" s="1"/>
  <c r="I25"/>
  <c r="H31"/>
  <c r="J31"/>
  <c r="H46"/>
  <c r="I46"/>
  <c r="G46"/>
  <c r="H34"/>
  <c r="I34"/>
  <c r="G34"/>
  <c r="H35"/>
  <c r="G35"/>
  <c r="I35"/>
  <c r="H47"/>
  <c r="I47"/>
  <c r="G47"/>
  <c r="H42"/>
  <c r="I42"/>
  <c r="G42"/>
  <c r="H43"/>
  <c r="I43"/>
  <c r="G43"/>
  <c r="H38"/>
  <c r="G38"/>
  <c r="I38"/>
  <c r="G39"/>
  <c r="G8"/>
  <c r="G31" s="1"/>
  <c r="H9"/>
  <c r="J32" s="1"/>
  <c r="I10"/>
  <c r="G12"/>
  <c r="H13"/>
  <c r="J36" s="1"/>
  <c r="I14"/>
  <c r="G16"/>
  <c r="H17"/>
  <c r="J40" s="1"/>
  <c r="I18"/>
  <c r="G20"/>
  <c r="H21"/>
  <c r="I22"/>
  <c r="G24"/>
  <c r="H25"/>
  <c r="J48" s="1"/>
  <c r="G9"/>
  <c r="H10"/>
  <c r="J33" s="1"/>
  <c r="I11"/>
  <c r="G13"/>
  <c r="H14"/>
  <c r="J37" s="1"/>
  <c r="I15"/>
  <c r="G17"/>
  <c r="H18"/>
  <c r="J41" s="1"/>
  <c r="I19"/>
  <c r="G21"/>
  <c r="G44" s="1"/>
  <c r="H22"/>
  <c r="J45" s="1"/>
  <c r="I23"/>
  <c r="D29" i="17"/>
  <c r="H29"/>
  <c r="F29"/>
  <c r="J29"/>
  <c r="F28"/>
  <c r="J28"/>
  <c r="N28"/>
  <c r="N29" s="1"/>
  <c r="D28"/>
  <c r="H28"/>
  <c r="L28"/>
  <c r="L29" s="1"/>
  <c r="H39" i="18" l="1"/>
  <c r="H33"/>
  <c r="G33"/>
  <c r="I33"/>
  <c r="H40"/>
  <c r="I40"/>
  <c r="G40"/>
  <c r="H45"/>
  <c r="I45"/>
  <c r="G45"/>
  <c r="H36"/>
  <c r="I36"/>
  <c r="G36"/>
  <c r="H37"/>
  <c r="I37"/>
  <c r="G37"/>
  <c r="H44"/>
  <c r="J44"/>
  <c r="H41"/>
  <c r="I41"/>
  <c r="G41"/>
  <c r="H48"/>
  <c r="G48"/>
  <c r="I48"/>
  <c r="H32"/>
  <c r="I32"/>
  <c r="G32"/>
  <c r="B4" i="14" l="1"/>
  <c r="B5" s="1"/>
  <c r="B6" s="1"/>
  <c r="B7" s="1"/>
  <c r="B8" s="1"/>
  <c r="B2" i="13"/>
  <c r="F10" i="11" l="1"/>
  <c r="G10" s="1"/>
  <c r="C9"/>
  <c r="E11" s="1"/>
  <c r="E34" s="1"/>
  <c r="E12" l="1"/>
  <c r="E84"/>
  <c r="E59"/>
  <c r="E58"/>
  <c r="E83" s="1"/>
  <c r="E120" s="1"/>
  <c r="E121"/>
  <c r="F11"/>
  <c r="F34" s="1"/>
  <c r="H10"/>
  <c r="F121" l="1"/>
  <c r="F59"/>
  <c r="F84"/>
  <c r="F58"/>
  <c r="F83" s="1"/>
  <c r="F120" s="1"/>
  <c r="F12"/>
  <c r="G11"/>
  <c r="G34" s="1"/>
  <c r="I10"/>
  <c r="E85" l="1"/>
  <c r="E122" s="1"/>
  <c r="G84"/>
  <c r="G59"/>
  <c r="G58"/>
  <c r="G83" s="1"/>
  <c r="G120" s="1"/>
  <c r="G121"/>
  <c r="G12"/>
  <c r="H11"/>
  <c r="H34" s="1"/>
  <c r="J10"/>
  <c r="F85" l="1"/>
  <c r="F122" s="1"/>
  <c r="H59"/>
  <c r="H58"/>
  <c r="H83" s="1"/>
  <c r="H120" s="1"/>
  <c r="H121"/>
  <c r="H84"/>
  <c r="H12"/>
  <c r="I11"/>
  <c r="I34" s="1"/>
  <c r="K10"/>
  <c r="G85" l="1"/>
  <c r="G122" s="1"/>
  <c r="I84"/>
  <c r="I121"/>
  <c r="I59"/>
  <c r="I58"/>
  <c r="I83" s="1"/>
  <c r="I120" s="1"/>
  <c r="I12"/>
  <c r="J11"/>
  <c r="J34" s="1"/>
  <c r="L10"/>
  <c r="J121" l="1"/>
  <c r="J59"/>
  <c r="J58"/>
  <c r="J83" s="1"/>
  <c r="J120" s="1"/>
  <c r="J84"/>
  <c r="H85"/>
  <c r="H122" s="1"/>
  <c r="J12"/>
  <c r="K11"/>
  <c r="K34" s="1"/>
  <c r="M10"/>
  <c r="I85" l="1"/>
  <c r="I122" s="1"/>
  <c r="K84"/>
  <c r="K59"/>
  <c r="K58"/>
  <c r="K83" s="1"/>
  <c r="K120" s="1"/>
  <c r="K121"/>
  <c r="K12"/>
  <c r="L11"/>
  <c r="L34" s="1"/>
  <c r="N10"/>
  <c r="J85" l="1"/>
  <c r="J122" s="1"/>
  <c r="L59"/>
  <c r="L58"/>
  <c r="L83" s="1"/>
  <c r="L120" s="1"/>
  <c r="L121"/>
  <c r="L84"/>
  <c r="L12"/>
  <c r="M11"/>
  <c r="M34" s="1"/>
  <c r="O10"/>
  <c r="M84" l="1"/>
  <c r="M59"/>
  <c r="M58"/>
  <c r="M83" s="1"/>
  <c r="M120" s="1"/>
  <c r="M121"/>
  <c r="K85"/>
  <c r="K122" s="1"/>
  <c r="M12"/>
  <c r="N11"/>
  <c r="N34" s="1"/>
  <c r="P10"/>
  <c r="L85" l="1"/>
  <c r="L122" s="1"/>
  <c r="N121"/>
  <c r="N84"/>
  <c r="N59"/>
  <c r="N58"/>
  <c r="N83" s="1"/>
  <c r="N120" s="1"/>
  <c r="N12"/>
  <c r="O11"/>
  <c r="O34" s="1"/>
  <c r="Q10"/>
  <c r="O84" l="1"/>
  <c r="O59"/>
  <c r="O58"/>
  <c r="O83" s="1"/>
  <c r="O120" s="1"/>
  <c r="O121"/>
  <c r="O12"/>
  <c r="P11"/>
  <c r="P34" s="1"/>
  <c r="R10"/>
  <c r="N85" l="1"/>
  <c r="N122" s="1"/>
  <c r="P12"/>
  <c r="P59"/>
  <c r="P58"/>
  <c r="P83" s="1"/>
  <c r="P120" s="1"/>
  <c r="P121"/>
  <c r="P84"/>
  <c r="M85"/>
  <c r="M122" s="1"/>
  <c r="Q11"/>
  <c r="Q34" s="1"/>
  <c r="S10"/>
  <c r="O85" l="1"/>
  <c r="O122" s="1"/>
  <c r="Q12"/>
  <c r="Q84"/>
  <c r="Q121"/>
  <c r="Q59"/>
  <c r="Q58"/>
  <c r="Q83" s="1"/>
  <c r="Q120" s="1"/>
  <c r="R11"/>
  <c r="R34" s="1"/>
  <c r="T10"/>
  <c r="R12" l="1"/>
  <c r="R121"/>
  <c r="R59"/>
  <c r="R58"/>
  <c r="R83" s="1"/>
  <c r="R120" s="1"/>
  <c r="R84"/>
  <c r="P85"/>
  <c r="P122" s="1"/>
  <c r="S11"/>
  <c r="S34" s="1"/>
  <c r="U10"/>
  <c r="S12" l="1"/>
  <c r="S84"/>
  <c r="S59"/>
  <c r="S58"/>
  <c r="S83" s="1"/>
  <c r="S120" s="1"/>
  <c r="S121"/>
  <c r="Q85"/>
  <c r="Q122" s="1"/>
  <c r="T11"/>
  <c r="T34" s="1"/>
  <c r="V10"/>
  <c r="T12" l="1"/>
  <c r="T59"/>
  <c r="T58"/>
  <c r="T83" s="1"/>
  <c r="T120" s="1"/>
  <c r="T121"/>
  <c r="T84"/>
  <c r="R85"/>
  <c r="R122" s="1"/>
  <c r="U11"/>
  <c r="U34" s="1"/>
  <c r="W10"/>
  <c r="S85" l="1"/>
  <c r="S122" s="1"/>
  <c r="U12"/>
  <c r="U84"/>
  <c r="U59"/>
  <c r="U58"/>
  <c r="U83" s="1"/>
  <c r="U120" s="1"/>
  <c r="U121"/>
  <c r="V11"/>
  <c r="V34" s="1"/>
  <c r="X10"/>
  <c r="V12" l="1"/>
  <c r="V121"/>
  <c r="V59"/>
  <c r="V84"/>
  <c r="V58"/>
  <c r="V83" s="1"/>
  <c r="V120" s="1"/>
  <c r="W11"/>
  <c r="W34" s="1"/>
  <c r="T85" l="1"/>
  <c r="T122" s="1"/>
  <c r="W12"/>
  <c r="W84"/>
  <c r="W59"/>
  <c r="W58"/>
  <c r="W83" s="1"/>
  <c r="W120" s="1"/>
  <c r="W121"/>
  <c r="X11"/>
  <c r="X34" s="1"/>
  <c r="U85" l="1"/>
  <c r="U122" s="1"/>
  <c r="V85"/>
  <c r="V122" s="1"/>
  <c r="X12"/>
  <c r="X59"/>
  <c r="X58"/>
  <c r="X83" s="1"/>
  <c r="X120" s="1"/>
  <c r="X121"/>
  <c r="X84"/>
  <c r="W85" l="1"/>
  <c r="W122" s="1"/>
  <c r="Y85" l="1"/>
  <c r="Y122" s="1"/>
  <c r="X85"/>
  <c r="X122" s="1"/>
  <c r="N31" i="12" l="1"/>
  <c r="N36"/>
  <c r="N54" s="1"/>
  <c r="N33"/>
  <c r="N51" s="1"/>
  <c r="N34"/>
  <c r="N52" s="1"/>
  <c r="N39"/>
  <c r="N57" s="1"/>
  <c r="N37"/>
  <c r="N55" s="1"/>
  <c r="N44"/>
  <c r="N62" s="1"/>
  <c r="N35"/>
  <c r="N53" s="1"/>
  <c r="N30"/>
  <c r="N48" s="1"/>
  <c r="N41"/>
  <c r="N59" s="1"/>
  <c r="N40"/>
  <c r="N43"/>
  <c r="N61" s="1"/>
  <c r="N32"/>
  <c r="N50" s="1"/>
  <c r="N38"/>
  <c r="N56" s="1"/>
  <c r="N45"/>
  <c r="N63" s="1"/>
  <c r="N42"/>
  <c r="N60" s="1"/>
  <c r="N46"/>
  <c r="N64" s="1"/>
  <c r="N29"/>
  <c r="N47" s="1"/>
  <c r="N58" l="1"/>
  <c r="N49"/>
  <c r="E35" i="11" l="1"/>
  <c r="F35"/>
  <c r="G35"/>
  <c r="H35"/>
  <c r="I35"/>
  <c r="J35"/>
  <c r="K35"/>
  <c r="L35"/>
  <c r="M35"/>
  <c r="N35"/>
  <c r="O35"/>
  <c r="P35"/>
  <c r="Q35"/>
  <c r="R35"/>
  <c r="S35"/>
  <c r="T35"/>
  <c r="U35"/>
  <c r="V35"/>
  <c r="W35"/>
  <c r="X35"/>
  <c r="S86" l="1"/>
  <c r="S123" s="1"/>
  <c r="P86"/>
  <c r="P123" s="1"/>
  <c r="I86"/>
  <c r="I123" s="1"/>
  <c r="W86"/>
  <c r="W123" s="1"/>
  <c r="H86"/>
  <c r="H123" s="1"/>
  <c r="V86"/>
  <c r="V123" s="1"/>
  <c r="K86"/>
  <c r="K123" s="1"/>
  <c r="T86"/>
  <c r="T123" s="1"/>
  <c r="L86"/>
  <c r="L123" s="1"/>
  <c r="N86"/>
  <c r="N123" s="1"/>
  <c r="Y86"/>
  <c r="Y123" s="1"/>
  <c r="M86"/>
  <c r="M123" s="1"/>
  <c r="R86"/>
  <c r="R123" s="1"/>
  <c r="G86"/>
  <c r="G123" s="1"/>
  <c r="Q86"/>
  <c r="Q123" s="1"/>
  <c r="F86"/>
  <c r="F123" s="1"/>
  <c r="X86"/>
  <c r="X123" s="1"/>
  <c r="U86"/>
  <c r="U123" s="1"/>
  <c r="E86"/>
  <c r="E123" s="1"/>
  <c r="J86"/>
  <c r="J123" s="1"/>
  <c r="O86"/>
  <c r="O123" s="1"/>
  <c r="Q28" i="12" l="1"/>
  <c r="B43" i="11"/>
  <c r="Q108" i="12"/>
  <c r="Q92"/>
  <c r="B39" i="11"/>
  <c r="Q111" i="12"/>
  <c r="Q35"/>
  <c r="B49" i="24"/>
  <c r="Q55" i="12"/>
  <c r="B40" i="11"/>
  <c r="B39" i="24"/>
  <c r="Q44" i="12"/>
  <c r="Q50"/>
  <c r="Q38"/>
  <c r="Q115"/>
  <c r="Q14"/>
  <c r="Q39"/>
  <c r="Q45"/>
  <c r="Q52"/>
  <c r="Q56"/>
  <c r="Q102"/>
  <c r="Q72"/>
  <c r="Q66"/>
  <c r="B46" i="11"/>
  <c r="B41"/>
  <c r="B38"/>
  <c r="B45"/>
  <c r="Q81" i="12"/>
  <c r="Q78"/>
  <c r="B37" i="24"/>
  <c r="Q104" i="12"/>
  <c r="Q91"/>
  <c r="Q70"/>
  <c r="Q113"/>
  <c r="Q49"/>
  <c r="Q62"/>
  <c r="B53" i="11"/>
  <c r="Q22" i="12"/>
  <c r="Q29"/>
  <c r="B40" i="24"/>
  <c r="Q59" i="12"/>
  <c r="Q24"/>
  <c r="Q89"/>
  <c r="Q80"/>
  <c r="Q64"/>
  <c r="B36" i="24"/>
  <c r="Q54" i="12"/>
  <c r="Q116"/>
  <c r="Q71"/>
  <c r="Q67"/>
  <c r="Q32"/>
  <c r="Q75"/>
  <c r="B43" i="24"/>
  <c r="Q117" i="12"/>
  <c r="Q82"/>
  <c r="B42" i="11"/>
  <c r="Q40" i="12"/>
  <c r="Q99"/>
  <c r="Q110"/>
  <c r="Q68"/>
  <c r="Q23"/>
  <c r="Q96"/>
  <c r="Q57"/>
  <c r="B44" i="11"/>
  <c r="Q34" i="12"/>
  <c r="Q83"/>
  <c r="Q101"/>
  <c r="B52" i="24"/>
  <c r="Q15" i="12"/>
  <c r="B37" i="11"/>
  <c r="Q30" i="12"/>
  <c r="Q98"/>
  <c r="B38" i="24"/>
  <c r="B51" i="11"/>
  <c r="B45" i="24"/>
  <c r="Q73" i="12"/>
  <c r="Q94"/>
  <c r="Q95"/>
  <c r="Q20"/>
  <c r="Q107"/>
  <c r="Q53"/>
  <c r="Q12"/>
  <c r="Q74"/>
  <c r="Q51"/>
  <c r="Q84"/>
  <c r="Q21"/>
  <c r="Q47"/>
  <c r="B48" i="24"/>
  <c r="Q17" i="12"/>
  <c r="Q31"/>
  <c r="B52" i="11"/>
  <c r="Q33" i="12"/>
  <c r="Q114"/>
  <c r="Q112"/>
  <c r="B53" i="24"/>
  <c r="Q26" i="12"/>
  <c r="Q36"/>
  <c r="Q63"/>
  <c r="Q118"/>
  <c r="Q109"/>
  <c r="Q93"/>
  <c r="Q88"/>
  <c r="B49" i="11"/>
  <c r="B42" i="24"/>
  <c r="Q90" i="12"/>
  <c r="B50" i="24"/>
  <c r="B47"/>
  <c r="Q48" i="12"/>
  <c r="B50" i="11"/>
  <c r="Q61" i="12"/>
  <c r="Q13"/>
  <c r="Q58"/>
  <c r="Q42"/>
  <c r="Q41"/>
  <c r="Q25"/>
  <c r="Q103"/>
  <c r="Q43"/>
  <c r="Q46"/>
  <c r="Q60"/>
  <c r="Q79"/>
  <c r="Q27"/>
  <c r="B41" i="24"/>
  <c r="Q106" i="12"/>
  <c r="Q100"/>
  <c r="Q16"/>
  <c r="Q37"/>
  <c r="Q87"/>
  <c r="Q105"/>
  <c r="B46" i="24"/>
  <c r="Q77" i="12"/>
  <c r="B48" i="11"/>
  <c r="Q85" i="12"/>
  <c r="Q18"/>
  <c r="Q65"/>
  <c r="B51" i="24"/>
  <c r="Q86" i="12"/>
  <c r="Q11"/>
  <c r="B47" i="11"/>
  <c r="B44" i="24"/>
  <c r="Q69" i="12"/>
  <c r="Q19"/>
  <c r="B36" i="11"/>
  <c r="Q97" i="12"/>
  <c r="Q76"/>
  <c r="S27" l="1"/>
  <c r="R27"/>
  <c r="I27"/>
  <c r="K27"/>
  <c r="L27"/>
  <c r="P27"/>
  <c r="O27"/>
  <c r="J27"/>
  <c r="O43"/>
  <c r="S43"/>
  <c r="R43"/>
  <c r="J43"/>
  <c r="L43"/>
  <c r="I43"/>
  <c r="P43"/>
  <c r="K43"/>
  <c r="R42"/>
  <c r="P42"/>
  <c r="L42"/>
  <c r="J42"/>
  <c r="K42"/>
  <c r="I42"/>
  <c r="S42"/>
  <c r="O42"/>
  <c r="J93"/>
  <c r="P93"/>
  <c r="R93"/>
  <c r="L93"/>
  <c r="K93"/>
  <c r="O93"/>
  <c r="I93"/>
  <c r="S93"/>
  <c r="I114"/>
  <c r="R114"/>
  <c r="J114"/>
  <c r="O114"/>
  <c r="L114"/>
  <c r="P114"/>
  <c r="K114"/>
  <c r="S114"/>
  <c r="R34"/>
  <c r="P34"/>
  <c r="J34"/>
  <c r="O34"/>
  <c r="L34"/>
  <c r="K34"/>
  <c r="S34"/>
  <c r="I34"/>
  <c r="L23"/>
  <c r="I23"/>
  <c r="J23"/>
  <c r="P23"/>
  <c r="S23"/>
  <c r="K23"/>
  <c r="O23"/>
  <c r="R23"/>
  <c r="S40"/>
  <c r="P40"/>
  <c r="L40"/>
  <c r="J40"/>
  <c r="R40"/>
  <c r="O40"/>
  <c r="K40"/>
  <c r="I40"/>
  <c r="J71"/>
  <c r="L71"/>
  <c r="P71"/>
  <c r="S71"/>
  <c r="I71"/>
  <c r="O71"/>
  <c r="K71"/>
  <c r="R71"/>
  <c r="S64"/>
  <c r="J64"/>
  <c r="I64"/>
  <c r="P64"/>
  <c r="O64"/>
  <c r="K64"/>
  <c r="L64"/>
  <c r="R64"/>
  <c r="S59"/>
  <c r="R59"/>
  <c r="K59"/>
  <c r="O59"/>
  <c r="I59"/>
  <c r="L59"/>
  <c r="J59"/>
  <c r="P59"/>
  <c r="P39"/>
  <c r="S39"/>
  <c r="O39"/>
  <c r="K39"/>
  <c r="L39"/>
  <c r="J39"/>
  <c r="I39"/>
  <c r="R39"/>
  <c r="K50"/>
  <c r="L50"/>
  <c r="J50"/>
  <c r="P50"/>
  <c r="S50"/>
  <c r="O50"/>
  <c r="R50"/>
  <c r="I50"/>
  <c r="I55"/>
  <c r="R55"/>
  <c r="O55"/>
  <c r="J55"/>
  <c r="L55"/>
  <c r="S55"/>
  <c r="P55"/>
  <c r="K55"/>
  <c r="R28"/>
  <c r="J28"/>
  <c r="K28"/>
  <c r="S28"/>
  <c r="P28"/>
  <c r="I28"/>
  <c r="O28"/>
  <c r="L28"/>
  <c r="J77"/>
  <c r="I77"/>
  <c r="K77"/>
  <c r="L77"/>
  <c r="R77"/>
  <c r="S77"/>
  <c r="P77"/>
  <c r="O77"/>
  <c r="R37"/>
  <c r="P37"/>
  <c r="J37"/>
  <c r="I37"/>
  <c r="L37"/>
  <c r="S37"/>
  <c r="O37"/>
  <c r="K37"/>
  <c r="J46"/>
  <c r="R46"/>
  <c r="K46"/>
  <c r="S46"/>
  <c r="P46"/>
  <c r="L46"/>
  <c r="I46"/>
  <c r="O46"/>
  <c r="L41"/>
  <c r="K41"/>
  <c r="O41"/>
  <c r="R41"/>
  <c r="J41"/>
  <c r="S41"/>
  <c r="P41"/>
  <c r="I41"/>
  <c r="O61"/>
  <c r="I61"/>
  <c r="J61"/>
  <c r="K61"/>
  <c r="S61"/>
  <c r="L61"/>
  <c r="P61"/>
  <c r="R61"/>
  <c r="O88"/>
  <c r="P88"/>
  <c r="S88"/>
  <c r="I88"/>
  <c r="R88"/>
  <c r="L88"/>
  <c r="J88"/>
  <c r="K88"/>
  <c r="S112"/>
  <c r="R112"/>
  <c r="I112"/>
  <c r="P112"/>
  <c r="K112"/>
  <c r="L112"/>
  <c r="J112"/>
  <c r="O112"/>
  <c r="L21"/>
  <c r="R21"/>
  <c r="K21"/>
  <c r="I21"/>
  <c r="S21"/>
  <c r="O21"/>
  <c r="J21"/>
  <c r="P21"/>
  <c r="J95"/>
  <c r="R95"/>
  <c r="O95"/>
  <c r="L95"/>
  <c r="S95"/>
  <c r="P95"/>
  <c r="K95"/>
  <c r="I95"/>
  <c r="I96"/>
  <c r="R96"/>
  <c r="S96"/>
  <c r="O96"/>
  <c r="K96"/>
  <c r="J96"/>
  <c r="L96"/>
  <c r="P96"/>
  <c r="S117"/>
  <c r="L117"/>
  <c r="O117"/>
  <c r="J117"/>
  <c r="K117"/>
  <c r="I117"/>
  <c r="P117"/>
  <c r="R117"/>
  <c r="L67"/>
  <c r="I67"/>
  <c r="K67"/>
  <c r="O67"/>
  <c r="R67"/>
  <c r="J67"/>
  <c r="S67"/>
  <c r="P67"/>
  <c r="L24"/>
  <c r="P24"/>
  <c r="I24"/>
  <c r="J24"/>
  <c r="S24"/>
  <c r="O24"/>
  <c r="K24"/>
  <c r="R24"/>
  <c r="P113"/>
  <c r="S113"/>
  <c r="O113"/>
  <c r="J113"/>
  <c r="I113"/>
  <c r="L113"/>
  <c r="R113"/>
  <c r="K113"/>
  <c r="J45"/>
  <c r="O45"/>
  <c r="P45"/>
  <c r="I45"/>
  <c r="K45"/>
  <c r="S45"/>
  <c r="R45"/>
  <c r="L45"/>
  <c r="P38"/>
  <c r="K38"/>
  <c r="R38"/>
  <c r="O38"/>
  <c r="L38"/>
  <c r="I38"/>
  <c r="J38"/>
  <c r="S38"/>
  <c r="I97"/>
  <c r="P97"/>
  <c r="L97"/>
  <c r="S97"/>
  <c r="O97"/>
  <c r="K97"/>
  <c r="R97"/>
  <c r="J97"/>
  <c r="O87"/>
  <c r="S87"/>
  <c r="R87"/>
  <c r="L87"/>
  <c r="K87"/>
  <c r="I87"/>
  <c r="P87"/>
  <c r="J87"/>
  <c r="X87" s="1"/>
  <c r="O30" i="21" s="1"/>
  <c r="K106" i="12"/>
  <c r="J106"/>
  <c r="I106"/>
  <c r="L106"/>
  <c r="P106"/>
  <c r="R106"/>
  <c r="O106"/>
  <c r="S106"/>
  <c r="J60"/>
  <c r="K60"/>
  <c r="P60"/>
  <c r="R60"/>
  <c r="O60"/>
  <c r="S60"/>
  <c r="I60"/>
  <c r="L60"/>
  <c r="J25"/>
  <c r="L25"/>
  <c r="P25"/>
  <c r="K25"/>
  <c r="O25"/>
  <c r="R25"/>
  <c r="S25"/>
  <c r="I25"/>
  <c r="O13"/>
  <c r="K13"/>
  <c r="J13"/>
  <c r="L13"/>
  <c r="P13"/>
  <c r="I13"/>
  <c r="S13"/>
  <c r="R13"/>
  <c r="J118"/>
  <c r="K118"/>
  <c r="O118"/>
  <c r="P118"/>
  <c r="L118"/>
  <c r="R118"/>
  <c r="S118"/>
  <c r="I118"/>
  <c r="J47"/>
  <c r="R47"/>
  <c r="L47"/>
  <c r="O47"/>
  <c r="I47"/>
  <c r="K47"/>
  <c r="P47"/>
  <c r="S47"/>
  <c r="J74"/>
  <c r="P74"/>
  <c r="L74"/>
  <c r="K74"/>
  <c r="S74"/>
  <c r="R74"/>
  <c r="O74"/>
  <c r="I74"/>
  <c r="O20"/>
  <c r="R20"/>
  <c r="K20"/>
  <c r="I20"/>
  <c r="P20"/>
  <c r="J20"/>
  <c r="S20"/>
  <c r="L20"/>
  <c r="J30"/>
  <c r="S30"/>
  <c r="K30"/>
  <c r="R30"/>
  <c r="I30"/>
  <c r="L30"/>
  <c r="P30"/>
  <c r="O30"/>
  <c r="K101"/>
  <c r="I101"/>
  <c r="J101"/>
  <c r="S101"/>
  <c r="P101"/>
  <c r="R101"/>
  <c r="O101"/>
  <c r="L101"/>
  <c r="K57"/>
  <c r="P57"/>
  <c r="S57"/>
  <c r="I57"/>
  <c r="R57"/>
  <c r="J57"/>
  <c r="O57"/>
  <c r="L57"/>
  <c r="K110"/>
  <c r="I110"/>
  <c r="J110"/>
  <c r="P110"/>
  <c r="O110"/>
  <c r="S110"/>
  <c r="L110"/>
  <c r="R110"/>
  <c r="R82"/>
  <c r="L82"/>
  <c r="P82"/>
  <c r="J82"/>
  <c r="S82"/>
  <c r="I82"/>
  <c r="O82"/>
  <c r="K82"/>
  <c r="L32"/>
  <c r="J32"/>
  <c r="I32"/>
  <c r="P32"/>
  <c r="K32"/>
  <c r="R32"/>
  <c r="S32"/>
  <c r="O32"/>
  <c r="P54"/>
  <c r="J54"/>
  <c r="I54"/>
  <c r="L54"/>
  <c r="O54"/>
  <c r="K54"/>
  <c r="R54"/>
  <c r="S54"/>
  <c r="R89"/>
  <c r="S89"/>
  <c r="L89"/>
  <c r="I89"/>
  <c r="O89"/>
  <c r="P89"/>
  <c r="J89"/>
  <c r="X89" s="1"/>
  <c r="O32" i="21" s="1"/>
  <c r="K89" i="12"/>
  <c r="P29"/>
  <c r="R29"/>
  <c r="S29"/>
  <c r="K29"/>
  <c r="O29"/>
  <c r="J29"/>
  <c r="L29"/>
  <c r="I29"/>
  <c r="L49"/>
  <c r="P49"/>
  <c r="O49"/>
  <c r="R49"/>
  <c r="K49"/>
  <c r="I49"/>
  <c r="S49"/>
  <c r="J49"/>
  <c r="P104"/>
  <c r="S104"/>
  <c r="K104"/>
  <c r="R104"/>
  <c r="L104"/>
  <c r="I104"/>
  <c r="J104"/>
  <c r="O104"/>
  <c r="J66"/>
  <c r="I66"/>
  <c r="K66"/>
  <c r="O66"/>
  <c r="L66"/>
  <c r="S66"/>
  <c r="P66"/>
  <c r="R66"/>
  <c r="P52"/>
  <c r="L52"/>
  <c r="R52"/>
  <c r="J52"/>
  <c r="K52"/>
  <c r="I52"/>
  <c r="S52"/>
  <c r="O52"/>
  <c r="P115"/>
  <c r="J115"/>
  <c r="L115"/>
  <c r="K115"/>
  <c r="I115"/>
  <c r="R115"/>
  <c r="O115"/>
  <c r="S115"/>
  <c r="I35"/>
  <c r="P35"/>
  <c r="L35"/>
  <c r="S35"/>
  <c r="J35"/>
  <c r="R35"/>
  <c r="K35"/>
  <c r="O35"/>
  <c r="J108"/>
  <c r="R108"/>
  <c r="I108"/>
  <c r="S108"/>
  <c r="P108"/>
  <c r="L108"/>
  <c r="O108"/>
  <c r="K108"/>
  <c r="P19"/>
  <c r="R19"/>
  <c r="J19"/>
  <c r="O19"/>
  <c r="L19"/>
  <c r="I19"/>
  <c r="S19"/>
  <c r="K19"/>
  <c r="S11"/>
  <c r="O11"/>
  <c r="I11"/>
  <c r="J11"/>
  <c r="K11"/>
  <c r="R11"/>
  <c r="L11"/>
  <c r="P11"/>
  <c r="J18"/>
  <c r="K18"/>
  <c r="P18"/>
  <c r="O18"/>
  <c r="I18"/>
  <c r="R18"/>
  <c r="L18"/>
  <c r="S18"/>
  <c r="P16"/>
  <c r="R16"/>
  <c r="J16"/>
  <c r="I16"/>
  <c r="L16"/>
  <c r="K16"/>
  <c r="S16"/>
  <c r="O16"/>
  <c r="O90"/>
  <c r="K90"/>
  <c r="S90"/>
  <c r="L90"/>
  <c r="P90"/>
  <c r="J90"/>
  <c r="R90"/>
  <c r="I90"/>
  <c r="R36"/>
  <c r="I36"/>
  <c r="O36"/>
  <c r="J36"/>
  <c r="S36"/>
  <c r="K36"/>
  <c r="P36"/>
  <c r="L36"/>
  <c r="O17"/>
  <c r="L17"/>
  <c r="S17"/>
  <c r="R17"/>
  <c r="J17"/>
  <c r="I17"/>
  <c r="P17"/>
  <c r="K17"/>
  <c r="I84"/>
  <c r="P84"/>
  <c r="K84"/>
  <c r="R84"/>
  <c r="L84"/>
  <c r="J84"/>
  <c r="S84"/>
  <c r="O84"/>
  <c r="S53"/>
  <c r="P53"/>
  <c r="I53"/>
  <c r="J53"/>
  <c r="K53"/>
  <c r="R53"/>
  <c r="L53"/>
  <c r="O53"/>
  <c r="S94"/>
  <c r="O94"/>
  <c r="L94"/>
  <c r="P94"/>
  <c r="K94"/>
  <c r="I94"/>
  <c r="R94"/>
  <c r="J94"/>
  <c r="P15"/>
  <c r="J15"/>
  <c r="R15"/>
  <c r="O15"/>
  <c r="I15"/>
  <c r="L15"/>
  <c r="K15"/>
  <c r="S15"/>
  <c r="R70"/>
  <c r="S70"/>
  <c r="P70"/>
  <c r="J70"/>
  <c r="I70"/>
  <c r="L70"/>
  <c r="K70"/>
  <c r="O70"/>
  <c r="P78"/>
  <c r="J78"/>
  <c r="K78"/>
  <c r="R78"/>
  <c r="S78"/>
  <c r="O78"/>
  <c r="I78"/>
  <c r="L78"/>
  <c r="R102"/>
  <c r="K102"/>
  <c r="L102"/>
  <c r="I102"/>
  <c r="P102"/>
  <c r="J102"/>
  <c r="S102"/>
  <c r="O102"/>
  <c r="P65"/>
  <c r="R65"/>
  <c r="O65"/>
  <c r="S65"/>
  <c r="L65"/>
  <c r="J65"/>
  <c r="I65"/>
  <c r="K65"/>
  <c r="O63"/>
  <c r="P63"/>
  <c r="L63"/>
  <c r="I63"/>
  <c r="S63"/>
  <c r="K63"/>
  <c r="R63"/>
  <c r="J63"/>
  <c r="K31"/>
  <c r="J31"/>
  <c r="R31"/>
  <c r="I31"/>
  <c r="O31"/>
  <c r="S31"/>
  <c r="P31"/>
  <c r="L31"/>
  <c r="K12"/>
  <c r="L12"/>
  <c r="J12"/>
  <c r="S12"/>
  <c r="O12"/>
  <c r="P12"/>
  <c r="R12"/>
  <c r="I12"/>
  <c r="L83"/>
  <c r="I83"/>
  <c r="P83"/>
  <c r="J83"/>
  <c r="O83"/>
  <c r="S83"/>
  <c r="K83"/>
  <c r="R83"/>
  <c r="L99"/>
  <c r="K99"/>
  <c r="J99"/>
  <c r="I99"/>
  <c r="R99"/>
  <c r="O99"/>
  <c r="P99"/>
  <c r="S99"/>
  <c r="P22"/>
  <c r="O22"/>
  <c r="K22"/>
  <c r="S22"/>
  <c r="I22"/>
  <c r="R22"/>
  <c r="L22"/>
  <c r="J22"/>
  <c r="K72"/>
  <c r="P72"/>
  <c r="S72"/>
  <c r="J72"/>
  <c r="O72"/>
  <c r="R72"/>
  <c r="I72"/>
  <c r="L72"/>
  <c r="O111"/>
  <c r="P111"/>
  <c r="K111"/>
  <c r="S111"/>
  <c r="I111"/>
  <c r="J111"/>
  <c r="R111"/>
  <c r="L111"/>
  <c r="I76"/>
  <c r="O76"/>
  <c r="P76"/>
  <c r="S76"/>
  <c r="J76"/>
  <c r="K76"/>
  <c r="L76"/>
  <c r="R76"/>
  <c r="P69"/>
  <c r="J69"/>
  <c r="S69"/>
  <c r="K69"/>
  <c r="R69"/>
  <c r="L69"/>
  <c r="I69"/>
  <c r="O69"/>
  <c r="K86"/>
  <c r="R86"/>
  <c r="S86"/>
  <c r="J86"/>
  <c r="P86"/>
  <c r="O86"/>
  <c r="I86"/>
  <c r="L86"/>
  <c r="R85"/>
  <c r="P85"/>
  <c r="O85"/>
  <c r="I85"/>
  <c r="J85"/>
  <c r="S85"/>
  <c r="K85"/>
  <c r="L85"/>
  <c r="P105"/>
  <c r="J105"/>
  <c r="L105"/>
  <c r="I105"/>
  <c r="R105"/>
  <c r="K105"/>
  <c r="O105"/>
  <c r="S105"/>
  <c r="J100"/>
  <c r="S100"/>
  <c r="O100"/>
  <c r="K100"/>
  <c r="R100"/>
  <c r="I100"/>
  <c r="L100"/>
  <c r="P100"/>
  <c r="K79"/>
  <c r="J79"/>
  <c r="O79"/>
  <c r="P79"/>
  <c r="S79"/>
  <c r="R79"/>
  <c r="L79"/>
  <c r="I79"/>
  <c r="L103"/>
  <c r="J103"/>
  <c r="R103"/>
  <c r="O103"/>
  <c r="P103"/>
  <c r="S103"/>
  <c r="I103"/>
  <c r="K103"/>
  <c r="O58"/>
  <c r="L58"/>
  <c r="I58"/>
  <c r="S58"/>
  <c r="K58"/>
  <c r="P58"/>
  <c r="R58"/>
  <c r="J58"/>
  <c r="O48"/>
  <c r="J48"/>
  <c r="P48"/>
  <c r="I48"/>
  <c r="R48"/>
  <c r="S48"/>
  <c r="K48"/>
  <c r="L48"/>
  <c r="P109"/>
  <c r="O109"/>
  <c r="I109"/>
  <c r="S109"/>
  <c r="L109"/>
  <c r="R109"/>
  <c r="K109"/>
  <c r="J109"/>
  <c r="R26"/>
  <c r="I26"/>
  <c r="P26"/>
  <c r="S26"/>
  <c r="L26"/>
  <c r="O26"/>
  <c r="J26"/>
  <c r="K26"/>
  <c r="R33"/>
  <c r="I33"/>
  <c r="L33"/>
  <c r="S33"/>
  <c r="K33"/>
  <c r="O33"/>
  <c r="J33"/>
  <c r="P33"/>
  <c r="L51"/>
  <c r="J51"/>
  <c r="S51"/>
  <c r="O51"/>
  <c r="P51"/>
  <c r="I51"/>
  <c r="K51"/>
  <c r="R51"/>
  <c r="L107"/>
  <c r="J107"/>
  <c r="K107"/>
  <c r="I107"/>
  <c r="P107"/>
  <c r="S107"/>
  <c r="R107"/>
  <c r="O107"/>
  <c r="S73"/>
  <c r="K73"/>
  <c r="J73"/>
  <c r="P73"/>
  <c r="O73"/>
  <c r="R73"/>
  <c r="L73"/>
  <c r="I73"/>
  <c r="L98"/>
  <c r="R98"/>
  <c r="P98"/>
  <c r="I98"/>
  <c r="J98"/>
  <c r="S98"/>
  <c r="K98"/>
  <c r="O98"/>
  <c r="J68"/>
  <c r="S68"/>
  <c r="R68"/>
  <c r="K68"/>
  <c r="P68"/>
  <c r="I68"/>
  <c r="O68"/>
  <c r="L68"/>
  <c r="J75"/>
  <c r="R75"/>
  <c r="L75"/>
  <c r="K75"/>
  <c r="O75"/>
  <c r="S75"/>
  <c r="I75"/>
  <c r="P75"/>
  <c r="P116"/>
  <c r="L116"/>
  <c r="I116"/>
  <c r="R116"/>
  <c r="J116"/>
  <c r="S116"/>
  <c r="K116"/>
  <c r="O116"/>
  <c r="L80"/>
  <c r="I80"/>
  <c r="K80"/>
  <c r="J80"/>
  <c r="S80"/>
  <c r="R80"/>
  <c r="P80"/>
  <c r="O80"/>
  <c r="S62"/>
  <c r="R62"/>
  <c r="O62"/>
  <c r="I62"/>
  <c r="L62"/>
  <c r="P62"/>
  <c r="K62"/>
  <c r="J62"/>
  <c r="P91"/>
  <c r="I91"/>
  <c r="S91"/>
  <c r="R91"/>
  <c r="K91"/>
  <c r="J91"/>
  <c r="L91"/>
  <c r="O91"/>
  <c r="K81"/>
  <c r="J81"/>
  <c r="O81"/>
  <c r="L81"/>
  <c r="R81"/>
  <c r="P81"/>
  <c r="I81"/>
  <c r="S81"/>
  <c r="P56"/>
  <c r="J56"/>
  <c r="K56"/>
  <c r="I56"/>
  <c r="L56"/>
  <c r="S56"/>
  <c r="R56"/>
  <c r="O56"/>
  <c r="J14"/>
  <c r="S14"/>
  <c r="O14"/>
  <c r="K14"/>
  <c r="I14"/>
  <c r="P14"/>
  <c r="R14"/>
  <c r="L14"/>
  <c r="I44"/>
  <c r="K44"/>
  <c r="S44"/>
  <c r="L44"/>
  <c r="P44"/>
  <c r="O44"/>
  <c r="R44"/>
  <c r="J44"/>
  <c r="I92"/>
  <c r="R92"/>
  <c r="P92"/>
  <c r="J92"/>
  <c r="L92"/>
  <c r="K92"/>
  <c r="O92"/>
  <c r="S92"/>
  <c r="X93" l="1"/>
  <c r="O36" i="21" s="1"/>
  <c r="V11" i="12"/>
  <c r="C8" i="13" s="1"/>
  <c r="X98" i="12"/>
  <c r="O41" i="21" s="1"/>
  <c r="X75" i="12"/>
  <c r="O18" i="21" s="1"/>
  <c r="X91" i="12"/>
  <c r="O34" i="21" s="1"/>
  <c r="X115" i="12"/>
  <c r="O58" i="21" s="1"/>
  <c r="X116" i="12"/>
  <c r="O59" i="21" s="1"/>
  <c r="X108" i="12"/>
  <c r="O51" i="21" s="1"/>
  <c r="X97" i="12"/>
  <c r="O40" i="21" s="1"/>
  <c r="X101" i="12"/>
  <c r="O44" i="21" s="1"/>
  <c r="X92" i="12"/>
  <c r="O35" i="21" s="1"/>
  <c r="X109" i="12"/>
  <c r="O52" i="21" s="1"/>
  <c r="X83" i="12"/>
  <c r="O26" i="21" s="1"/>
  <c r="X107" i="12"/>
  <c r="O50" i="21" s="1"/>
  <c r="X103" i="12"/>
  <c r="O46" i="21" s="1"/>
  <c r="X80" i="12"/>
  <c r="O23" i="21" s="1"/>
  <c r="X68" i="12"/>
  <c r="O11" i="21" s="1"/>
  <c r="X79" i="12"/>
  <c r="O22" i="21" s="1"/>
  <c r="X105" i="12"/>
  <c r="O48" i="21" s="1"/>
  <c r="X111" i="12"/>
  <c r="O54" i="21" s="1"/>
  <c r="X99" i="12"/>
  <c r="O42" i="21" s="1"/>
  <c r="X102" i="12"/>
  <c r="O45" i="21" s="1"/>
  <c r="X78" i="12"/>
  <c r="O21" i="21" s="1"/>
  <c r="X74" i="12"/>
  <c r="O17" i="21" s="1"/>
  <c r="X67" i="12"/>
  <c r="O10" i="21" s="1"/>
  <c r="X96" i="12"/>
  <c r="O39" i="21" s="1"/>
  <c r="X112" i="12"/>
  <c r="O55" i="21" s="1"/>
  <c r="X88" i="12"/>
  <c r="O31" i="21" s="1"/>
  <c r="X71" i="12"/>
  <c r="O14" i="21" s="1"/>
  <c r="W81" i="12"/>
  <c r="E24" i="21" s="1"/>
  <c r="V81" i="12"/>
  <c r="C24" i="21" s="1"/>
  <c r="T81" i="12"/>
  <c r="X51"/>
  <c r="O48" i="13"/>
  <c r="W22" i="12"/>
  <c r="E19" i="13" s="1"/>
  <c r="T22" i="12"/>
  <c r="V22"/>
  <c r="C19" i="13" s="1"/>
  <c r="V70" i="12"/>
  <c r="C13" i="21" s="1"/>
  <c r="W70" i="12"/>
  <c r="E13" i="21" s="1"/>
  <c r="T70" i="12"/>
  <c r="W94"/>
  <c r="E37" i="21" s="1"/>
  <c r="T94" i="12"/>
  <c r="V94"/>
  <c r="C37" i="21" s="1"/>
  <c r="X11" i="12"/>
  <c r="O8" i="13"/>
  <c r="X52" i="12"/>
  <c r="O49" i="13"/>
  <c r="W104" i="12"/>
  <c r="E47" i="21" s="1"/>
  <c r="T104" i="12"/>
  <c r="V104"/>
  <c r="C47" i="21" s="1"/>
  <c r="V32" i="12"/>
  <c r="C29" i="13" s="1"/>
  <c r="W32" i="12"/>
  <c r="E29" i="13" s="1"/>
  <c r="T32" i="12"/>
  <c r="V38"/>
  <c r="C35" i="13" s="1"/>
  <c r="T38" i="12"/>
  <c r="W38"/>
  <c r="E35" i="13" s="1"/>
  <c r="X61" i="12"/>
  <c r="O58" i="13"/>
  <c r="X55" i="12"/>
  <c r="O52" i="13"/>
  <c r="T23" i="12"/>
  <c r="W23"/>
  <c r="E20" i="13" s="1"/>
  <c r="V23" i="12"/>
  <c r="C20" i="13" s="1"/>
  <c r="W114" i="12"/>
  <c r="E57" i="21" s="1"/>
  <c r="V114" i="12"/>
  <c r="C57" i="21" s="1"/>
  <c r="T114" i="12"/>
  <c r="T43"/>
  <c r="W43"/>
  <c r="E40" i="13" s="1"/>
  <c r="V43" i="12"/>
  <c r="C40" i="13" s="1"/>
  <c r="W27" i="12"/>
  <c r="E24" i="13" s="1"/>
  <c r="T27" i="12"/>
  <c r="V27"/>
  <c r="C24" i="13" s="1"/>
  <c r="X44" i="12"/>
  <c r="O41" i="13"/>
  <c r="V14" i="12"/>
  <c r="C11" i="13" s="1"/>
  <c r="T14" i="12"/>
  <c r="W14"/>
  <c r="E11" i="13" s="1"/>
  <c r="V80" i="12"/>
  <c r="C23" i="21" s="1"/>
  <c r="W80" i="12"/>
  <c r="E23" i="21" s="1"/>
  <c r="T80" i="12"/>
  <c r="W73"/>
  <c r="E16" i="21" s="1"/>
  <c r="T73" i="12"/>
  <c r="V73"/>
  <c r="C16" i="21" s="1"/>
  <c r="V33" i="12"/>
  <c r="C30" i="13" s="1"/>
  <c r="T33" i="12"/>
  <c r="W33"/>
  <c r="E30" i="13" s="1"/>
  <c r="W79" i="12"/>
  <c r="E22" i="21" s="1"/>
  <c r="V79" i="12"/>
  <c r="C22" i="21" s="1"/>
  <c r="T79" i="12"/>
  <c r="V100"/>
  <c r="C43" i="21" s="1"/>
  <c r="W100" i="12"/>
  <c r="E43" i="21" s="1"/>
  <c r="T100" i="12"/>
  <c r="W76"/>
  <c r="E19" i="21" s="1"/>
  <c r="T76" i="12"/>
  <c r="V76"/>
  <c r="C19" i="21" s="1"/>
  <c r="V72" i="12"/>
  <c r="C15" i="21" s="1"/>
  <c r="T72" i="12"/>
  <c r="W72"/>
  <c r="E15" i="21" s="1"/>
  <c r="O19" i="13"/>
  <c r="X22" i="12"/>
  <c r="V65"/>
  <c r="C8" i="21" s="1"/>
  <c r="W65" i="12"/>
  <c r="E8" i="21" s="1"/>
  <c r="T65" i="12"/>
  <c r="O33" i="13"/>
  <c r="X36" i="12"/>
  <c r="T16"/>
  <c r="V16"/>
  <c r="C13" i="13" s="1"/>
  <c r="W16" i="12"/>
  <c r="E13" i="13" s="1"/>
  <c r="V19" i="12"/>
  <c r="C16" i="13" s="1"/>
  <c r="T19" i="12"/>
  <c r="W19"/>
  <c r="E16" i="13" s="1"/>
  <c r="X35" i="12"/>
  <c r="O32" i="13"/>
  <c r="V66" i="12"/>
  <c r="C9" i="21" s="1"/>
  <c r="W66" i="12"/>
  <c r="E9" i="21" s="1"/>
  <c r="T66" i="12"/>
  <c r="O26" i="13"/>
  <c r="X29" i="12"/>
  <c r="V82"/>
  <c r="C25" i="21" s="1"/>
  <c r="W82" i="12"/>
  <c r="E25" i="21" s="1"/>
  <c r="T82" i="12"/>
  <c r="W30"/>
  <c r="E27" i="13" s="1"/>
  <c r="V30" i="12"/>
  <c r="C27" i="13" s="1"/>
  <c r="T30" i="12"/>
  <c r="O17" i="13"/>
  <c r="X20" i="12"/>
  <c r="W87"/>
  <c r="E30" i="21" s="1"/>
  <c r="V87" i="12"/>
  <c r="C30" i="21" s="1"/>
  <c r="T87" i="12"/>
  <c r="W96"/>
  <c r="E39" i="21" s="1"/>
  <c r="T96" i="12"/>
  <c r="V96"/>
  <c r="C39" i="21" s="1"/>
  <c r="W77" i="12"/>
  <c r="E20" i="21" s="1"/>
  <c r="T77" i="12"/>
  <c r="V77"/>
  <c r="C20" i="21" s="1"/>
  <c r="V55" i="12"/>
  <c r="C52" i="13" s="1"/>
  <c r="W55" i="12"/>
  <c r="E52" i="13" s="1"/>
  <c r="T55" i="12"/>
  <c r="V39"/>
  <c r="C36" i="13" s="1"/>
  <c r="W39" i="12"/>
  <c r="E36" i="13" s="1"/>
  <c r="T39" i="12"/>
  <c r="V71"/>
  <c r="C14" i="21" s="1"/>
  <c r="W71" i="12"/>
  <c r="E14" i="21" s="1"/>
  <c r="T71" i="12"/>
  <c r="T92"/>
  <c r="W92"/>
  <c r="E35" i="21" s="1"/>
  <c r="V92" i="12"/>
  <c r="C35" i="21" s="1"/>
  <c r="O11" i="13"/>
  <c r="X14" i="12"/>
  <c r="W56"/>
  <c r="E53" i="13" s="1"/>
  <c r="V56" i="12"/>
  <c r="C53" i="13" s="1"/>
  <c r="T56" i="12"/>
  <c r="W116"/>
  <c r="E59" i="21" s="1"/>
  <c r="T116" i="12"/>
  <c r="V116"/>
  <c r="C59" i="21" s="1"/>
  <c r="V48" i="12"/>
  <c r="C45" i="13" s="1"/>
  <c r="W48" i="12"/>
  <c r="E45" i="13" s="1"/>
  <c r="T48" i="12"/>
  <c r="O55" i="13"/>
  <c r="X58" i="12"/>
  <c r="T85"/>
  <c r="W85"/>
  <c r="E28" i="21" s="1"/>
  <c r="V85" i="12"/>
  <c r="C28" i="21" s="1"/>
  <c r="W86" i="12"/>
  <c r="E29" i="21" s="1"/>
  <c r="V86" i="12"/>
  <c r="C29" i="21" s="1"/>
  <c r="T86" i="12"/>
  <c r="T111"/>
  <c r="W111"/>
  <c r="E54" i="21" s="1"/>
  <c r="V111" i="12"/>
  <c r="C54" i="21" s="1"/>
  <c r="V99" i="12"/>
  <c r="C42" i="21" s="1"/>
  <c r="T99" i="12"/>
  <c r="W99"/>
  <c r="E42" i="21" s="1"/>
  <c r="V83" i="12"/>
  <c r="C26" i="21" s="1"/>
  <c r="W83" i="12"/>
  <c r="E26" i="21" s="1"/>
  <c r="T83" i="12"/>
  <c r="V12"/>
  <c r="C9" i="13" s="1"/>
  <c r="T12" i="12"/>
  <c r="W12"/>
  <c r="E9" i="13" s="1"/>
  <c r="O28"/>
  <c r="X31" i="12"/>
  <c r="W78"/>
  <c r="E21" i="21" s="1"/>
  <c r="V78" i="12"/>
  <c r="C21" i="21" s="1"/>
  <c r="T78" i="12"/>
  <c r="V84"/>
  <c r="C27" i="21" s="1"/>
  <c r="T84" i="12"/>
  <c r="W84"/>
  <c r="E27" i="21" s="1"/>
  <c r="X17" i="12"/>
  <c r="O14" i="13"/>
  <c r="T108" i="12"/>
  <c r="V108"/>
  <c r="C51" i="21" s="1"/>
  <c r="W108" i="12"/>
  <c r="E51" i="21" s="1"/>
  <c r="W52" i="12"/>
  <c r="E49" i="13" s="1"/>
  <c r="V52" i="12"/>
  <c r="C49" i="13" s="1"/>
  <c r="T52" i="12"/>
  <c r="W29"/>
  <c r="E26" i="13" s="1"/>
  <c r="T29" i="12"/>
  <c r="V29"/>
  <c r="C26" i="13" s="1"/>
  <c r="T89" i="12"/>
  <c r="W89"/>
  <c r="E32" i="21" s="1"/>
  <c r="V89" i="12"/>
  <c r="C32" i="21" s="1"/>
  <c r="V110" i="12"/>
  <c r="C53" i="21" s="1"/>
  <c r="W110" i="12"/>
  <c r="E53" i="21" s="1"/>
  <c r="T110" i="12"/>
  <c r="V74"/>
  <c r="C17" i="21" s="1"/>
  <c r="W74" i="12"/>
  <c r="E17" i="21" s="1"/>
  <c r="T74" i="12"/>
  <c r="V47"/>
  <c r="C44" i="13" s="1"/>
  <c r="W47" i="12"/>
  <c r="E44" i="13" s="1"/>
  <c r="T47" i="12"/>
  <c r="X25"/>
  <c r="O22" i="13"/>
  <c r="X60" i="12"/>
  <c r="O57" i="13"/>
  <c r="X38" i="12"/>
  <c r="O35" i="13"/>
  <c r="X24" i="12"/>
  <c r="O21" i="13"/>
  <c r="V21" i="12"/>
  <c r="C18" i="13" s="1"/>
  <c r="T21" i="12"/>
  <c r="W21"/>
  <c r="E18" i="13" s="1"/>
  <c r="O38"/>
  <c r="X41" i="12"/>
  <c r="T41"/>
  <c r="W41"/>
  <c r="E38" i="13" s="1"/>
  <c r="V41" i="12"/>
  <c r="C38" i="13" s="1"/>
  <c r="O43"/>
  <c r="X46" i="12"/>
  <c r="W37"/>
  <c r="E34" i="13" s="1"/>
  <c r="V37" i="12"/>
  <c r="C34" i="13" s="1"/>
  <c r="T37" i="12"/>
  <c r="X28"/>
  <c r="O25" i="13"/>
  <c r="W50" i="12"/>
  <c r="E47" i="13" s="1"/>
  <c r="T50" i="12"/>
  <c r="V50"/>
  <c r="C47" i="13" s="1"/>
  <c r="X39" i="12"/>
  <c r="O36" i="13"/>
  <c r="O56"/>
  <c r="X59" i="12"/>
  <c r="V64"/>
  <c r="C61" i="13" s="1"/>
  <c r="W64" i="12"/>
  <c r="E61" i="13" s="1"/>
  <c r="T64" i="12"/>
  <c r="V40"/>
  <c r="C37" i="13" s="1"/>
  <c r="T40" i="12"/>
  <c r="W40"/>
  <c r="E37" i="13" s="1"/>
  <c r="O20"/>
  <c r="X23" i="12"/>
  <c r="O31" i="13"/>
  <c r="X34" i="12"/>
  <c r="W42"/>
  <c r="E39" i="13" s="1"/>
  <c r="T42" i="12"/>
  <c r="V42"/>
  <c r="C39" i="13" s="1"/>
  <c r="X94" i="12"/>
  <c r="O37" i="21" s="1"/>
  <c r="X81" i="12"/>
  <c r="O24" i="21" s="1"/>
  <c r="X86" i="12"/>
  <c r="O29" i="21" s="1"/>
  <c r="X65" i="12"/>
  <c r="O8" i="21" s="1"/>
  <c r="X70" i="12"/>
  <c r="O13" i="21" s="1"/>
  <c r="X104" i="12"/>
  <c r="O47" i="21" s="1"/>
  <c r="X110" i="12"/>
  <c r="O53" i="21" s="1"/>
  <c r="X113" i="12"/>
  <c r="O56" i="21" s="1"/>
  <c r="X117" i="12"/>
  <c r="O60" i="21" s="1"/>
  <c r="X95" i="12"/>
  <c r="O38" i="21" s="1"/>
  <c r="X77" i="12"/>
  <c r="O20" i="21" s="1"/>
  <c r="X114" i="12"/>
  <c r="O57" i="21" s="1"/>
  <c r="O59" i="13"/>
  <c r="X62" i="12"/>
  <c r="X48"/>
  <c r="O45" i="13"/>
  <c r="W58" i="12"/>
  <c r="E55" i="13" s="1"/>
  <c r="T58" i="12"/>
  <c r="V58"/>
  <c r="C55" i="13" s="1"/>
  <c r="T69" i="12"/>
  <c r="V69"/>
  <c r="C12" i="21" s="1"/>
  <c r="W69" i="12"/>
  <c r="E12" i="21" s="1"/>
  <c r="T31" i="12"/>
  <c r="W31"/>
  <c r="E28" i="13" s="1"/>
  <c r="V31" i="12"/>
  <c r="C28" i="13" s="1"/>
  <c r="O60"/>
  <c r="X63" i="12"/>
  <c r="T53"/>
  <c r="V53"/>
  <c r="C50" i="13" s="1"/>
  <c r="W53" i="12"/>
  <c r="E50" i="13" s="1"/>
  <c r="W49" i="12"/>
  <c r="E46" i="13" s="1"/>
  <c r="T49" i="12"/>
  <c r="V49"/>
  <c r="C46" i="13" s="1"/>
  <c r="X30" i="12"/>
  <c r="O27" i="13"/>
  <c r="X47" i="12"/>
  <c r="O44" i="13"/>
  <c r="X13" i="12"/>
  <c r="O10" i="13"/>
  <c r="X45" i="12"/>
  <c r="O42" i="13"/>
  <c r="W113" i="12"/>
  <c r="E56" i="21" s="1"/>
  <c r="V113" i="12"/>
  <c r="C56" i="21" s="1"/>
  <c r="T113" i="12"/>
  <c r="T117"/>
  <c r="V117"/>
  <c r="C60" i="21" s="1"/>
  <c r="W117" i="12"/>
  <c r="E60" i="21" s="1"/>
  <c r="X21" i="12"/>
  <c r="O18" i="13"/>
  <c r="X37" i="12"/>
  <c r="O34" i="13"/>
  <c r="W28" i="12"/>
  <c r="E25" i="13" s="1"/>
  <c r="T28" i="12"/>
  <c r="V28"/>
  <c r="C25" i="13" s="1"/>
  <c r="V34" i="12"/>
  <c r="C31" i="13" s="1"/>
  <c r="W34" i="12"/>
  <c r="E31" i="13" s="1"/>
  <c r="T34" i="12"/>
  <c r="T44"/>
  <c r="W44"/>
  <c r="E41" i="13" s="1"/>
  <c r="V44" i="12"/>
  <c r="C41" i="13" s="1"/>
  <c r="W62" i="12"/>
  <c r="E59" i="13" s="1"/>
  <c r="T62" i="12"/>
  <c r="V62"/>
  <c r="C59" i="13" s="1"/>
  <c r="O30"/>
  <c r="X33" i="12"/>
  <c r="O23" i="13"/>
  <c r="X26" i="12"/>
  <c r="T105"/>
  <c r="W105"/>
  <c r="E48" i="21" s="1"/>
  <c r="V105" i="12"/>
  <c r="C48" i="21" s="1"/>
  <c r="V102" i="12"/>
  <c r="C45" i="21" s="1"/>
  <c r="T102" i="12"/>
  <c r="W102"/>
  <c r="E45" i="21" s="1"/>
  <c r="O50" i="13"/>
  <c r="X53" i="12"/>
  <c r="T36"/>
  <c r="V36"/>
  <c r="C33" i="13" s="1"/>
  <c r="W36" i="12"/>
  <c r="E33" i="13" s="1"/>
  <c r="V90" i="12"/>
  <c r="C33" i="21" s="1"/>
  <c r="W90" i="12"/>
  <c r="E33" i="21" s="1"/>
  <c r="T90" i="12"/>
  <c r="O15" i="13"/>
  <c r="X18" i="12"/>
  <c r="O51" i="13"/>
  <c r="X54" i="12"/>
  <c r="X32"/>
  <c r="O29" i="13"/>
  <c r="O54"/>
  <c r="X57" i="12"/>
  <c r="W13"/>
  <c r="E10" i="13" s="1"/>
  <c r="T13" i="12"/>
  <c r="V13"/>
  <c r="C10" i="13" s="1"/>
  <c r="V60" i="12"/>
  <c r="C57" i="13" s="1"/>
  <c r="W60" i="12"/>
  <c r="E57" i="13" s="1"/>
  <c r="T60" i="12"/>
  <c r="W106"/>
  <c r="E49" i="21" s="1"/>
  <c r="T106" i="12"/>
  <c r="V106"/>
  <c r="C49" i="21" s="1"/>
  <c r="V95" i="12"/>
  <c r="C38" i="21" s="1"/>
  <c r="W95" i="12"/>
  <c r="E38" i="21" s="1"/>
  <c r="T95" i="12"/>
  <c r="W59"/>
  <c r="E56" i="13" s="1"/>
  <c r="V59" i="12"/>
  <c r="C56" i="13" s="1"/>
  <c r="T59" i="12"/>
  <c r="O61" i="13"/>
  <c r="X64" i="12"/>
  <c r="O53" i="13"/>
  <c r="X56" i="12"/>
  <c r="V91"/>
  <c r="C34" i="21" s="1"/>
  <c r="T91" i="12"/>
  <c r="W91"/>
  <c r="E34" i="21" s="1"/>
  <c r="W75" i="12"/>
  <c r="E18" i="21" s="1"/>
  <c r="T75" i="12"/>
  <c r="V75"/>
  <c r="C18" i="21" s="1"/>
  <c r="W68" i="12"/>
  <c r="E11" i="21" s="1"/>
  <c r="T68" i="12"/>
  <c r="V68"/>
  <c r="C11" i="21" s="1"/>
  <c r="T98" i="12"/>
  <c r="W98"/>
  <c r="E41" i="21" s="1"/>
  <c r="V98" i="12"/>
  <c r="C41" i="21" s="1"/>
  <c r="T107" i="12"/>
  <c r="V107"/>
  <c r="C50" i="21" s="1"/>
  <c r="W107" i="12"/>
  <c r="E50" i="21" s="1"/>
  <c r="T51" i="12"/>
  <c r="W51"/>
  <c r="E48" i="13" s="1"/>
  <c r="V51" i="12"/>
  <c r="C48" i="13" s="1"/>
  <c r="T26" i="12"/>
  <c r="V26"/>
  <c r="C23" i="13" s="1"/>
  <c r="W26" i="12"/>
  <c r="E23" i="13" s="1"/>
  <c r="T109" i="12"/>
  <c r="W109"/>
  <c r="E52" i="21" s="1"/>
  <c r="V109" i="12"/>
  <c r="C52" i="21" s="1"/>
  <c r="V103" i="12"/>
  <c r="C46" i="21" s="1"/>
  <c r="T103" i="12"/>
  <c r="W103"/>
  <c r="E46" i="21" s="1"/>
  <c r="O9" i="13"/>
  <c r="X12" i="12"/>
  <c r="T63"/>
  <c r="W63"/>
  <c r="E60" i="13" s="1"/>
  <c r="V63" i="12"/>
  <c r="C60" i="13" s="1"/>
  <c r="T15" i="12"/>
  <c r="W15"/>
  <c r="E12" i="13" s="1"/>
  <c r="V15" i="12"/>
  <c r="C12" i="13" s="1"/>
  <c r="X15" i="12"/>
  <c r="O12" i="13"/>
  <c r="W17" i="12"/>
  <c r="E14" i="13" s="1"/>
  <c r="V17" i="12"/>
  <c r="C14" i="13" s="1"/>
  <c r="T17" i="12"/>
  <c r="O13" i="13"/>
  <c r="X16" i="12"/>
  <c r="W18"/>
  <c r="E15" i="13" s="1"/>
  <c r="T18" i="12"/>
  <c r="V18"/>
  <c r="C15" i="13" s="1"/>
  <c r="W11" i="12"/>
  <c r="E8" i="13" s="1"/>
  <c r="T11" i="12"/>
  <c r="O16" i="13"/>
  <c r="X19" i="12"/>
  <c r="W35"/>
  <c r="E32" i="13" s="1"/>
  <c r="V35" i="12"/>
  <c r="C32" i="13" s="1"/>
  <c r="T35" i="12"/>
  <c r="V115"/>
  <c r="C58" i="21" s="1"/>
  <c r="T115" i="12"/>
  <c r="W115"/>
  <c r="E58" i="21" s="1"/>
  <c r="X49" i="12"/>
  <c r="O46" i="13"/>
  <c r="V54" i="12"/>
  <c r="C51" i="13" s="1"/>
  <c r="W54" i="12"/>
  <c r="E51" i="13" s="1"/>
  <c r="T54" i="12"/>
  <c r="V57"/>
  <c r="C54" i="13" s="1"/>
  <c r="T57" i="12"/>
  <c r="W57"/>
  <c r="E54" i="13" s="1"/>
  <c r="W101" i="12"/>
  <c r="E44" i="21" s="1"/>
  <c r="V101" i="12"/>
  <c r="C44" i="21" s="1"/>
  <c r="T101" i="12"/>
  <c r="V20"/>
  <c r="C17" i="13" s="1"/>
  <c r="W20" i="12"/>
  <c r="E17" i="13" s="1"/>
  <c r="T20" i="12"/>
  <c r="W118"/>
  <c r="E61" i="21" s="1"/>
  <c r="V118" i="12"/>
  <c r="C61" i="21" s="1"/>
  <c r="T118" i="12"/>
  <c r="W25"/>
  <c r="E22" i="13" s="1"/>
  <c r="T25" i="12"/>
  <c r="V25"/>
  <c r="C22" i="13" s="1"/>
  <c r="T97" i="12"/>
  <c r="V97"/>
  <c r="C40" i="21" s="1"/>
  <c r="W97" i="12"/>
  <c r="E40" i="21" s="1"/>
  <c r="W45" i="12"/>
  <c r="E42" i="13" s="1"/>
  <c r="V45" i="12"/>
  <c r="C42" i="13" s="1"/>
  <c r="T45" i="12"/>
  <c r="W24"/>
  <c r="E21" i="13" s="1"/>
  <c r="V24" i="12"/>
  <c r="C21" i="13" s="1"/>
  <c r="T24" i="12"/>
  <c r="W67"/>
  <c r="E10" i="21" s="1"/>
  <c r="V67" i="12"/>
  <c r="C10" i="21" s="1"/>
  <c r="T67" i="12"/>
  <c r="V112"/>
  <c r="C55" i="21" s="1"/>
  <c r="T112" i="12"/>
  <c r="W112"/>
  <c r="E55" i="21" s="1"/>
  <c r="W88" i="12"/>
  <c r="E31" i="21" s="1"/>
  <c r="T88" i="12"/>
  <c r="V88"/>
  <c r="C31" i="21" s="1"/>
  <c r="V61" i="12"/>
  <c r="C58" i="13" s="1"/>
  <c r="W61" i="12"/>
  <c r="E58" i="13" s="1"/>
  <c r="T61" i="12"/>
  <c r="V46"/>
  <c r="C43" i="13" s="1"/>
  <c r="W46" i="12"/>
  <c r="E43" i="13" s="1"/>
  <c r="T46" i="12"/>
  <c r="O47" i="13"/>
  <c r="X50" i="12"/>
  <c r="O37" i="13"/>
  <c r="X40" i="12"/>
  <c r="W93"/>
  <c r="E36" i="21" s="1"/>
  <c r="T93" i="12"/>
  <c r="V93"/>
  <c r="C36" i="21" s="1"/>
  <c r="X42" i="12"/>
  <c r="O39" i="13"/>
  <c r="O40"/>
  <c r="X43" i="12"/>
  <c r="X27"/>
  <c r="O24" i="13"/>
  <c r="X69" i="12"/>
  <c r="O12" i="21" s="1"/>
  <c r="X73" i="12"/>
  <c r="O16" i="21" s="1"/>
  <c r="X72" i="12"/>
  <c r="O15" i="21" s="1"/>
  <c r="X66" i="12"/>
  <c r="O9" i="21" s="1"/>
  <c r="X100" i="12"/>
  <c r="O43" i="21" s="1"/>
  <c r="X85" i="12"/>
  <c r="O28" i="21" s="1"/>
  <c r="X76" i="12"/>
  <c r="O19" i="21" s="1"/>
  <c r="X84" i="12"/>
  <c r="O27" i="21" s="1"/>
  <c r="X90" i="12"/>
  <c r="O33" i="21" s="1"/>
  <c r="X82" i="12"/>
  <c r="O25" i="21" s="1"/>
  <c r="X118" i="12"/>
  <c r="O61" i="21" s="1"/>
  <c r="X106" i="12"/>
  <c r="O49" i="21" s="1"/>
  <c r="L14" i="11" l="1"/>
  <c r="L37" s="1"/>
  <c r="L61" s="1"/>
  <c r="R4" i="25" s="1"/>
  <c r="W28" i="11"/>
  <c r="W51" s="1"/>
  <c r="W75" s="1"/>
  <c r="AC18" i="25" s="1"/>
  <c r="K18" i="11"/>
  <c r="K41" s="1"/>
  <c r="K65" s="1"/>
  <c r="Q8" i="25" s="1"/>
  <c r="S26" i="11"/>
  <c r="S49" s="1"/>
  <c r="S73" s="1"/>
  <c r="Y16" i="25" s="1"/>
  <c r="K24" i="11"/>
  <c r="K47" s="1"/>
  <c r="K71" s="1"/>
  <c r="Q14" i="25" s="1"/>
  <c r="X25" i="11"/>
  <c r="V13"/>
  <c r="S29"/>
  <c r="S52" s="1"/>
  <c r="S76" s="1"/>
  <c r="Y19" i="25" s="1"/>
  <c r="I14" i="11"/>
  <c r="I37" s="1"/>
  <c r="I61" s="1"/>
  <c r="O4" i="25" s="1"/>
  <c r="F28" i="11"/>
  <c r="F51" s="1"/>
  <c r="F75" s="1"/>
  <c r="L18" i="25" s="1"/>
  <c r="P17" i="11"/>
  <c r="P40" s="1"/>
  <c r="P64" s="1"/>
  <c r="V7" i="25" s="1"/>
  <c r="T16" i="11"/>
  <c r="T39" s="1"/>
  <c r="T63" s="1"/>
  <c r="Z6" i="25" s="1"/>
  <c r="I25" i="11"/>
  <c r="I48" s="1"/>
  <c r="I72" s="1"/>
  <c r="O15" i="25" s="1"/>
  <c r="R27" i="11"/>
  <c r="R50" s="1"/>
  <c r="R74" s="1"/>
  <c r="M27"/>
  <c r="M50" s="1"/>
  <c r="M74" s="1"/>
  <c r="V18"/>
  <c r="V41" s="1"/>
  <c r="V65" s="1"/>
  <c r="AB8" i="25" s="1"/>
  <c r="T29" i="11"/>
  <c r="T52" s="1"/>
  <c r="T76" s="1"/>
  <c r="Z19" i="25" s="1"/>
  <c r="S19" i="11"/>
  <c r="S42" s="1"/>
  <c r="S66" s="1"/>
  <c r="M25"/>
  <c r="M48" s="1"/>
  <c r="M72" s="1"/>
  <c r="S15" i="25" s="1"/>
  <c r="R25" i="11"/>
  <c r="R48" s="1"/>
  <c r="R72" s="1"/>
  <c r="X15" i="25" s="1"/>
  <c r="R28" i="11"/>
  <c r="R51" s="1"/>
  <c r="R75" s="1"/>
  <c r="X18" i="25" s="1"/>
  <c r="I13" i="11"/>
  <c r="X21"/>
  <c r="Q17"/>
  <c r="Q40" s="1"/>
  <c r="Q64" s="1"/>
  <c r="W7" i="25" s="1"/>
  <c r="M21" i="11"/>
  <c r="M44" s="1"/>
  <c r="M68" s="1"/>
  <c r="S11" i="25" s="1"/>
  <c r="T13" i="11"/>
  <c r="V17"/>
  <c r="V40" s="1"/>
  <c r="V64" s="1"/>
  <c r="AB7" i="25" s="1"/>
  <c r="V30" i="11"/>
  <c r="V53" s="1"/>
  <c r="V77" s="1"/>
  <c r="AB20" i="25" s="1"/>
  <c r="T25" i="11"/>
  <c r="T48" s="1"/>
  <c r="T72" s="1"/>
  <c r="Z15" i="25" s="1"/>
  <c r="H25" i="11"/>
  <c r="H48" s="1"/>
  <c r="H72" s="1"/>
  <c r="N15" i="25" s="1"/>
  <c r="Q26" i="11"/>
  <c r="Q49" s="1"/>
  <c r="Q73" s="1"/>
  <c r="W16" i="25" s="1"/>
  <c r="F26" i="11"/>
  <c r="F49" s="1"/>
  <c r="F73" s="1"/>
  <c r="L16" i="25" s="1"/>
  <c r="X16" i="11"/>
  <c r="W15"/>
  <c r="W38" s="1"/>
  <c r="W62" s="1"/>
  <c r="AC5" i="25" s="1"/>
  <c r="R15" i="11"/>
  <c r="R38" s="1"/>
  <c r="R62" s="1"/>
  <c r="X5" i="25" s="1"/>
  <c r="F14" i="11"/>
  <c r="F37" s="1"/>
  <c r="F61" s="1"/>
  <c r="L4" i="25" s="1"/>
  <c r="T26" i="11"/>
  <c r="T49" s="1"/>
  <c r="T73" s="1"/>
  <c r="Z16" i="25" s="1"/>
  <c r="S14" i="11"/>
  <c r="S37" s="1"/>
  <c r="S61" s="1"/>
  <c r="Y4" i="25" s="1"/>
  <c r="W29" i="11"/>
  <c r="W52" s="1"/>
  <c r="W76" s="1"/>
  <c r="AC19" i="25" s="1"/>
  <c r="J16" i="11"/>
  <c r="J39" s="1"/>
  <c r="J63" s="1"/>
  <c r="P6" i="25" s="1"/>
  <c r="J29" i="11"/>
  <c r="J52" s="1"/>
  <c r="J76" s="1"/>
  <c r="P19" i="25" s="1"/>
  <c r="V20" i="11"/>
  <c r="V43" s="1"/>
  <c r="V67" s="1"/>
  <c r="AB10" i="25" s="1"/>
  <c r="U21" i="11"/>
  <c r="U44" s="1"/>
  <c r="U68" s="1"/>
  <c r="AA11" i="25" s="1"/>
  <c r="W20" i="11"/>
  <c r="W43" s="1"/>
  <c r="W67" s="1"/>
  <c r="AC10" i="25" s="1"/>
  <c r="I30" i="11"/>
  <c r="I53" s="1"/>
  <c r="I77" s="1"/>
  <c r="O20" i="25" s="1"/>
  <c r="N25" i="11"/>
  <c r="N48" s="1"/>
  <c r="N72" s="1"/>
  <c r="T15" i="25" s="1"/>
  <c r="G19" i="11"/>
  <c r="G42" s="1"/>
  <c r="G66" s="1"/>
  <c r="Q18"/>
  <c r="Q41" s="1"/>
  <c r="Q65" s="1"/>
  <c r="W8" i="25" s="1"/>
  <c r="P22" i="11"/>
  <c r="P45" s="1"/>
  <c r="P69" s="1"/>
  <c r="V12" i="25" s="1"/>
  <c r="V19" i="11"/>
  <c r="V42" s="1"/>
  <c r="V66" s="1"/>
  <c r="S24"/>
  <c r="S47" s="1"/>
  <c r="S71" s="1"/>
  <c r="Y14" i="25" s="1"/>
  <c r="O14" i="11"/>
  <c r="O37" s="1"/>
  <c r="O61" s="1"/>
  <c r="U4" i="25" s="1"/>
  <c r="T22" i="11"/>
  <c r="T45" s="1"/>
  <c r="T69" s="1"/>
  <c r="Z12" i="25" s="1"/>
  <c r="K19" i="11"/>
  <c r="K42" s="1"/>
  <c r="K66" s="1"/>
  <c r="N30"/>
  <c r="N53" s="1"/>
  <c r="N77" s="1"/>
  <c r="T20" i="25" s="1"/>
  <c r="N13" i="11"/>
  <c r="J28"/>
  <c r="J51" s="1"/>
  <c r="J75" s="1"/>
  <c r="P18" i="25" s="1"/>
  <c r="V29" i="11"/>
  <c r="V52" s="1"/>
  <c r="V76" s="1"/>
  <c r="AB19" i="25" s="1"/>
  <c r="K27" i="11"/>
  <c r="K50" s="1"/>
  <c r="K74" s="1"/>
  <c r="W17"/>
  <c r="W40" s="1"/>
  <c r="W64" s="1"/>
  <c r="AC7" i="25" s="1"/>
  <c r="X14" i="11"/>
  <c r="H26"/>
  <c r="H49" s="1"/>
  <c r="H73" s="1"/>
  <c r="N16" i="25" s="1"/>
  <c r="R22" i="11"/>
  <c r="R45" s="1"/>
  <c r="R69" s="1"/>
  <c r="X12" i="25" s="1"/>
  <c r="Q19" i="11"/>
  <c r="Q42" s="1"/>
  <c r="Q66" s="1"/>
  <c r="G30"/>
  <c r="G53" s="1"/>
  <c r="G77" s="1"/>
  <c r="M20" i="25" s="1"/>
  <c r="L26" i="11"/>
  <c r="L49" s="1"/>
  <c r="L73" s="1"/>
  <c r="R16" i="25" s="1"/>
  <c r="L25" i="11"/>
  <c r="L48" s="1"/>
  <c r="L72" s="1"/>
  <c r="R15" i="25" s="1"/>
  <c r="U19" i="11"/>
  <c r="U42" s="1"/>
  <c r="U66" s="1"/>
  <c r="I19"/>
  <c r="I42" s="1"/>
  <c r="I66" s="1"/>
  <c r="F29"/>
  <c r="F52" s="1"/>
  <c r="F76" s="1"/>
  <c r="L19" i="25" s="1"/>
  <c r="Q24" i="11"/>
  <c r="Q47" s="1"/>
  <c r="Q71" s="1"/>
  <c r="W14" i="25" s="1"/>
  <c r="G20" i="11"/>
  <c r="G43" s="1"/>
  <c r="G67" s="1"/>
  <c r="M10" i="25" s="1"/>
  <c r="L21" i="11"/>
  <c r="L44" s="1"/>
  <c r="L68" s="1"/>
  <c r="R11" i="25" s="1"/>
  <c r="G15" i="11"/>
  <c r="G38" s="1"/>
  <c r="G62" s="1"/>
  <c r="M5" i="25" s="1"/>
  <c r="H13" i="11"/>
  <c r="R23"/>
  <c r="R46" s="1"/>
  <c r="R70" s="1"/>
  <c r="X13" i="25" s="1"/>
  <c r="O27" i="11"/>
  <c r="O50" s="1"/>
  <c r="O74" s="1"/>
  <c r="M16"/>
  <c r="M39" s="1"/>
  <c r="M63" s="1"/>
  <c r="S6" i="25" s="1"/>
  <c r="J25" i="11"/>
  <c r="J48" s="1"/>
  <c r="J72" s="1"/>
  <c r="P15" i="25" s="1"/>
  <c r="T14" i="11"/>
  <c r="T37" s="1"/>
  <c r="T61" s="1"/>
  <c r="Z4" i="25" s="1"/>
  <c r="P20" i="11"/>
  <c r="P43" s="1"/>
  <c r="P67" s="1"/>
  <c r="V10" i="25" s="1"/>
  <c r="T18" i="11"/>
  <c r="T41" s="1"/>
  <c r="T65" s="1"/>
  <c r="Z8" i="25" s="1"/>
  <c r="N17" i="11"/>
  <c r="N40" s="1"/>
  <c r="N64" s="1"/>
  <c r="T7" i="25" s="1"/>
  <c r="Q21" i="11"/>
  <c r="Q44" s="1"/>
  <c r="Q68" s="1"/>
  <c r="W11" i="25" s="1"/>
  <c r="F15" i="11"/>
  <c r="F38" s="1"/>
  <c r="F62" s="1"/>
  <c r="L5" i="25" s="1"/>
  <c r="I21" i="11"/>
  <c r="I44" s="1"/>
  <c r="I68" s="1"/>
  <c r="O11" i="25" s="1"/>
  <c r="W22" i="11"/>
  <c r="W45" s="1"/>
  <c r="W69" s="1"/>
  <c r="AC12" i="25" s="1"/>
  <c r="L27" i="11"/>
  <c r="L50" s="1"/>
  <c r="L74" s="1"/>
  <c r="K28"/>
  <c r="K51" s="1"/>
  <c r="K75" s="1"/>
  <c r="Q18" i="25" s="1"/>
  <c r="U30" i="11"/>
  <c r="U53" s="1"/>
  <c r="U77" s="1"/>
  <c r="AA20" i="25" s="1"/>
  <c r="S28" i="11"/>
  <c r="S51" s="1"/>
  <c r="S75" s="1"/>
  <c r="Y18" i="25" s="1"/>
  <c r="I28" i="11"/>
  <c r="I51" s="1"/>
  <c r="I75" s="1"/>
  <c r="O18" i="25" s="1"/>
  <c r="T17" i="11"/>
  <c r="T40" s="1"/>
  <c r="T64" s="1"/>
  <c r="Z7" i="25" s="1"/>
  <c r="P23" i="11"/>
  <c r="P46" s="1"/>
  <c r="P70" s="1"/>
  <c r="V13" i="25" s="1"/>
  <c r="M29" i="11"/>
  <c r="M52" s="1"/>
  <c r="M76" s="1"/>
  <c r="S19" i="25" s="1"/>
  <c r="W24" i="11"/>
  <c r="W47" s="1"/>
  <c r="W71" s="1"/>
  <c r="AC14" i="25" s="1"/>
  <c r="Q15" i="11"/>
  <c r="Q38" s="1"/>
  <c r="Q62" s="1"/>
  <c r="W5" i="25" s="1"/>
  <c r="K25" i="11"/>
  <c r="K48" s="1"/>
  <c r="K72" s="1"/>
  <c r="Q15" i="25" s="1"/>
  <c r="V15" i="11"/>
  <c r="V38" s="1"/>
  <c r="V62" s="1"/>
  <c r="AB5" i="25" s="1"/>
  <c r="P18" i="11"/>
  <c r="P41" s="1"/>
  <c r="P65" s="1"/>
  <c r="V8" i="25" s="1"/>
  <c r="R26" i="11"/>
  <c r="R49" s="1"/>
  <c r="R73" s="1"/>
  <c r="X16" i="25" s="1"/>
  <c r="N24" i="11"/>
  <c r="N47" s="1"/>
  <c r="N71" s="1"/>
  <c r="T14" i="25" s="1"/>
  <c r="J20" i="11"/>
  <c r="J43" s="1"/>
  <c r="J67" s="1"/>
  <c r="P10" i="25" s="1"/>
  <c r="K20" i="11"/>
  <c r="K43" s="1"/>
  <c r="K67" s="1"/>
  <c r="Q10" i="25" s="1"/>
  <c r="X27" i="11"/>
  <c r="G21"/>
  <c r="G44" s="1"/>
  <c r="G68" s="1"/>
  <c r="M11" i="25" s="1"/>
  <c r="Q22" i="11"/>
  <c r="Q45" s="1"/>
  <c r="Q69" s="1"/>
  <c r="W12" i="25" s="1"/>
  <c r="U18" i="11"/>
  <c r="U41" s="1"/>
  <c r="U65" s="1"/>
  <c r="AA8" i="25" s="1"/>
  <c r="N22" i="11"/>
  <c r="N45" s="1"/>
  <c r="N69" s="1"/>
  <c r="T12" i="25" s="1"/>
  <c r="L18" i="11"/>
  <c r="L41" s="1"/>
  <c r="L65" s="1"/>
  <c r="R8" i="25" s="1"/>
  <c r="G22" i="11"/>
  <c r="G45" s="1"/>
  <c r="G69" s="1"/>
  <c r="M12" i="25" s="1"/>
  <c r="N23" i="11"/>
  <c r="N46" s="1"/>
  <c r="N70" s="1"/>
  <c r="T13" i="25" s="1"/>
  <c r="H18" i="11"/>
  <c r="H41" s="1"/>
  <c r="H65" s="1"/>
  <c r="N8" i="25" s="1"/>
  <c r="S20" i="11"/>
  <c r="S43" s="1"/>
  <c r="S67" s="1"/>
  <c r="Y10" i="25" s="1"/>
  <c r="N21" i="11"/>
  <c r="N44" s="1"/>
  <c r="N68" s="1"/>
  <c r="T11" i="25" s="1"/>
  <c r="U22" i="11"/>
  <c r="U45" s="1"/>
  <c r="U69" s="1"/>
  <c r="AA12" i="25" s="1"/>
  <c r="P28" i="11"/>
  <c r="P51" s="1"/>
  <c r="P75" s="1"/>
  <c r="V18" i="25" s="1"/>
  <c r="T27" i="11"/>
  <c r="T50" s="1"/>
  <c r="T74" s="1"/>
  <c r="L16"/>
  <c r="L39" s="1"/>
  <c r="L63" s="1"/>
  <c r="R6" i="25" s="1"/>
  <c r="K23" i="11"/>
  <c r="K46" s="1"/>
  <c r="K70" s="1"/>
  <c r="Q13" i="25" s="1"/>
  <c r="S21" i="11"/>
  <c r="S44" s="1"/>
  <c r="S68" s="1"/>
  <c r="Y11" i="25" s="1"/>
  <c r="P24" i="11"/>
  <c r="P47" s="1"/>
  <c r="P71" s="1"/>
  <c r="V14" i="25" s="1"/>
  <c r="T24" i="11"/>
  <c r="T47" s="1"/>
  <c r="T71" s="1"/>
  <c r="Z14" i="25" s="1"/>
  <c r="H14" i="11"/>
  <c r="H37" s="1"/>
  <c r="H61" s="1"/>
  <c r="N4" i="25" s="1"/>
  <c r="J27" i="11"/>
  <c r="J50" s="1"/>
  <c r="J74" s="1"/>
  <c r="X13"/>
  <c r="M17"/>
  <c r="M40" s="1"/>
  <c r="M64" s="1"/>
  <c r="S7" i="25" s="1"/>
  <c r="T23" i="11"/>
  <c r="T46" s="1"/>
  <c r="T70" s="1"/>
  <c r="Z13" i="25" s="1"/>
  <c r="F25" i="11"/>
  <c r="F48" s="1"/>
  <c r="F72" s="1"/>
  <c r="L15" i="25" s="1"/>
  <c r="J23" i="11"/>
  <c r="J46" s="1"/>
  <c r="J70" s="1"/>
  <c r="P13" i="25" s="1"/>
  <c r="J26" i="11"/>
  <c r="J49" s="1"/>
  <c r="J73" s="1"/>
  <c r="P16" i="25" s="1"/>
  <c r="O18" i="11"/>
  <c r="O41" s="1"/>
  <c r="O65" s="1"/>
  <c r="U8" i="25" s="1"/>
  <c r="M22" i="11"/>
  <c r="M45" s="1"/>
  <c r="M69" s="1"/>
  <c r="S12" i="25" s="1"/>
  <c r="U25" i="11"/>
  <c r="U48" s="1"/>
  <c r="U72" s="1"/>
  <c r="AA15" i="25" s="1"/>
  <c r="F23" i="11"/>
  <c r="F46" s="1"/>
  <c r="F70" s="1"/>
  <c r="L13" i="25" s="1"/>
  <c r="M20" i="11"/>
  <c r="M43" s="1"/>
  <c r="M67" s="1"/>
  <c r="S10" i="25" s="1"/>
  <c r="K29" i="11"/>
  <c r="K52" s="1"/>
  <c r="K76" s="1"/>
  <c r="Q19" i="25" s="1"/>
  <c r="Q16" i="11"/>
  <c r="Q39" s="1"/>
  <c r="Q63" s="1"/>
  <c r="W6" i="25" s="1"/>
  <c r="V25" i="11"/>
  <c r="V48" s="1"/>
  <c r="V72" s="1"/>
  <c r="AB15" i="25" s="1"/>
  <c r="H29" i="11"/>
  <c r="H52" s="1"/>
  <c r="H76" s="1"/>
  <c r="N19" i="25" s="1"/>
  <c r="L19" i="11"/>
  <c r="L42" s="1"/>
  <c r="L66" s="1"/>
  <c r="J30"/>
  <c r="J53" s="1"/>
  <c r="J77" s="1"/>
  <c r="P20" i="25" s="1"/>
  <c r="S23" i="11"/>
  <c r="S46" s="1"/>
  <c r="S70" s="1"/>
  <c r="Y13" i="25" s="1"/>
  <c r="G16" i="11"/>
  <c r="G39" s="1"/>
  <c r="G63" s="1"/>
  <c r="M6" i="25" s="1"/>
  <c r="X20" i="11"/>
  <c r="M14"/>
  <c r="M37" s="1"/>
  <c r="M61" s="1"/>
  <c r="S4" i="25" s="1"/>
  <c r="L22" i="11"/>
  <c r="L45" s="1"/>
  <c r="L69" s="1"/>
  <c r="R12" i="25" s="1"/>
  <c r="X29" i="11"/>
  <c r="F19"/>
  <c r="F42" s="1"/>
  <c r="F66" s="1"/>
  <c r="L24"/>
  <c r="L47" s="1"/>
  <c r="L71" s="1"/>
  <c r="R14" i="25" s="1"/>
  <c r="G18" i="11"/>
  <c r="G41" s="1"/>
  <c r="G65" s="1"/>
  <c r="M8" i="25" s="1"/>
  <c r="O16" i="11"/>
  <c r="O39" s="1"/>
  <c r="O63" s="1"/>
  <c r="U6" i="25" s="1"/>
  <c r="O24" i="11"/>
  <c r="O47" s="1"/>
  <c r="O71" s="1"/>
  <c r="U14" i="25" s="1"/>
  <c r="T28" i="11"/>
  <c r="T51" s="1"/>
  <c r="T75" s="1"/>
  <c r="Z18" i="25" s="1"/>
  <c r="L29" i="11"/>
  <c r="L52" s="1"/>
  <c r="L76" s="1"/>
  <c r="R19" i="25" s="1"/>
  <c r="W30" i="11"/>
  <c r="W53" s="1"/>
  <c r="W77" s="1"/>
  <c r="AC20" i="25" s="1"/>
  <c r="T20" i="11"/>
  <c r="T43" s="1"/>
  <c r="T67" s="1"/>
  <c r="Z10" i="25" s="1"/>
  <c r="J21" i="11"/>
  <c r="J44" s="1"/>
  <c r="J68" s="1"/>
  <c r="P11" i="25" s="1"/>
  <c r="R29" i="11"/>
  <c r="R52" s="1"/>
  <c r="R76" s="1"/>
  <c r="X19" i="25" s="1"/>
  <c r="F20" i="11"/>
  <c r="F43" s="1"/>
  <c r="F67" s="1"/>
  <c r="L10" i="25" s="1"/>
  <c r="L15" i="11"/>
  <c r="L38" s="1"/>
  <c r="L62" s="1"/>
  <c r="R5" i="25" s="1"/>
  <c r="P16" i="11"/>
  <c r="P39" s="1"/>
  <c r="P63" s="1"/>
  <c r="V6" i="25" s="1"/>
  <c r="I29" i="11"/>
  <c r="I52" s="1"/>
  <c r="I76" s="1"/>
  <c r="O19" i="25" s="1"/>
  <c r="F13" i="11"/>
  <c r="K30"/>
  <c r="K53" s="1"/>
  <c r="K77" s="1"/>
  <c r="Q20" i="25" s="1"/>
  <c r="R13" i="11"/>
  <c r="N14"/>
  <c r="N37" s="1"/>
  <c r="N61" s="1"/>
  <c r="T4" i="25" s="1"/>
  <c r="V16" i="11"/>
  <c r="V39" s="1"/>
  <c r="V63" s="1"/>
  <c r="AB6" i="25" s="1"/>
  <c r="S25" i="11"/>
  <c r="S48" s="1"/>
  <c r="S72" s="1"/>
  <c r="Y15" i="25" s="1"/>
  <c r="H21" i="11"/>
  <c r="H44" s="1"/>
  <c r="H68" s="1"/>
  <c r="N11" i="25" s="1"/>
  <c r="K26" i="11"/>
  <c r="K49" s="1"/>
  <c r="K73" s="1"/>
  <c r="Q16" i="25" s="1"/>
  <c r="U26" i="11"/>
  <c r="U49" s="1"/>
  <c r="U73" s="1"/>
  <c r="AA16" i="25" s="1"/>
  <c r="O20" i="11"/>
  <c r="O43" s="1"/>
  <c r="O67" s="1"/>
  <c r="U10" i="25" s="1"/>
  <c r="S16" i="11"/>
  <c r="S39" s="1"/>
  <c r="S63" s="1"/>
  <c r="Y6" i="25" s="1"/>
  <c r="F27" i="11"/>
  <c r="F50" s="1"/>
  <c r="F74" s="1"/>
  <c r="T30"/>
  <c r="T53" s="1"/>
  <c r="T77" s="1"/>
  <c r="Z20" i="25" s="1"/>
  <c r="J13" i="11"/>
  <c r="P13"/>
  <c r="F30"/>
  <c r="F53" s="1"/>
  <c r="F77" s="1"/>
  <c r="L20" i="25" s="1"/>
  <c r="U27" i="11"/>
  <c r="U50" s="1"/>
  <c r="U74" s="1"/>
  <c r="R20"/>
  <c r="R43" s="1"/>
  <c r="R67" s="1"/>
  <c r="X10" i="25" s="1"/>
  <c r="V21" i="11"/>
  <c r="V44" s="1"/>
  <c r="V68" s="1"/>
  <c r="AB11" i="25" s="1"/>
  <c r="J18" i="11"/>
  <c r="J41" s="1"/>
  <c r="J65" s="1"/>
  <c r="P8" i="25" s="1"/>
  <c r="F16" i="11"/>
  <c r="F39" s="1"/>
  <c r="F63" s="1"/>
  <c r="L6" i="25" s="1"/>
  <c r="K16" i="11"/>
  <c r="K39" s="1"/>
  <c r="K63" s="1"/>
  <c r="Q6" i="25" s="1"/>
  <c r="U15" i="11"/>
  <c r="U38" s="1"/>
  <c r="U62" s="1"/>
  <c r="AA5" i="25" s="1"/>
  <c r="G14" i="11"/>
  <c r="G37" s="1"/>
  <c r="G61" s="1"/>
  <c r="M4" i="25" s="1"/>
  <c r="W26" i="11"/>
  <c r="W49" s="1"/>
  <c r="W73" s="1"/>
  <c r="AC16" i="25" s="1"/>
  <c r="X24" i="11"/>
  <c r="V26"/>
  <c r="V49" s="1"/>
  <c r="V73" s="1"/>
  <c r="AB16" i="25" s="1"/>
  <c r="V28" i="11"/>
  <c r="V51" s="1"/>
  <c r="V75" s="1"/>
  <c r="AB18" i="25" s="1"/>
  <c r="X18" i="11"/>
  <c r="F21"/>
  <c r="F44" s="1"/>
  <c r="F68" s="1"/>
  <c r="L11" i="25" s="1"/>
  <c r="I23" i="11"/>
  <c r="I46" s="1"/>
  <c r="I70" s="1"/>
  <c r="O13" i="25" s="1"/>
  <c r="N28" i="11"/>
  <c r="N51" s="1"/>
  <c r="N75" s="1"/>
  <c r="T18" i="25" s="1"/>
  <c r="I24" i="11"/>
  <c r="I47" s="1"/>
  <c r="I71" s="1"/>
  <c r="O14" i="25" s="1"/>
  <c r="I18" i="11"/>
  <c r="I41" s="1"/>
  <c r="I65" s="1"/>
  <c r="O8" i="25" s="1"/>
  <c r="X28" i="11"/>
  <c r="R16"/>
  <c r="R39" s="1"/>
  <c r="R63" s="1"/>
  <c r="X6" i="25" s="1"/>
  <c r="H28" i="11"/>
  <c r="H51" s="1"/>
  <c r="H75" s="1"/>
  <c r="N18" i="25" s="1"/>
  <c r="G27" i="11"/>
  <c r="G50" s="1"/>
  <c r="G74" s="1"/>
  <c r="P14"/>
  <c r="P37" s="1"/>
  <c r="P61" s="1"/>
  <c r="V4" i="25" s="1"/>
  <c r="K17" i="11"/>
  <c r="K40" s="1"/>
  <c r="K64" s="1"/>
  <c r="Q7" i="25" s="1"/>
  <c r="L30" i="11"/>
  <c r="L53" s="1"/>
  <c r="L77" s="1"/>
  <c r="R20" i="25" s="1"/>
  <c r="K22" i="11"/>
  <c r="K45" s="1"/>
  <c r="K69" s="1"/>
  <c r="Q12" i="25" s="1"/>
  <c r="R17" i="11"/>
  <c r="R40" s="1"/>
  <c r="R64" s="1"/>
  <c r="X7" i="25" s="1"/>
  <c r="J14" i="11"/>
  <c r="J37" s="1"/>
  <c r="J61" s="1"/>
  <c r="P4" i="25" s="1"/>
  <c r="W18" i="11"/>
  <c r="W41" s="1"/>
  <c r="W65" s="1"/>
  <c r="AC8" i="25" s="1"/>
  <c r="J22" i="11"/>
  <c r="J45" s="1"/>
  <c r="J69" s="1"/>
  <c r="P12" i="25" s="1"/>
  <c r="Q14" i="11"/>
  <c r="Q37" s="1"/>
  <c r="Q61" s="1"/>
  <c r="W4" i="25" s="1"/>
  <c r="P26" i="11"/>
  <c r="P49" s="1"/>
  <c r="P73" s="1"/>
  <c r="V16" i="25" s="1"/>
  <c r="P15" i="11"/>
  <c r="P38" s="1"/>
  <c r="P62" s="1"/>
  <c r="V5" i="25" s="1"/>
  <c r="W27" i="11"/>
  <c r="W50" s="1"/>
  <c r="W74" s="1"/>
  <c r="R30"/>
  <c r="R53" s="1"/>
  <c r="R77" s="1"/>
  <c r="X20" i="25" s="1"/>
  <c r="L17" i="11"/>
  <c r="L40" s="1"/>
  <c r="L64" s="1"/>
  <c r="R7" i="25" s="1"/>
  <c r="J19" i="11"/>
  <c r="J42" s="1"/>
  <c r="J66" s="1"/>
  <c r="M23"/>
  <c r="M46" s="1"/>
  <c r="M70" s="1"/>
  <c r="S13" i="25" s="1"/>
  <c r="Q13" i="11"/>
  <c r="P27"/>
  <c r="P50" s="1"/>
  <c r="P74" s="1"/>
  <c r="N18"/>
  <c r="N41" s="1"/>
  <c r="N65" s="1"/>
  <c r="T8" i="25" s="1"/>
  <c r="V22" i="11"/>
  <c r="V45" s="1"/>
  <c r="V69" s="1"/>
  <c r="AB12" i="25" s="1"/>
  <c r="P19" i="11"/>
  <c r="P42" s="1"/>
  <c r="P66" s="1"/>
  <c r="U16"/>
  <c r="U39" s="1"/>
  <c r="U63" s="1"/>
  <c r="AA6" i="25" s="1"/>
  <c r="F22" i="11"/>
  <c r="F45" s="1"/>
  <c r="F69" s="1"/>
  <c r="L12" i="25" s="1"/>
  <c r="S13" i="11"/>
  <c r="U24"/>
  <c r="U47" s="1"/>
  <c r="U71" s="1"/>
  <c r="AA14" i="25" s="1"/>
  <c r="O19" i="11"/>
  <c r="O42" s="1"/>
  <c r="O66" s="1"/>
  <c r="W16"/>
  <c r="W39" s="1"/>
  <c r="W63" s="1"/>
  <c r="AC6" i="25" s="1"/>
  <c r="I15" i="11"/>
  <c r="I38" s="1"/>
  <c r="I62" s="1"/>
  <c r="O5" i="25" s="1"/>
  <c r="N27" i="11"/>
  <c r="N50" s="1"/>
  <c r="N74" s="1"/>
  <c r="K13"/>
  <c r="L20"/>
  <c r="L43" s="1"/>
  <c r="L67" s="1"/>
  <c r="R10" i="25" s="1"/>
  <c r="W13" i="11"/>
  <c r="Q23"/>
  <c r="Q46" s="1"/>
  <c r="Q70" s="1"/>
  <c r="W13" i="25" s="1"/>
  <c r="N19" i="11"/>
  <c r="N42" s="1"/>
  <c r="N66" s="1"/>
  <c r="W21"/>
  <c r="W44" s="1"/>
  <c r="W68" s="1"/>
  <c r="AC11" i="25" s="1"/>
  <c r="V14" i="11"/>
  <c r="V37" s="1"/>
  <c r="V61" s="1"/>
  <c r="AB4" i="25" s="1"/>
  <c r="M19" i="11"/>
  <c r="M42" s="1"/>
  <c r="M66" s="1"/>
  <c r="Q28"/>
  <c r="Q51" s="1"/>
  <c r="Q75" s="1"/>
  <c r="W18" i="25" s="1"/>
  <c r="Q30" i="11"/>
  <c r="Q53" s="1"/>
  <c r="Q77" s="1"/>
  <c r="W20" i="25" s="1"/>
  <c r="G23" i="11"/>
  <c r="G46" s="1"/>
  <c r="G70" s="1"/>
  <c r="M13" i="25" s="1"/>
  <c r="H16" i="11"/>
  <c r="H39" s="1"/>
  <c r="H63" s="1"/>
  <c r="N6" i="25" s="1"/>
  <c r="X26" i="11"/>
  <c r="Q25"/>
  <c r="Q48" s="1"/>
  <c r="Q72" s="1"/>
  <c r="W15" i="25" s="1"/>
  <c r="N20" i="11"/>
  <c r="N43" s="1"/>
  <c r="N67" s="1"/>
  <c r="T10" i="25" s="1"/>
  <c r="S17" i="11"/>
  <c r="S40" s="1"/>
  <c r="S64" s="1"/>
  <c r="Y7" i="25" s="1"/>
  <c r="O17" i="11"/>
  <c r="O40" s="1"/>
  <c r="O64" s="1"/>
  <c r="U7" i="25" s="1"/>
  <c r="H24" i="11"/>
  <c r="H47" s="1"/>
  <c r="H71" s="1"/>
  <c r="N14" i="25" s="1"/>
  <c r="M24" i="11"/>
  <c r="M47" s="1"/>
  <c r="M71" s="1"/>
  <c r="S14" i="25" s="1"/>
  <c r="I16" i="11"/>
  <c r="I39" s="1"/>
  <c r="I63" s="1"/>
  <c r="O6" i="25" s="1"/>
  <c r="L28" i="11"/>
  <c r="L51" s="1"/>
  <c r="L75" s="1"/>
  <c r="R18" i="25" s="1"/>
  <c r="H30" i="11"/>
  <c r="H53" s="1"/>
  <c r="H77" s="1"/>
  <c r="N20" i="25" s="1"/>
  <c r="R21" i="11"/>
  <c r="R44" s="1"/>
  <c r="R68" s="1"/>
  <c r="X11" i="25" s="1"/>
  <c r="J15" i="11"/>
  <c r="J38" s="1"/>
  <c r="J62" s="1"/>
  <c r="P5" i="25" s="1"/>
  <c r="U23" i="11"/>
  <c r="U46" s="1"/>
  <c r="U70" s="1"/>
  <c r="AA13" i="25" s="1"/>
  <c r="F18" i="11"/>
  <c r="F41" s="1"/>
  <c r="F65" s="1"/>
  <c r="L8" i="25" s="1"/>
  <c r="R19" i="11"/>
  <c r="R42" s="1"/>
  <c r="R66" s="1"/>
  <c r="G24"/>
  <c r="G47" s="1"/>
  <c r="G71" s="1"/>
  <c r="M14" i="25" s="1"/>
  <c r="I20" i="11"/>
  <c r="I43" s="1"/>
  <c r="I67" s="1"/>
  <c r="O10" i="25" s="1"/>
  <c r="X15" i="11"/>
  <c r="N15"/>
  <c r="N38" s="1"/>
  <c r="N62" s="1"/>
  <c r="T5" i="25" s="1"/>
  <c r="R24" i="11"/>
  <c r="R47" s="1"/>
  <c r="R71" s="1"/>
  <c r="X14" i="25" s="1"/>
  <c r="O21" i="11"/>
  <c r="O44" s="1"/>
  <c r="O68" s="1"/>
  <c r="U11" i="25" s="1"/>
  <c r="I26" i="11"/>
  <c r="I49" s="1"/>
  <c r="I73" s="1"/>
  <c r="O16" i="25" s="1"/>
  <c r="G25" i="11"/>
  <c r="G48" s="1"/>
  <c r="G72" s="1"/>
  <c r="M15" i="25" s="1"/>
  <c r="U13" i="11"/>
  <c r="W14"/>
  <c r="W37" s="1"/>
  <c r="W61" s="1"/>
  <c r="AC4" i="25" s="1"/>
  <c r="J17" i="11"/>
  <c r="J40" s="1"/>
  <c r="J64" s="1"/>
  <c r="P7" i="25" s="1"/>
  <c r="L23" i="11"/>
  <c r="L46" s="1"/>
  <c r="L70" s="1"/>
  <c r="R13" i="25" s="1"/>
  <c r="Q29" i="11"/>
  <c r="Q52" s="1"/>
  <c r="Q76" s="1"/>
  <c r="W19" i="25" s="1"/>
  <c r="U28" i="11"/>
  <c r="U51" s="1"/>
  <c r="U75" s="1"/>
  <c r="AA18" i="25" s="1"/>
  <c r="F24" i="11"/>
  <c r="F47" s="1"/>
  <c r="F71" s="1"/>
  <c r="L14" i="25" s="1"/>
  <c r="M18" i="11"/>
  <c r="M41" s="1"/>
  <c r="M65" s="1"/>
  <c r="S8" i="25" s="1"/>
  <c r="R18" i="11"/>
  <c r="R41" s="1"/>
  <c r="R65" s="1"/>
  <c r="X8" i="25" s="1"/>
  <c r="G26" i="11"/>
  <c r="G49" s="1"/>
  <c r="G73" s="1"/>
  <c r="M16" i="25" s="1"/>
  <c r="M28" i="11"/>
  <c r="M51" s="1"/>
  <c r="M75" s="1"/>
  <c r="S18" i="25" s="1"/>
  <c r="O29" i="11"/>
  <c r="O52" s="1"/>
  <c r="O76" s="1"/>
  <c r="U19" i="25" s="1"/>
  <c r="O23" i="11"/>
  <c r="O46" s="1"/>
  <c r="O70" s="1"/>
  <c r="U13" i="25" s="1"/>
  <c r="M15" i="11"/>
  <c r="M38" s="1"/>
  <c r="M62" s="1"/>
  <c r="S5" i="25" s="1"/>
  <c r="U20" i="11"/>
  <c r="U43" s="1"/>
  <c r="U67" s="1"/>
  <c r="AA10" i="25" s="1"/>
  <c r="F17" i="11"/>
  <c r="F40" s="1"/>
  <c r="F64" s="1"/>
  <c r="L7" i="25" s="1"/>
  <c r="M13" i="11"/>
  <c r="U14"/>
  <c r="U37" s="1"/>
  <c r="U61" s="1"/>
  <c r="AA4" i="25" s="1"/>
  <c r="N16" i="11"/>
  <c r="N39" s="1"/>
  <c r="N63" s="1"/>
  <c r="T6" i="25" s="1"/>
  <c r="P21" i="11"/>
  <c r="P44" s="1"/>
  <c r="P68" s="1"/>
  <c r="V11" i="25" s="1"/>
  <c r="H23" i="11"/>
  <c r="H46" s="1"/>
  <c r="H70" s="1"/>
  <c r="N13" i="25" s="1"/>
  <c r="V24" i="11"/>
  <c r="V47" s="1"/>
  <c r="V71" s="1"/>
  <c r="AB14" i="25" s="1"/>
  <c r="U29" i="11"/>
  <c r="U52" s="1"/>
  <c r="U76" s="1"/>
  <c r="AA19" i="25" s="1"/>
  <c r="S27" i="11"/>
  <c r="S50" s="1"/>
  <c r="S74" s="1"/>
  <c r="P30"/>
  <c r="P53" s="1"/>
  <c r="P77" s="1"/>
  <c r="V20" i="25" s="1"/>
  <c r="M26" i="11"/>
  <c r="M49" s="1"/>
  <c r="M73" s="1"/>
  <c r="S16" i="25" s="1"/>
  <c r="N29" i="11"/>
  <c r="N52" s="1"/>
  <c r="N76" s="1"/>
  <c r="T19" i="25" s="1"/>
  <c r="K15" i="11"/>
  <c r="K38" s="1"/>
  <c r="K62" s="1"/>
  <c r="Q5" i="25" s="1"/>
  <c r="H20" i="11"/>
  <c r="H43" s="1"/>
  <c r="H67" s="1"/>
  <c r="N10" i="25" s="1"/>
  <c r="P25" i="11"/>
  <c r="P48" s="1"/>
  <c r="P72" s="1"/>
  <c r="V15" i="25" s="1"/>
  <c r="X23" i="11"/>
  <c r="S15"/>
  <c r="S38" s="1"/>
  <c r="S62" s="1"/>
  <c r="Y5" i="25" s="1"/>
  <c r="H27" i="11"/>
  <c r="H50" s="1"/>
  <c r="H74" s="1"/>
  <c r="W19"/>
  <c r="W42" s="1"/>
  <c r="W66" s="1"/>
  <c r="I27"/>
  <c r="I50" s="1"/>
  <c r="I74" s="1"/>
  <c r="S30"/>
  <c r="S53" s="1"/>
  <c r="S77" s="1"/>
  <c r="Y20" i="25" s="1"/>
  <c r="X30" i="11"/>
  <c r="K14"/>
  <c r="K37" s="1"/>
  <c r="K61" s="1"/>
  <c r="Q4" i="25" s="1"/>
  <c r="U17" i="11"/>
  <c r="U40" s="1"/>
  <c r="U64" s="1"/>
  <c r="AA7" i="25" s="1"/>
  <c r="G29" i="11"/>
  <c r="G52" s="1"/>
  <c r="G76" s="1"/>
  <c r="M19" i="25" s="1"/>
  <c r="H19" i="11"/>
  <c r="H42" s="1"/>
  <c r="H66" s="1"/>
  <c r="X19"/>
  <c r="T21"/>
  <c r="T44" s="1"/>
  <c r="T68" s="1"/>
  <c r="Z11" i="25" s="1"/>
  <c r="J24" i="11"/>
  <c r="J47" s="1"/>
  <c r="J71" s="1"/>
  <c r="P14" i="25" s="1"/>
  <c r="X22" i="11"/>
  <c r="G28"/>
  <c r="G51" s="1"/>
  <c r="G75" s="1"/>
  <c r="M18" i="25" s="1"/>
  <c r="V27" i="11"/>
  <c r="V50" s="1"/>
  <c r="V74" s="1"/>
  <c r="O26"/>
  <c r="O49" s="1"/>
  <c r="O73" s="1"/>
  <c r="U16" i="25" s="1"/>
  <c r="S22" i="11"/>
  <c r="S45" s="1"/>
  <c r="S69" s="1"/>
  <c r="Y12" i="25" s="1"/>
  <c r="O28" i="11"/>
  <c r="O51" s="1"/>
  <c r="O75" s="1"/>
  <c r="U18" i="25" s="1"/>
  <c r="H22" i="11"/>
  <c r="H45" s="1"/>
  <c r="H69" s="1"/>
  <c r="N12" i="25" s="1"/>
  <c r="V23" i="11"/>
  <c r="V46" s="1"/>
  <c r="V70" s="1"/>
  <c r="AB13" i="25" s="1"/>
  <c r="I22" i="11"/>
  <c r="I45" s="1"/>
  <c r="I69" s="1"/>
  <c r="O12" i="25" s="1"/>
  <c r="R14" i="11"/>
  <c r="R37" s="1"/>
  <c r="R61" s="1"/>
  <c r="X4" i="25" s="1"/>
  <c r="I17" i="11"/>
  <c r="I40" s="1"/>
  <c r="I64" s="1"/>
  <c r="O7" i="25" s="1"/>
  <c r="O22" i="11"/>
  <c r="O45" s="1"/>
  <c r="O69" s="1"/>
  <c r="U12" i="25" s="1"/>
  <c r="G13" i="11"/>
  <c r="N26"/>
  <c r="N49" s="1"/>
  <c r="N73" s="1"/>
  <c r="T16" i="25" s="1"/>
  <c r="Q27" i="11"/>
  <c r="Q50" s="1"/>
  <c r="Q74" s="1"/>
  <c r="O15"/>
  <c r="O38" s="1"/>
  <c r="O62" s="1"/>
  <c r="U5" i="25" s="1"/>
  <c r="O30" i="11"/>
  <c r="O53" s="1"/>
  <c r="O77" s="1"/>
  <c r="U20" i="25" s="1"/>
  <c r="M30" i="11"/>
  <c r="M53" s="1"/>
  <c r="M77" s="1"/>
  <c r="S20" i="25" s="1"/>
  <c r="H15" i="11"/>
  <c r="H38" s="1"/>
  <c r="H62" s="1"/>
  <c r="N5" i="25" s="1"/>
  <c r="H17" i="11"/>
  <c r="H40" s="1"/>
  <c r="H64" s="1"/>
  <c r="N7" i="25" s="1"/>
  <c r="S18" i="11"/>
  <c r="S41" s="1"/>
  <c r="S65" s="1"/>
  <c r="Y8" i="25" s="1"/>
  <c r="P29" i="11"/>
  <c r="P52" s="1"/>
  <c r="P76" s="1"/>
  <c r="V19" i="25" s="1"/>
  <c r="G17" i="11"/>
  <c r="G40" s="1"/>
  <c r="G64" s="1"/>
  <c r="M7" i="25" s="1"/>
  <c r="T19" i="11"/>
  <c r="T42" s="1"/>
  <c r="T66" s="1"/>
  <c r="O25"/>
  <c r="O48" s="1"/>
  <c r="O72" s="1"/>
  <c r="U15" i="25" s="1"/>
  <c r="X17" i="11"/>
  <c r="K21"/>
  <c r="K44" s="1"/>
  <c r="K68" s="1"/>
  <c r="Q11" i="25" s="1"/>
  <c r="L13" i="11"/>
  <c r="O13"/>
  <c r="Q20"/>
  <c r="Q43" s="1"/>
  <c r="Q67" s="1"/>
  <c r="W10" i="25" s="1"/>
  <c r="W25" i="11"/>
  <c r="W48" s="1"/>
  <c r="W72" s="1"/>
  <c r="AC15" i="25" s="1"/>
  <c r="W23" i="11"/>
  <c r="W46" s="1"/>
  <c r="W70" s="1"/>
  <c r="AC13" i="25" s="1"/>
  <c r="T15" i="11"/>
  <c r="T38" s="1"/>
  <c r="T62" s="1"/>
  <c r="Z5" i="25" s="1"/>
  <c r="E17" i="11"/>
  <c r="E40" s="1"/>
  <c r="E64" s="1"/>
  <c r="E20"/>
  <c r="E43" s="1"/>
  <c r="E67" s="1"/>
  <c r="E22"/>
  <c r="E45" s="1"/>
  <c r="E69" s="1"/>
  <c r="E19"/>
  <c r="E42" s="1"/>
  <c r="E66" s="1"/>
  <c r="E27"/>
  <c r="E50" s="1"/>
  <c r="E74" s="1"/>
  <c r="E16"/>
  <c r="E39" s="1"/>
  <c r="E63" s="1"/>
  <c r="E30"/>
  <c r="E53" s="1"/>
  <c r="E77" s="1"/>
  <c r="E25"/>
  <c r="E48" s="1"/>
  <c r="E72" s="1"/>
  <c r="E24"/>
  <c r="E47" s="1"/>
  <c r="E71" s="1"/>
  <c r="E28"/>
  <c r="E51" s="1"/>
  <c r="E75" s="1"/>
  <c r="E15"/>
  <c r="E38" s="1"/>
  <c r="E62" s="1"/>
  <c r="E14"/>
  <c r="E37" s="1"/>
  <c r="E61" s="1"/>
  <c r="E23"/>
  <c r="E46" s="1"/>
  <c r="E70" s="1"/>
  <c r="E18"/>
  <c r="E41" s="1"/>
  <c r="E65" s="1"/>
  <c r="E21"/>
  <c r="E44" s="1"/>
  <c r="E68" s="1"/>
  <c r="E29"/>
  <c r="E52" s="1"/>
  <c r="E76" s="1"/>
  <c r="E26"/>
  <c r="E49" s="1"/>
  <c r="E73" s="1"/>
  <c r="E13"/>
  <c r="Z9" i="25" l="1"/>
  <c r="T88" i="11"/>
  <c r="W87"/>
  <c r="W124" s="1"/>
  <c r="AC17" i="25"/>
  <c r="J87" i="11"/>
  <c r="J124" s="1"/>
  <c r="P17" i="25"/>
  <c r="O31" i="11"/>
  <c r="O54" s="1"/>
  <c r="O36"/>
  <c r="O60" s="1"/>
  <c r="O79" s="1"/>
  <c r="G31"/>
  <c r="G54" s="1"/>
  <c r="G36"/>
  <c r="G60" s="1"/>
  <c r="G79" s="1"/>
  <c r="Y45"/>
  <c r="Y69" s="1"/>
  <c r="AE12" i="25" s="1"/>
  <c r="X45" i="11"/>
  <c r="X69" s="1"/>
  <c r="AD12" i="25" s="1"/>
  <c r="H88" i="11"/>
  <c r="N9" i="25"/>
  <c r="X53" i="11"/>
  <c r="X77" s="1"/>
  <c r="AD20" i="25" s="1"/>
  <c r="Y53" i="11"/>
  <c r="Y77" s="1"/>
  <c r="AE20" i="25" s="1"/>
  <c r="N17"/>
  <c r="H87" i="11"/>
  <c r="H124" s="1"/>
  <c r="M31"/>
  <c r="M54" s="1"/>
  <c r="M36"/>
  <c r="M60" s="1"/>
  <c r="M79" s="1"/>
  <c r="U31"/>
  <c r="U54" s="1"/>
  <c r="U36"/>
  <c r="U60" s="1"/>
  <c r="U79" s="1"/>
  <c r="M88"/>
  <c r="S9" i="25"/>
  <c r="N87" i="11"/>
  <c r="N124" s="1"/>
  <c r="T17" i="25"/>
  <c r="P88" i="11"/>
  <c r="V9" i="25"/>
  <c r="Q31" i="11"/>
  <c r="Q54" s="1"/>
  <c r="Q36"/>
  <c r="Q60" s="1"/>
  <c r="Q79" s="1"/>
  <c r="Y51"/>
  <c r="Y75" s="1"/>
  <c r="AE18" i="25" s="1"/>
  <c r="X51" i="11"/>
  <c r="X75" s="1"/>
  <c r="AD18" i="25" s="1"/>
  <c r="P31" i="11"/>
  <c r="P54" s="1"/>
  <c r="P36"/>
  <c r="P60" s="1"/>
  <c r="P79" s="1"/>
  <c r="R31"/>
  <c r="R54" s="1"/>
  <c r="R36"/>
  <c r="R60" s="1"/>
  <c r="R79" s="1"/>
  <c r="X31"/>
  <c r="X54" s="1"/>
  <c r="X36"/>
  <c r="X60" s="1"/>
  <c r="Y36"/>
  <c r="Z17" i="25"/>
  <c r="T87" i="11"/>
  <c r="T124" s="1"/>
  <c r="Q9" i="25"/>
  <c r="K88" i="11"/>
  <c r="V88"/>
  <c r="AB9" i="25"/>
  <c r="T31" i="11"/>
  <c r="T54" s="1"/>
  <c r="T36"/>
  <c r="T60" s="1"/>
  <c r="T79" s="1"/>
  <c r="I31"/>
  <c r="I54" s="1"/>
  <c r="I36"/>
  <c r="I60" s="1"/>
  <c r="I79" s="1"/>
  <c r="S88"/>
  <c r="Y9" i="25"/>
  <c r="R87" i="11"/>
  <c r="R124" s="1"/>
  <c r="X17" i="25"/>
  <c r="Y48" i="11"/>
  <c r="Y72" s="1"/>
  <c r="AE15" i="25" s="1"/>
  <c r="X48" i="11"/>
  <c r="X72" s="1"/>
  <c r="AD15" i="25" s="1"/>
  <c r="L31" i="11"/>
  <c r="L54" s="1"/>
  <c r="L36"/>
  <c r="L60" s="1"/>
  <c r="L79" s="1"/>
  <c r="X9" i="25"/>
  <c r="R88" i="11"/>
  <c r="X47"/>
  <c r="X71" s="1"/>
  <c r="AD14" i="25" s="1"/>
  <c r="Y47" i="11"/>
  <c r="Y71" s="1"/>
  <c r="AE14" i="25" s="1"/>
  <c r="Y50" i="11"/>
  <c r="Y74" s="1"/>
  <c r="X50"/>
  <c r="X74" s="1"/>
  <c r="I88"/>
  <c r="O9" i="25"/>
  <c r="X40" i="11"/>
  <c r="X64" s="1"/>
  <c r="AD7" i="25" s="1"/>
  <c r="Y40" i="11"/>
  <c r="Y64" s="1"/>
  <c r="AE7" i="25" s="1"/>
  <c r="Y42" i="11"/>
  <c r="Y66" s="1"/>
  <c r="X42"/>
  <c r="X66" s="1"/>
  <c r="AA66" s="1"/>
  <c r="AC9" i="25"/>
  <c r="W88" i="11"/>
  <c r="W125" s="1"/>
  <c r="Y49"/>
  <c r="Y73" s="1"/>
  <c r="AE16" i="25" s="1"/>
  <c r="X49" i="11"/>
  <c r="X73" s="1"/>
  <c r="AD16" i="25" s="1"/>
  <c r="N88" i="11"/>
  <c r="T9" i="25"/>
  <c r="K31" i="11"/>
  <c r="K54" s="1"/>
  <c r="K36"/>
  <c r="K60" s="1"/>
  <c r="K79" s="1"/>
  <c r="U9" i="25"/>
  <c r="O88" i="11"/>
  <c r="P87"/>
  <c r="P124" s="1"/>
  <c r="V17" i="25"/>
  <c r="L17"/>
  <c r="F87" i="11"/>
  <c r="F124" s="1"/>
  <c r="H31"/>
  <c r="H54" s="1"/>
  <c r="H36"/>
  <c r="H60" s="1"/>
  <c r="H79" s="1"/>
  <c r="Q17" i="25"/>
  <c r="K87" i="11"/>
  <c r="K124" s="1"/>
  <c r="G88"/>
  <c r="M9" i="25"/>
  <c r="Y44" i="11"/>
  <c r="Y68" s="1"/>
  <c r="AE11" i="25" s="1"/>
  <c r="X44" i="11"/>
  <c r="X68" s="1"/>
  <c r="AD11" i="25" s="1"/>
  <c r="M87" i="11"/>
  <c r="M124" s="1"/>
  <c r="S17" i="25"/>
  <c r="V31" i="11"/>
  <c r="V54" s="1"/>
  <c r="V36"/>
  <c r="V60" s="1"/>
  <c r="V79" s="1"/>
  <c r="S87"/>
  <c r="S124" s="1"/>
  <c r="Y17" i="25"/>
  <c r="W31" i="11"/>
  <c r="W54" s="1"/>
  <c r="W36"/>
  <c r="W60" s="1"/>
  <c r="W79" s="1"/>
  <c r="S31"/>
  <c r="S54" s="1"/>
  <c r="S36"/>
  <c r="S60" s="1"/>
  <c r="S79" s="1"/>
  <c r="G87"/>
  <c r="G124" s="1"/>
  <c r="M17" i="25"/>
  <c r="J31" i="11"/>
  <c r="J54" s="1"/>
  <c r="J36"/>
  <c r="J60" s="1"/>
  <c r="J79" s="1"/>
  <c r="L9" i="25"/>
  <c r="F88" i="11"/>
  <c r="F125" s="1"/>
  <c r="Y43"/>
  <c r="Y67" s="1"/>
  <c r="AE10" i="25" s="1"/>
  <c r="X43" i="11"/>
  <c r="X67" s="1"/>
  <c r="AD10" i="25" s="1"/>
  <c r="L88" i="11"/>
  <c r="R9" i="25"/>
  <c r="U17"/>
  <c r="O87" i="11"/>
  <c r="O124" s="1"/>
  <c r="X37"/>
  <c r="X61" s="1"/>
  <c r="AD4" i="25" s="1"/>
  <c r="Y37" i="11"/>
  <c r="Y61" s="1"/>
  <c r="AE4" i="25" s="1"/>
  <c r="Y39" i="11"/>
  <c r="Y63" s="1"/>
  <c r="AE6" i="25" s="1"/>
  <c r="X39" i="11"/>
  <c r="X63" s="1"/>
  <c r="AD6" i="25" s="1"/>
  <c r="Q87" i="11"/>
  <c r="Q124" s="1"/>
  <c r="W17" i="25"/>
  <c r="V87" i="11"/>
  <c r="V124" s="1"/>
  <c r="AB17" i="25"/>
  <c r="I87" i="11"/>
  <c r="I124" s="1"/>
  <c r="O17" i="25"/>
  <c r="X46" i="11"/>
  <c r="X70" s="1"/>
  <c r="AD13" i="25" s="1"/>
  <c r="Y46" i="11"/>
  <c r="Y70" s="1"/>
  <c r="AE13" i="25" s="1"/>
  <c r="Y38" i="11"/>
  <c r="Y62" s="1"/>
  <c r="AE5" i="25" s="1"/>
  <c r="X38" i="11"/>
  <c r="X62" s="1"/>
  <c r="AD5" i="25" s="1"/>
  <c r="J88" i="11"/>
  <c r="P9" i="25"/>
  <c r="X41" i="11"/>
  <c r="X65" s="1"/>
  <c r="AD8" i="25" s="1"/>
  <c r="Y41" i="11"/>
  <c r="Y65" s="1"/>
  <c r="AE8" i="25" s="1"/>
  <c r="U87" i="11"/>
  <c r="U124" s="1"/>
  <c r="AA17" i="25"/>
  <c r="F31" i="11"/>
  <c r="F54" s="1"/>
  <c r="F36"/>
  <c r="F60" s="1"/>
  <c r="F79" s="1"/>
  <c r="X52"/>
  <c r="X76" s="1"/>
  <c r="AD19" i="25" s="1"/>
  <c r="Y52" i="11"/>
  <c r="Y76" s="1"/>
  <c r="AE19" i="25" s="1"/>
  <c r="L87" i="11"/>
  <c r="L124" s="1"/>
  <c r="R17" i="25"/>
  <c r="U88" i="11"/>
  <c r="AA9" i="25"/>
  <c r="W9"/>
  <c r="Q88" i="11"/>
  <c r="N31"/>
  <c r="N54" s="1"/>
  <c r="N36"/>
  <c r="N60" s="1"/>
  <c r="N79" s="1"/>
  <c r="K16" i="25"/>
  <c r="K13"/>
  <c r="K14"/>
  <c r="AA71" i="11"/>
  <c r="K17" i="25"/>
  <c r="E87" i="11"/>
  <c r="E124" s="1"/>
  <c r="K7" i="25"/>
  <c r="K8"/>
  <c r="K18"/>
  <c r="AA75" i="11"/>
  <c r="K6" i="25"/>
  <c r="K10"/>
  <c r="K11"/>
  <c r="K5"/>
  <c r="K20"/>
  <c r="AA69" i="11"/>
  <c r="K12" i="25"/>
  <c r="K19"/>
  <c r="K4"/>
  <c r="K15"/>
  <c r="E88" i="11"/>
  <c r="K9" i="25"/>
  <c r="E31" i="11"/>
  <c r="E54" s="1"/>
  <c r="E36"/>
  <c r="E60" s="1"/>
  <c r="E79" s="1"/>
  <c r="U125" l="1"/>
  <c r="AA70"/>
  <c r="R125"/>
  <c r="AA77"/>
  <c r="AA64"/>
  <c r="X79"/>
  <c r="J125"/>
  <c r="AA76"/>
  <c r="AA67"/>
  <c r="AA73"/>
  <c r="N125"/>
  <c r="S125"/>
  <c r="T125"/>
  <c r="O125"/>
  <c r="P125"/>
  <c r="M125"/>
  <c r="AA63"/>
  <c r="W110"/>
  <c r="W92"/>
  <c r="W106"/>
  <c r="W102"/>
  <c r="W93"/>
  <c r="W97"/>
  <c r="W115"/>
  <c r="W101"/>
  <c r="W116"/>
  <c r="W105"/>
  <c r="W95"/>
  <c r="W90"/>
  <c r="W112"/>
  <c r="W104"/>
  <c r="W100"/>
  <c r="W99"/>
  <c r="W103"/>
  <c r="W96"/>
  <c r="W107"/>
  <c r="W144" s="1"/>
  <c r="W111"/>
  <c r="AC3" i="25"/>
  <c r="W109" i="11"/>
  <c r="W98"/>
  <c r="W94"/>
  <c r="W114"/>
  <c r="W113"/>
  <c r="W89"/>
  <c r="W126" s="1"/>
  <c r="W91"/>
  <c r="W128" s="1"/>
  <c r="W108"/>
  <c r="V95"/>
  <c r="V89"/>
  <c r="V126" s="1"/>
  <c r="V101"/>
  <c r="V100"/>
  <c r="V102"/>
  <c r="V116"/>
  <c r="V111"/>
  <c r="V103"/>
  <c r="V96"/>
  <c r="V133" s="1"/>
  <c r="V91"/>
  <c r="V113"/>
  <c r="V115"/>
  <c r="V104"/>
  <c r="V110"/>
  <c r="V90"/>
  <c r="V94"/>
  <c r="AB3" i="25"/>
  <c r="V98" i="11"/>
  <c r="V106"/>
  <c r="V114"/>
  <c r="V92"/>
  <c r="V112"/>
  <c r="V105"/>
  <c r="V97"/>
  <c r="V99"/>
  <c r="V107"/>
  <c r="V108"/>
  <c r="V93"/>
  <c r="V109"/>
  <c r="T89"/>
  <c r="T126" s="1"/>
  <c r="T97"/>
  <c r="T114"/>
  <c r="T103"/>
  <c r="T110"/>
  <c r="T107"/>
  <c r="T116"/>
  <c r="T94"/>
  <c r="T92"/>
  <c r="T91"/>
  <c r="T90"/>
  <c r="T96"/>
  <c r="T106"/>
  <c r="T102"/>
  <c r="T101"/>
  <c r="T111"/>
  <c r="T104"/>
  <c r="T105"/>
  <c r="T109"/>
  <c r="T113"/>
  <c r="T112"/>
  <c r="T100"/>
  <c r="T108"/>
  <c r="T93"/>
  <c r="T115"/>
  <c r="T95"/>
  <c r="T98"/>
  <c r="T99"/>
  <c r="Z3" i="25"/>
  <c r="N99" i="11"/>
  <c r="N115"/>
  <c r="N108"/>
  <c r="N107"/>
  <c r="N91"/>
  <c r="N110"/>
  <c r="N95"/>
  <c r="N103"/>
  <c r="N97"/>
  <c r="N102"/>
  <c r="N89"/>
  <c r="N126" s="1"/>
  <c r="N106"/>
  <c r="N94"/>
  <c r="N116"/>
  <c r="N90"/>
  <c r="N111"/>
  <c r="N109"/>
  <c r="N92"/>
  <c r="N96"/>
  <c r="N133" s="1"/>
  <c r="N100"/>
  <c r="N105"/>
  <c r="N101"/>
  <c r="N114"/>
  <c r="N104"/>
  <c r="N141" s="1"/>
  <c r="N113"/>
  <c r="N98"/>
  <c r="N93"/>
  <c r="N112"/>
  <c r="T3" i="25"/>
  <c r="J112" i="11"/>
  <c r="J107"/>
  <c r="J92"/>
  <c r="J105"/>
  <c r="J90"/>
  <c r="J115"/>
  <c r="J109"/>
  <c r="J98"/>
  <c r="J111"/>
  <c r="J99"/>
  <c r="J114"/>
  <c r="J95"/>
  <c r="J100"/>
  <c r="J102"/>
  <c r="J108"/>
  <c r="J113"/>
  <c r="J101"/>
  <c r="J138" s="1"/>
  <c r="J94"/>
  <c r="J89"/>
  <c r="J126" s="1"/>
  <c r="J110"/>
  <c r="J116"/>
  <c r="J93"/>
  <c r="J103"/>
  <c r="J96"/>
  <c r="J133" s="1"/>
  <c r="J104"/>
  <c r="J97"/>
  <c r="P3" i="25"/>
  <c r="J91" i="11"/>
  <c r="J106"/>
  <c r="S103"/>
  <c r="S110"/>
  <c r="S112"/>
  <c r="S107"/>
  <c r="S96"/>
  <c r="S95"/>
  <c r="S109"/>
  <c r="S92"/>
  <c r="S93"/>
  <c r="S97"/>
  <c r="S115"/>
  <c r="S98"/>
  <c r="S116"/>
  <c r="S104"/>
  <c r="S91"/>
  <c r="S105"/>
  <c r="S99"/>
  <c r="S108"/>
  <c r="S101"/>
  <c r="S114"/>
  <c r="Y3" i="25"/>
  <c r="S94" i="11"/>
  <c r="S106"/>
  <c r="S89"/>
  <c r="S126" s="1"/>
  <c r="S102"/>
  <c r="S90"/>
  <c r="S113"/>
  <c r="S150" s="1"/>
  <c r="S111"/>
  <c r="S100"/>
  <c r="S137" s="1"/>
  <c r="H106"/>
  <c r="H103"/>
  <c r="H115"/>
  <c r="H112"/>
  <c r="H105"/>
  <c r="H96"/>
  <c r="H102"/>
  <c r="H93"/>
  <c r="H92"/>
  <c r="H116"/>
  <c r="H91"/>
  <c r="H114"/>
  <c r="H107"/>
  <c r="H144" s="1"/>
  <c r="H109"/>
  <c r="H89"/>
  <c r="H126" s="1"/>
  <c r="H97"/>
  <c r="H94"/>
  <c r="H108"/>
  <c r="H99"/>
  <c r="H95"/>
  <c r="H90"/>
  <c r="H111"/>
  <c r="H101"/>
  <c r="H104"/>
  <c r="H110"/>
  <c r="N3" i="25"/>
  <c r="H98" i="11"/>
  <c r="H100"/>
  <c r="H113"/>
  <c r="K95"/>
  <c r="K90"/>
  <c r="K108"/>
  <c r="K107"/>
  <c r="K98"/>
  <c r="K112"/>
  <c r="K101"/>
  <c r="K114"/>
  <c r="K99"/>
  <c r="K110"/>
  <c r="K106"/>
  <c r="K109"/>
  <c r="K104"/>
  <c r="Q3" i="25"/>
  <c r="K111" i="11"/>
  <c r="K92"/>
  <c r="K89"/>
  <c r="K126" s="1"/>
  <c r="K96"/>
  <c r="K91"/>
  <c r="K100"/>
  <c r="K113"/>
  <c r="K97"/>
  <c r="K134" s="1"/>
  <c r="K116"/>
  <c r="K103"/>
  <c r="K93"/>
  <c r="K115"/>
  <c r="K94"/>
  <c r="K102"/>
  <c r="K105"/>
  <c r="K142" s="1"/>
  <c r="AD9" i="25"/>
  <c r="X88" i="11"/>
  <c r="L92"/>
  <c r="L99"/>
  <c r="L111"/>
  <c r="L100"/>
  <c r="L94"/>
  <c r="L103"/>
  <c r="L90"/>
  <c r="L93"/>
  <c r="L96"/>
  <c r="L116"/>
  <c r="L97"/>
  <c r="L106"/>
  <c r="L107"/>
  <c r="L110"/>
  <c r="L95"/>
  <c r="L113"/>
  <c r="L109"/>
  <c r="L114"/>
  <c r="L105"/>
  <c r="L91"/>
  <c r="L115"/>
  <c r="R3" i="25"/>
  <c r="L104" i="11"/>
  <c r="L101"/>
  <c r="L138" s="1"/>
  <c r="L98"/>
  <c r="L112"/>
  <c r="L102"/>
  <c r="L89"/>
  <c r="L126" s="1"/>
  <c r="L108"/>
  <c r="L145" s="1"/>
  <c r="I103"/>
  <c r="I89"/>
  <c r="I126" s="1"/>
  <c r="I116"/>
  <c r="I94"/>
  <c r="I106"/>
  <c r="I91"/>
  <c r="I108"/>
  <c r="I100"/>
  <c r="I107"/>
  <c r="I90"/>
  <c r="I127" s="1"/>
  <c r="I110"/>
  <c r="I102"/>
  <c r="I104"/>
  <c r="I141" s="1"/>
  <c r="I97"/>
  <c r="I96"/>
  <c r="O3" i="25"/>
  <c r="I112" i="11"/>
  <c r="I99"/>
  <c r="I105"/>
  <c r="I114"/>
  <c r="I113"/>
  <c r="I150" s="1"/>
  <c r="I111"/>
  <c r="I93"/>
  <c r="I92"/>
  <c r="I109"/>
  <c r="I101"/>
  <c r="I98"/>
  <c r="I115"/>
  <c r="I152" s="1"/>
  <c r="I95"/>
  <c r="Q125"/>
  <c r="AA72"/>
  <c r="AA68"/>
  <c r="AA65"/>
  <c r="H125"/>
  <c r="AE17" i="25"/>
  <c r="Y87" i="11"/>
  <c r="Y124" s="1"/>
  <c r="X89"/>
  <c r="X97"/>
  <c r="X99"/>
  <c r="X94"/>
  <c r="X96"/>
  <c r="X106"/>
  <c r="X104"/>
  <c r="X109"/>
  <c r="X98"/>
  <c r="X107"/>
  <c r="X110"/>
  <c r="X103"/>
  <c r="X90"/>
  <c r="X127" s="1"/>
  <c r="X100"/>
  <c r="X93"/>
  <c r="X105"/>
  <c r="AD3" i="25"/>
  <c r="X115" i="11"/>
  <c r="X112"/>
  <c r="X102"/>
  <c r="X116"/>
  <c r="X108"/>
  <c r="X145" s="1"/>
  <c r="X113"/>
  <c r="X91"/>
  <c r="X111"/>
  <c r="X92"/>
  <c r="X101"/>
  <c r="X95"/>
  <c r="X114"/>
  <c r="P113"/>
  <c r="P95"/>
  <c r="P90"/>
  <c r="P111"/>
  <c r="P96"/>
  <c r="P116"/>
  <c r="P101"/>
  <c r="P89"/>
  <c r="P126" s="1"/>
  <c r="P115"/>
  <c r="P107"/>
  <c r="P110"/>
  <c r="P108"/>
  <c r="P93"/>
  <c r="P98"/>
  <c r="P109"/>
  <c r="P104"/>
  <c r="P106"/>
  <c r="P94"/>
  <c r="P92"/>
  <c r="P112"/>
  <c r="P149" s="1"/>
  <c r="P99"/>
  <c r="P100"/>
  <c r="P103"/>
  <c r="P102"/>
  <c r="P105"/>
  <c r="P97"/>
  <c r="P91"/>
  <c r="P128" s="1"/>
  <c r="V3" i="25"/>
  <c r="P114" i="11"/>
  <c r="P151" s="1"/>
  <c r="Q106"/>
  <c r="Q104"/>
  <c r="Q97"/>
  <c r="Q94"/>
  <c r="Q89"/>
  <c r="Q126" s="1"/>
  <c r="Q105"/>
  <c r="Q142" s="1"/>
  <c r="Q113"/>
  <c r="Q111"/>
  <c r="Q112"/>
  <c r="Q92"/>
  <c r="Q96"/>
  <c r="Q109"/>
  <c r="Q91"/>
  <c r="Q101"/>
  <c r="Q93"/>
  <c r="Q108"/>
  <c r="Q98"/>
  <c r="Q107"/>
  <c r="Q114"/>
  <c r="Q151" s="1"/>
  <c r="Q116"/>
  <c r="Q99"/>
  <c r="Q136" s="1"/>
  <c r="Q102"/>
  <c r="Q139" s="1"/>
  <c r="Q90"/>
  <c r="Q103"/>
  <c r="Q95"/>
  <c r="Q110"/>
  <c r="W3" i="25"/>
  <c r="Q115" i="11"/>
  <c r="Q100"/>
  <c r="Q137" s="1"/>
  <c r="U115"/>
  <c r="U112"/>
  <c r="U99"/>
  <c r="U106"/>
  <c r="U113"/>
  <c r="U100"/>
  <c r="AA3" i="25"/>
  <c r="U90" i="11"/>
  <c r="U103"/>
  <c r="U110"/>
  <c r="U89"/>
  <c r="U126" s="1"/>
  <c r="U95"/>
  <c r="U101"/>
  <c r="U104"/>
  <c r="U94"/>
  <c r="U114"/>
  <c r="U107"/>
  <c r="U98"/>
  <c r="U91"/>
  <c r="U102"/>
  <c r="U108"/>
  <c r="U93"/>
  <c r="U109"/>
  <c r="U105"/>
  <c r="U111"/>
  <c r="U116"/>
  <c r="U97"/>
  <c r="U92"/>
  <c r="U96"/>
  <c r="G109"/>
  <c r="G105"/>
  <c r="G94"/>
  <c r="G110"/>
  <c r="G108"/>
  <c r="G103"/>
  <c r="G90"/>
  <c r="G89"/>
  <c r="G126" s="1"/>
  <c r="G102"/>
  <c r="G113"/>
  <c r="G115"/>
  <c r="G112"/>
  <c r="G98"/>
  <c r="G100"/>
  <c r="G101"/>
  <c r="G104"/>
  <c r="G116"/>
  <c r="G114"/>
  <c r="G151" s="1"/>
  <c r="G97"/>
  <c r="G107"/>
  <c r="M3" i="25"/>
  <c r="G95" i="11"/>
  <c r="G106"/>
  <c r="G93"/>
  <c r="G92"/>
  <c r="G91"/>
  <c r="G111"/>
  <c r="G99"/>
  <c r="G96"/>
  <c r="L125"/>
  <c r="F106"/>
  <c r="F99"/>
  <c r="F107"/>
  <c r="F105"/>
  <c r="F104"/>
  <c r="F100"/>
  <c r="F102"/>
  <c r="F91"/>
  <c r="F103"/>
  <c r="F96"/>
  <c r="F94"/>
  <c r="F113"/>
  <c r="F101"/>
  <c r="F109"/>
  <c r="F89"/>
  <c r="F126" s="1"/>
  <c r="F97"/>
  <c r="F110"/>
  <c r="L3" i="25"/>
  <c r="F112" i="11"/>
  <c r="F92"/>
  <c r="F129" s="1"/>
  <c r="F114"/>
  <c r="F95"/>
  <c r="F98"/>
  <c r="F111"/>
  <c r="F90"/>
  <c r="F115"/>
  <c r="F108"/>
  <c r="F145" s="1"/>
  <c r="F93"/>
  <c r="F130" s="1"/>
  <c r="F116"/>
  <c r="AD17" i="25"/>
  <c r="X87" i="11"/>
  <c r="X124" s="1"/>
  <c r="Y60"/>
  <c r="Y54"/>
  <c r="AE9" i="25"/>
  <c r="Y88" i="11"/>
  <c r="R89"/>
  <c r="R126" s="1"/>
  <c r="R108"/>
  <c r="R91"/>
  <c r="X3" i="25"/>
  <c r="R95" i="11"/>
  <c r="R102"/>
  <c r="R104"/>
  <c r="R106"/>
  <c r="R93"/>
  <c r="R105"/>
  <c r="R110"/>
  <c r="R98"/>
  <c r="R90"/>
  <c r="R127" s="1"/>
  <c r="R94"/>
  <c r="R101"/>
  <c r="R97"/>
  <c r="R92"/>
  <c r="R96"/>
  <c r="R115"/>
  <c r="R100"/>
  <c r="R113"/>
  <c r="R109"/>
  <c r="R146" s="1"/>
  <c r="R116"/>
  <c r="R99"/>
  <c r="R136" s="1"/>
  <c r="R112"/>
  <c r="R114"/>
  <c r="R107"/>
  <c r="R103"/>
  <c r="R111"/>
  <c r="M112"/>
  <c r="M113"/>
  <c r="M97"/>
  <c r="M116"/>
  <c r="M90"/>
  <c r="M102"/>
  <c r="M107"/>
  <c r="M111"/>
  <c r="M96"/>
  <c r="M115"/>
  <c r="M95"/>
  <c r="M106"/>
  <c r="M104"/>
  <c r="M94"/>
  <c r="M105"/>
  <c r="M114"/>
  <c r="M92"/>
  <c r="M93"/>
  <c r="M89"/>
  <c r="M126" s="1"/>
  <c r="M100"/>
  <c r="M99"/>
  <c r="S3" i="25"/>
  <c r="M108" i="11"/>
  <c r="M145" s="1"/>
  <c r="M101"/>
  <c r="M138" s="1"/>
  <c r="M91"/>
  <c r="M128" s="1"/>
  <c r="M109"/>
  <c r="M103"/>
  <c r="M98"/>
  <c r="M110"/>
  <c r="O92"/>
  <c r="O94"/>
  <c r="O96"/>
  <c r="O110"/>
  <c r="O98"/>
  <c r="O112"/>
  <c r="O90"/>
  <c r="O93"/>
  <c r="O116"/>
  <c r="O115"/>
  <c r="O104"/>
  <c r="O109"/>
  <c r="O102"/>
  <c r="O91"/>
  <c r="O111"/>
  <c r="U3" i="25"/>
  <c r="O95" i="11"/>
  <c r="O113"/>
  <c r="O150" s="1"/>
  <c r="O101"/>
  <c r="O107"/>
  <c r="O108"/>
  <c r="O99"/>
  <c r="O89"/>
  <c r="O126" s="1"/>
  <c r="O97"/>
  <c r="O106"/>
  <c r="O105"/>
  <c r="O100"/>
  <c r="O103"/>
  <c r="O114"/>
  <c r="K125"/>
  <c r="AA61"/>
  <c r="AA62"/>
  <c r="AA74"/>
  <c r="G125"/>
  <c r="I125"/>
  <c r="V125"/>
  <c r="E125"/>
  <c r="E109"/>
  <c r="E94"/>
  <c r="E98"/>
  <c r="E110"/>
  <c r="E106"/>
  <c r="E107"/>
  <c r="AA60"/>
  <c r="E91"/>
  <c r="E96"/>
  <c r="E90"/>
  <c r="E116"/>
  <c r="E105"/>
  <c r="E114"/>
  <c r="E101"/>
  <c r="E115"/>
  <c r="E100"/>
  <c r="E108"/>
  <c r="E92"/>
  <c r="E89"/>
  <c r="E126" s="1"/>
  <c r="E102"/>
  <c r="E95"/>
  <c r="E112"/>
  <c r="E99"/>
  <c r="E136" s="1"/>
  <c r="E97"/>
  <c r="K3" i="25"/>
  <c r="E104" i="11"/>
  <c r="E103"/>
  <c r="E113"/>
  <c r="E111"/>
  <c r="E93"/>
  <c r="E130" s="1"/>
  <c r="I144" l="1"/>
  <c r="K136"/>
  <c r="N149"/>
  <c r="O137"/>
  <c r="M135"/>
  <c r="M143"/>
  <c r="F150"/>
  <c r="G140"/>
  <c r="U131"/>
  <c r="U136"/>
  <c r="Q152"/>
  <c r="Q131"/>
  <c r="P142"/>
  <c r="P150"/>
  <c r="X152"/>
  <c r="X134"/>
  <c r="L141"/>
  <c r="L148"/>
  <c r="K133"/>
  <c r="K127"/>
  <c r="S151"/>
  <c r="S129"/>
  <c r="S144"/>
  <c r="J143"/>
  <c r="J148"/>
  <c r="N135"/>
  <c r="N129"/>
  <c r="N147"/>
  <c r="T135"/>
  <c r="T145"/>
  <c r="V151"/>
  <c r="W140"/>
  <c r="X132"/>
  <c r="F137"/>
  <c r="U145"/>
  <c r="X144"/>
  <c r="M141"/>
  <c r="M133"/>
  <c r="M127"/>
  <c r="F127"/>
  <c r="F140"/>
  <c r="G134"/>
  <c r="U142"/>
  <c r="Q135"/>
  <c r="Q128"/>
  <c r="X149"/>
  <c r="X136"/>
  <c r="I142"/>
  <c r="I133"/>
  <c r="I147"/>
  <c r="I145"/>
  <c r="L150"/>
  <c r="L137"/>
  <c r="K131"/>
  <c r="K143"/>
  <c r="H141"/>
  <c r="H134"/>
  <c r="H149"/>
  <c r="S139"/>
  <c r="J134"/>
  <c r="J136"/>
  <c r="N151"/>
  <c r="N132"/>
  <c r="T133"/>
  <c r="T140"/>
  <c r="V146"/>
  <c r="V139"/>
  <c r="W148"/>
  <c r="G136"/>
  <c r="G130"/>
  <c r="G141"/>
  <c r="G147"/>
  <c r="U148"/>
  <c r="U138"/>
  <c r="U150"/>
  <c r="Q147"/>
  <c r="Q141"/>
  <c r="P140"/>
  <c r="P146"/>
  <c r="P127"/>
  <c r="X128"/>
  <c r="X146"/>
  <c r="I129"/>
  <c r="I151"/>
  <c r="I139"/>
  <c r="I137"/>
  <c r="L135"/>
  <c r="L152"/>
  <c r="L133"/>
  <c r="K137"/>
  <c r="K151"/>
  <c r="H147"/>
  <c r="H127"/>
  <c r="H129"/>
  <c r="S127"/>
  <c r="S145"/>
  <c r="S147"/>
  <c r="J151"/>
  <c r="J129"/>
  <c r="N137"/>
  <c r="N148"/>
  <c r="N143"/>
  <c r="T152"/>
  <c r="T143"/>
  <c r="T129"/>
  <c r="V144"/>
  <c r="V149"/>
  <c r="V128"/>
  <c r="W137"/>
  <c r="W132"/>
  <c r="T138"/>
  <c r="N127"/>
  <c r="O148"/>
  <c r="O141"/>
  <c r="M137"/>
  <c r="M148"/>
  <c r="R132"/>
  <c r="F148"/>
  <c r="F128"/>
  <c r="F142"/>
  <c r="W149"/>
  <c r="E132"/>
  <c r="E145"/>
  <c r="O136"/>
  <c r="O152"/>
  <c r="M140"/>
  <c r="M132"/>
  <c r="W131"/>
  <c r="O133"/>
  <c r="M151"/>
  <c r="R148"/>
  <c r="R150"/>
  <c r="R129"/>
  <c r="F134"/>
  <c r="T127"/>
  <c r="W145"/>
  <c r="O140"/>
  <c r="O144"/>
  <c r="O146"/>
  <c r="O130"/>
  <c r="M147"/>
  <c r="R142"/>
  <c r="R139"/>
  <c r="R145"/>
  <c r="F147"/>
  <c r="F138"/>
  <c r="G148"/>
  <c r="G143"/>
  <c r="G138"/>
  <c r="G152"/>
  <c r="G127"/>
  <c r="G131"/>
  <c r="U129"/>
  <c r="U139"/>
  <c r="U151"/>
  <c r="U132"/>
  <c r="U127"/>
  <c r="Q132"/>
  <c r="Q149"/>
  <c r="Q143"/>
  <c r="P134"/>
  <c r="P137"/>
  <c r="P131"/>
  <c r="P144"/>
  <c r="X138"/>
  <c r="X130"/>
  <c r="X147"/>
  <c r="X141"/>
  <c r="I135"/>
  <c r="I130"/>
  <c r="L128"/>
  <c r="L143"/>
  <c r="L130"/>
  <c r="X125"/>
  <c r="K128"/>
  <c r="K148"/>
  <c r="K138"/>
  <c r="K145"/>
  <c r="H137"/>
  <c r="H132"/>
  <c r="H151"/>
  <c r="H130"/>
  <c r="S136"/>
  <c r="S130"/>
  <c r="S133"/>
  <c r="J130"/>
  <c r="J139"/>
  <c r="J152"/>
  <c r="J144"/>
  <c r="N130"/>
  <c r="N145"/>
  <c r="T136"/>
  <c r="T130"/>
  <c r="T150"/>
  <c r="T148"/>
  <c r="V136"/>
  <c r="V129"/>
  <c r="V141"/>
  <c r="V132"/>
  <c r="W150"/>
  <c r="W146"/>
  <c r="W133"/>
  <c r="W141"/>
  <c r="W142"/>
  <c r="W129"/>
  <c r="Q153"/>
  <c r="Q118"/>
  <c r="J118"/>
  <c r="J153"/>
  <c r="N118"/>
  <c r="N153"/>
  <c r="T118"/>
  <c r="T153"/>
  <c r="W153"/>
  <c r="W118"/>
  <c r="E150"/>
  <c r="E139"/>
  <c r="E128"/>
  <c r="O142"/>
  <c r="O128"/>
  <c r="O149"/>
  <c r="O131"/>
  <c r="M142"/>
  <c r="M144"/>
  <c r="M134"/>
  <c r="R140"/>
  <c r="R137"/>
  <c r="R134"/>
  <c r="R135"/>
  <c r="R143"/>
  <c r="Y125"/>
  <c r="F135"/>
  <c r="F149"/>
  <c r="F131"/>
  <c r="F139"/>
  <c r="F144"/>
  <c r="G128"/>
  <c r="G132"/>
  <c r="G137"/>
  <c r="G150"/>
  <c r="G142"/>
  <c r="U134"/>
  <c r="U146"/>
  <c r="U128"/>
  <c r="Q140"/>
  <c r="Q145"/>
  <c r="Q146"/>
  <c r="Q148"/>
  <c r="P136"/>
  <c r="P143"/>
  <c r="P130"/>
  <c r="P152"/>
  <c r="P133"/>
  <c r="X129"/>
  <c r="X137"/>
  <c r="X143"/>
  <c r="I138"/>
  <c r="I148"/>
  <c r="I136"/>
  <c r="I134"/>
  <c r="I128"/>
  <c r="L139"/>
  <c r="L142"/>
  <c r="L132"/>
  <c r="L134"/>
  <c r="L127"/>
  <c r="K152"/>
  <c r="K147"/>
  <c r="K149"/>
  <c r="H135"/>
  <c r="H138"/>
  <c r="H136"/>
  <c r="H128"/>
  <c r="H139"/>
  <c r="H152"/>
  <c r="S148"/>
  <c r="S142"/>
  <c r="S135"/>
  <c r="J141"/>
  <c r="J137"/>
  <c r="J127"/>
  <c r="J149"/>
  <c r="N138"/>
  <c r="N139"/>
  <c r="N152"/>
  <c r="T146"/>
  <c r="T151"/>
  <c r="V130"/>
  <c r="V134"/>
  <c r="V131"/>
  <c r="V152"/>
  <c r="V140"/>
  <c r="V137"/>
  <c r="W151"/>
  <c r="W130"/>
  <c r="W147"/>
  <c r="M118"/>
  <c r="M153"/>
  <c r="K118"/>
  <c r="K153"/>
  <c r="F118"/>
  <c r="F153"/>
  <c r="V118"/>
  <c r="V153"/>
  <c r="R130"/>
  <c r="U143"/>
  <c r="P132"/>
  <c r="S140"/>
  <c r="T131"/>
  <c r="M129"/>
  <c r="M149"/>
  <c r="R151"/>
  <c r="R133"/>
  <c r="R131"/>
  <c r="F151"/>
  <c r="F141"/>
  <c r="F143"/>
  <c r="G144"/>
  <c r="G149"/>
  <c r="U133"/>
  <c r="U144"/>
  <c r="U140"/>
  <c r="U152"/>
  <c r="Q144"/>
  <c r="Q138"/>
  <c r="Q129"/>
  <c r="P129"/>
  <c r="P147"/>
  <c r="P138"/>
  <c r="X139"/>
  <c r="X142"/>
  <c r="X140"/>
  <c r="X131"/>
  <c r="I131"/>
  <c r="L146"/>
  <c r="L144"/>
  <c r="L131"/>
  <c r="L129"/>
  <c r="K139"/>
  <c r="K140"/>
  <c r="K129"/>
  <c r="K146"/>
  <c r="K144"/>
  <c r="H150"/>
  <c r="H131"/>
  <c r="H142"/>
  <c r="H143"/>
  <c r="S131"/>
  <c r="S141"/>
  <c r="S134"/>
  <c r="S132"/>
  <c r="J140"/>
  <c r="J145"/>
  <c r="J146"/>
  <c r="N140"/>
  <c r="N144"/>
  <c r="T149"/>
  <c r="T141"/>
  <c r="T147"/>
  <c r="V135"/>
  <c r="V147"/>
  <c r="W135"/>
  <c r="W152"/>
  <c r="W143"/>
  <c r="Y98"/>
  <c r="AE3" i="25"/>
  <c r="Y79" i="11"/>
  <c r="C10" s="1"/>
  <c r="Y93"/>
  <c r="Y105"/>
  <c r="Y95"/>
  <c r="Y104"/>
  <c r="Y103"/>
  <c r="Y99"/>
  <c r="Y136" s="1"/>
  <c r="Y112"/>
  <c r="Y97"/>
  <c r="Y108"/>
  <c r="Y111"/>
  <c r="Y110"/>
  <c r="Y115"/>
  <c r="Y89"/>
  <c r="Y126" s="1"/>
  <c r="Y90"/>
  <c r="Y100"/>
  <c r="Y107"/>
  <c r="Y109"/>
  <c r="Y146" s="1"/>
  <c r="Y92"/>
  <c r="Y114"/>
  <c r="Y96"/>
  <c r="Y94"/>
  <c r="Y131" s="1"/>
  <c r="Y113"/>
  <c r="Y106"/>
  <c r="Y102"/>
  <c r="Y101"/>
  <c r="Y116"/>
  <c r="Y91"/>
  <c r="P153"/>
  <c r="P118"/>
  <c r="I153"/>
  <c r="I118"/>
  <c r="S153"/>
  <c r="S118"/>
  <c r="O118"/>
  <c r="O153"/>
  <c r="R153"/>
  <c r="R118"/>
  <c r="G118"/>
  <c r="G153"/>
  <c r="U118"/>
  <c r="U153"/>
  <c r="X153"/>
  <c r="X118"/>
  <c r="L153"/>
  <c r="L118"/>
  <c r="H118"/>
  <c r="H153"/>
  <c r="O138"/>
  <c r="O127"/>
  <c r="R149"/>
  <c r="P135"/>
  <c r="X150"/>
  <c r="J131"/>
  <c r="W134"/>
  <c r="O134"/>
  <c r="O147"/>
  <c r="M136"/>
  <c r="AA79"/>
  <c r="O151"/>
  <c r="O143"/>
  <c r="O145"/>
  <c r="O132"/>
  <c r="O139"/>
  <c r="O135"/>
  <c r="O129"/>
  <c r="M146"/>
  <c r="M130"/>
  <c r="M131"/>
  <c r="M152"/>
  <c r="M139"/>
  <c r="M150"/>
  <c r="R144"/>
  <c r="R152"/>
  <c r="R138"/>
  <c r="R147"/>
  <c r="R141"/>
  <c r="R128"/>
  <c r="F152"/>
  <c r="F132"/>
  <c r="F146"/>
  <c r="F133"/>
  <c r="F136"/>
  <c r="G133"/>
  <c r="G129"/>
  <c r="G135"/>
  <c r="G139"/>
  <c r="G145"/>
  <c r="G146"/>
  <c r="U130"/>
  <c r="U135"/>
  <c r="U141"/>
  <c r="U147"/>
  <c r="U137"/>
  <c r="U149"/>
  <c r="Q127"/>
  <c r="Q130"/>
  <c r="Q133"/>
  <c r="Q150"/>
  <c r="Q134"/>
  <c r="P139"/>
  <c r="P141"/>
  <c r="P145"/>
  <c r="P148"/>
  <c r="X151"/>
  <c r="X148"/>
  <c r="X135"/>
  <c r="X133"/>
  <c r="X126"/>
  <c r="I132"/>
  <c r="I146"/>
  <c r="I149"/>
  <c r="I143"/>
  <c r="I140"/>
  <c r="L149"/>
  <c r="L151"/>
  <c r="L147"/>
  <c r="L140"/>
  <c r="L136"/>
  <c r="K130"/>
  <c r="K150"/>
  <c r="K141"/>
  <c r="K135"/>
  <c r="K132"/>
  <c r="H148"/>
  <c r="H145"/>
  <c r="H146"/>
  <c r="H133"/>
  <c r="H140"/>
  <c r="S143"/>
  <c r="S138"/>
  <c r="S128"/>
  <c r="S152"/>
  <c r="S146"/>
  <c r="S149"/>
  <c r="J128"/>
  <c r="J147"/>
  <c r="J150"/>
  <c r="J132"/>
  <c r="J135"/>
  <c r="J142"/>
  <c r="N150"/>
  <c r="N142"/>
  <c r="N146"/>
  <c r="N131"/>
  <c r="N134"/>
  <c r="N128"/>
  <c r="N136"/>
  <c r="T132"/>
  <c r="T137"/>
  <c r="T142"/>
  <c r="T139"/>
  <c r="T128"/>
  <c r="T144"/>
  <c r="T134"/>
  <c r="V145"/>
  <c r="V142"/>
  <c r="V143"/>
  <c r="V127"/>
  <c r="V150"/>
  <c r="V148"/>
  <c r="V138"/>
  <c r="W136"/>
  <c r="W127"/>
  <c r="W138"/>
  <c r="W139"/>
  <c r="E148"/>
  <c r="E151"/>
  <c r="E143"/>
  <c r="E129"/>
  <c r="E140"/>
  <c r="E133"/>
  <c r="E146"/>
  <c r="E141"/>
  <c r="E149"/>
  <c r="E138"/>
  <c r="E127"/>
  <c r="E144"/>
  <c r="E131"/>
  <c r="E153"/>
  <c r="E118"/>
  <c r="E152"/>
  <c r="E135"/>
  <c r="E134"/>
  <c r="E137"/>
  <c r="E142"/>
  <c r="E147"/>
  <c r="Y142" l="1"/>
  <c r="Y128"/>
  <c r="Y143"/>
  <c r="Y151"/>
  <c r="Y137"/>
  <c r="Y145"/>
  <c r="Y127"/>
  <c r="W155"/>
  <c r="S155"/>
  <c r="X155"/>
  <c r="Y147"/>
  <c r="Y149"/>
  <c r="Y132"/>
  <c r="J155"/>
  <c r="Q155"/>
  <c r="L155"/>
  <c r="I155"/>
  <c r="R155"/>
  <c r="O155"/>
  <c r="U155"/>
  <c r="N155"/>
  <c r="K155"/>
  <c r="G155"/>
  <c r="P155"/>
  <c r="T155"/>
  <c r="Y139"/>
  <c r="Y133"/>
  <c r="Y144"/>
  <c r="Y152"/>
  <c r="Y134"/>
  <c r="Y141"/>
  <c r="Y138"/>
  <c r="Y140"/>
  <c r="Y130"/>
  <c r="H155"/>
  <c r="Y118"/>
  <c r="Y153"/>
  <c r="V155"/>
  <c r="Y150"/>
  <c r="Y129"/>
  <c r="Y148"/>
  <c r="Y135"/>
  <c r="M155"/>
  <c r="F155"/>
  <c r="E155"/>
  <c r="E156" s="1"/>
  <c r="Y156" l="1"/>
  <c r="F156"/>
  <c r="G156" s="1"/>
  <c r="H156" s="1"/>
  <c r="I156" s="1"/>
  <c r="J156" s="1"/>
  <c r="K156" s="1"/>
  <c r="L156" s="1"/>
  <c r="M156" s="1"/>
  <c r="N156" s="1"/>
  <c r="O156" s="1"/>
  <c r="P156" s="1"/>
  <c r="Q156" s="1"/>
  <c r="R156" s="1"/>
  <c r="S156" s="1"/>
  <c r="T156" s="1"/>
  <c r="U156" s="1"/>
  <c r="V156" s="1"/>
  <c r="W156" s="1"/>
  <c r="X156"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8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88"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88"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8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4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4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8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88"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88"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88"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47"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47"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47"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Charlie Grist</author>
  </authors>
  <commentList>
    <comment ref="J29" authorId="0">
      <text>
        <r>
          <rPr>
            <b/>
            <sz val="8"/>
            <color indexed="81"/>
            <rFont val="Tahoma"/>
            <family val="2"/>
          </rPr>
          <t>MDK:</t>
        </r>
        <r>
          <rPr>
            <sz val="8"/>
            <color indexed="81"/>
            <rFont val="Tahoma"/>
            <family val="2"/>
          </rPr>
          <t xml:space="preserve">
currently new and existing eui are the same data so savings taken directly for existing above.
</t>
        </r>
      </text>
    </comment>
    <comment ref="L29" authorId="0">
      <text>
        <r>
          <rPr>
            <b/>
            <sz val="8"/>
            <color indexed="81"/>
            <rFont val="Tahoma"/>
            <family val="2"/>
          </rPr>
          <t>MDK:</t>
        </r>
        <r>
          <rPr>
            <sz val="8"/>
            <color indexed="81"/>
            <rFont val="Tahoma"/>
            <family val="2"/>
          </rPr>
          <t xml:space="preserve">
See savings discussion on Notes &amp; Sources 2008. 
currently new and existing eui are the same data so savings taken directly for existing above.
</t>
        </r>
      </text>
    </comment>
  </commentList>
</comments>
</file>

<file path=xl/comments5.xml><?xml version="1.0" encoding="utf-8"?>
<comments xmlns="http://schemas.openxmlformats.org/spreadsheetml/2006/main">
  <authors>
    <author>Kevin Smit</author>
  </authors>
  <commentList>
    <comment ref="N11" authorId="0">
      <text>
        <r>
          <rPr>
            <b/>
            <sz val="9"/>
            <color indexed="81"/>
            <rFont val="Tahoma"/>
            <family val="2"/>
          </rPr>
          <t>Kevin Smit:</t>
        </r>
        <r>
          <rPr>
            <sz val="9"/>
            <color indexed="81"/>
            <rFont val="Tahoma"/>
            <family val="2"/>
          </rPr>
          <t xml:space="preserve">
SEM and newer data seem to show much lower costs.  Using the ratio of the average California retro CX cost to the average 6P Cx cost.  This ratio will be used to adjust the 6P cost data.  Need better, more current cost data. </t>
        </r>
      </text>
    </comment>
  </commentList>
</comments>
</file>

<file path=xl/comments6.xml><?xml version="1.0" encoding="utf-8"?>
<comments xmlns="http://schemas.openxmlformats.org/spreadsheetml/2006/main">
  <authors>
    <author>Mike Kennedy</author>
    <author>Charlie Grist</author>
    <author>Kevin Smit</author>
  </authors>
  <commentList>
    <comment ref="M7" authorId="0">
      <text>
        <r>
          <rPr>
            <b/>
            <sz val="8"/>
            <color indexed="81"/>
            <rFont val="Tahoma"/>
            <family val="2"/>
          </rPr>
          <t>Mike Kennedy:</t>
        </r>
        <r>
          <rPr>
            <sz val="8"/>
            <color indexed="81"/>
            <rFont val="Tahoma"/>
            <family val="2"/>
          </rPr>
          <t xml:space="preserve">
Costs kept at 5th plan levels except minimum set at $0.45/sf per PECI.  This is for complex system commissioning so building with simple system are not counted so categories such at small office, minimart, small box, restaurant don't count for much after the complex system fraction is applied.</t>
        </r>
      </text>
    </comment>
    <comment ref="N7" authorId="1">
      <text>
        <r>
          <rPr>
            <b/>
            <sz val="8"/>
            <color indexed="81"/>
            <rFont val="Tahoma"/>
            <family val="2"/>
          </rPr>
          <t>Charlie Grist:</t>
        </r>
        <r>
          <rPr>
            <sz val="8"/>
            <color indexed="81"/>
            <rFont val="Tahoma"/>
            <family val="2"/>
          </rPr>
          <t xml:space="preserve">
Mike Kennedy, new for 2008 based on review of gas savings from PECI and LBL. These savings are lower than those assumed in the 5th Plan.</t>
        </r>
      </text>
    </comment>
    <comment ref="S20" authorId="0">
      <text>
        <r>
          <rPr>
            <b/>
            <sz val="8"/>
            <color indexed="81"/>
            <rFont val="Tahoma"/>
            <family val="2"/>
          </rPr>
          <t>Mike Kennedy:</t>
        </r>
        <r>
          <rPr>
            <sz val="8"/>
            <color indexed="81"/>
            <rFont val="Tahoma"/>
            <family val="2"/>
          </rPr>
          <t xml:space="preserve">
each metric in this row has a different N which makes interpretation difficult.</t>
        </r>
      </text>
    </comment>
    <comment ref="T20" authorId="0">
      <text>
        <r>
          <rPr>
            <b/>
            <sz val="8"/>
            <color indexed="81"/>
            <rFont val="Tahoma"/>
            <family val="2"/>
          </rPr>
          <t>Mike Kennedy:</t>
        </r>
        <r>
          <rPr>
            <sz val="8"/>
            <color indexed="81"/>
            <rFont val="Tahoma"/>
            <family val="2"/>
          </rPr>
          <t xml:space="preserve">
29 cases</t>
        </r>
      </text>
    </comment>
    <comment ref="T21" authorId="0">
      <text>
        <r>
          <rPr>
            <b/>
            <sz val="8"/>
            <color indexed="81"/>
            <rFont val="Tahoma"/>
            <family val="2"/>
          </rPr>
          <t>Mike Kennedy:</t>
        </r>
        <r>
          <rPr>
            <sz val="8"/>
            <color indexed="81"/>
            <rFont val="Tahoma"/>
            <family val="2"/>
          </rPr>
          <t xml:space="preserve">
29 cases</t>
        </r>
      </text>
    </comment>
    <comment ref="U24" authorId="0">
      <text>
        <r>
          <rPr>
            <b/>
            <sz val="8"/>
            <color indexed="81"/>
            <rFont val="Tahoma"/>
            <family val="2"/>
          </rPr>
          <t>Mike Kennedy:</t>
        </r>
        <r>
          <rPr>
            <sz val="8"/>
            <color indexed="81"/>
            <rFont val="Tahoma"/>
            <family val="2"/>
          </rPr>
          <t xml:space="preserve">
46 cases</t>
        </r>
      </text>
    </comment>
    <comment ref="U25" authorId="0">
      <text>
        <r>
          <rPr>
            <b/>
            <sz val="8"/>
            <color indexed="81"/>
            <rFont val="Tahoma"/>
            <family val="2"/>
          </rPr>
          <t>Mike Kennedy:</t>
        </r>
        <r>
          <rPr>
            <sz val="8"/>
            <color indexed="81"/>
            <rFont val="Tahoma"/>
            <family val="2"/>
          </rPr>
          <t xml:space="preserve">
46 cases</t>
        </r>
      </text>
    </comment>
    <comment ref="Z26" authorId="0">
      <text>
        <r>
          <rPr>
            <b/>
            <sz val="8"/>
            <color indexed="81"/>
            <rFont val="Tahoma"/>
            <family val="2"/>
          </rPr>
          <t>Mike Kennedy:</t>
        </r>
        <r>
          <rPr>
            <sz val="8"/>
            <color indexed="81"/>
            <rFont val="Tahoma"/>
            <family val="2"/>
          </rPr>
          <t xml:space="preserve">
Talked with commissioning department of Glumac and they indicated they were not participating any longer due to the low reimbursment.  No matter the size of the building.  The "investigation" phase does not cover itself in their opinion.  If a bunch of measures are found and have to be implemented then it can work out.  They also indicated most people were going after a second credit of $0.05/sf to do an energy star rating of the building too.  This is info they need for the process.  
</t>
        </r>
      </text>
    </comment>
    <comment ref="J30" authorId="1">
      <text>
        <r>
          <rPr>
            <b/>
            <sz val="8"/>
            <color indexed="81"/>
            <rFont val="Tahoma"/>
            <family val="2"/>
          </rPr>
          <t>MDK:</t>
        </r>
        <r>
          <rPr>
            <sz val="8"/>
            <color indexed="81"/>
            <rFont val="Tahoma"/>
            <family val="2"/>
          </rPr>
          <t xml:space="preserve">
currently new and existing eui are the same data so savings taken directly for existing above.
</t>
        </r>
      </text>
    </comment>
    <comment ref="L30" authorId="1">
      <text>
        <r>
          <rPr>
            <b/>
            <sz val="8"/>
            <color indexed="81"/>
            <rFont val="Tahoma"/>
            <family val="2"/>
          </rPr>
          <t>MDK:</t>
        </r>
        <r>
          <rPr>
            <sz val="8"/>
            <color indexed="81"/>
            <rFont val="Tahoma"/>
            <family val="2"/>
          </rPr>
          <t xml:space="preserve">
See savings discussion on Notes &amp; Sources 2008. 
currently new and existing eui are the same data so savings taken directly for existing above.
</t>
        </r>
      </text>
    </comment>
    <comment ref="D56" authorId="2">
      <text>
        <r>
          <rPr>
            <b/>
            <sz val="9"/>
            <color indexed="81"/>
            <rFont val="Tahoma"/>
            <family val="2"/>
          </rPr>
          <t>Kevin Smit:</t>
        </r>
        <r>
          <rPr>
            <sz val="9"/>
            <color indexed="81"/>
            <rFont val="Tahoma"/>
            <family val="2"/>
          </rPr>
          <t xml:space="preserve">
Commercial SEM savings from ETO = 7.04%, primarily in office buildings
</t>
        </r>
      </text>
    </comment>
  </commentList>
</comments>
</file>

<file path=xl/sharedStrings.xml><?xml version="1.0" encoding="utf-8"?>
<sst xmlns="http://schemas.openxmlformats.org/spreadsheetml/2006/main" count="4311" uniqueCount="993">
  <si>
    <t>Cost</t>
  </si>
  <si>
    <t>Life</t>
  </si>
  <si>
    <t>aMW</t>
  </si>
  <si>
    <t>Assembly</t>
  </si>
  <si>
    <t>Grocery</t>
  </si>
  <si>
    <t>Lodging</t>
  </si>
  <si>
    <t>Office</t>
  </si>
  <si>
    <t>Residential Care</t>
  </si>
  <si>
    <t>Retail</t>
  </si>
  <si>
    <t>School</t>
  </si>
  <si>
    <t>Warehouse</t>
  </si>
  <si>
    <t>Other</t>
  </si>
  <si>
    <t>Item</t>
  </si>
  <si>
    <t>Methods &amp; Sources</t>
  </si>
  <si>
    <t>Note</t>
  </si>
  <si>
    <t>Measures Described</t>
  </si>
  <si>
    <t>Energy Savings Calculation Basis</t>
  </si>
  <si>
    <t>Applicable Stock</t>
  </si>
  <si>
    <t>Baseline Saturation</t>
  </si>
  <si>
    <t>Permutations</t>
  </si>
  <si>
    <t>Costs</t>
  </si>
  <si>
    <t>Measure Life</t>
  </si>
  <si>
    <t>Savings Shape</t>
  </si>
  <si>
    <t>Source of Savings Estimates</t>
  </si>
  <si>
    <t>Non-Energy Benefits</t>
  </si>
  <si>
    <t>Achievable Ramp Rate</t>
  </si>
  <si>
    <t>Baseline</t>
  </si>
  <si>
    <t>Total</t>
  </si>
  <si>
    <t>Grand Total</t>
  </si>
  <si>
    <t>Units Methodology</t>
  </si>
  <si>
    <t>Vintage</t>
  </si>
  <si>
    <t>Retro</t>
  </si>
  <si>
    <t>Existing</t>
  </si>
  <si>
    <t>Measure Bundle</t>
  </si>
  <si>
    <t>Region</t>
  </si>
  <si>
    <t>Report Year</t>
  </si>
  <si>
    <t>Total Potential (aMW)</t>
  </si>
  <si>
    <t>UNITS FOR EXISTING STOCK</t>
  </si>
  <si>
    <t>MAX</t>
  </si>
  <si>
    <t>Achievability</t>
  </si>
  <si>
    <t xml:space="preserve">CUMULATIVE MAX BASED ON APPL, TURN &amp; ACHIEV  </t>
  </si>
  <si>
    <t>SUPPLY CURVE SAVINGS BY BUNDLE</t>
  </si>
  <si>
    <t>Busbar Savings (kWh)</t>
  </si>
  <si>
    <t>lvlcost</t>
  </si>
  <si>
    <t>segment</t>
  </si>
  <si>
    <t>measure</t>
  </si>
  <si>
    <t>RECOMBINE MEASURE BUNDLES INTO SUPPLY CURVE CUMULATIVE</t>
  </si>
  <si>
    <t>Block 1: &lt;= 0 mills/kWh</t>
  </si>
  <si>
    <t>&gt;=-9999</t>
  </si>
  <si>
    <t>&lt;=0</t>
  </si>
  <si>
    <t>Block 2: &lt;= 10 mills/kWh</t>
  </si>
  <si>
    <t>&gt;0</t>
  </si>
  <si>
    <t>&lt;=10</t>
  </si>
  <si>
    <t>Block 3: 10-20 mills/kWh</t>
  </si>
  <si>
    <t>&gt;10</t>
  </si>
  <si>
    <t>&lt;=20</t>
  </si>
  <si>
    <t>Block 4: 20-30 mills/kWh</t>
  </si>
  <si>
    <t>&gt;20</t>
  </si>
  <si>
    <t>&lt;=30</t>
  </si>
  <si>
    <t>Block 5: 30-40 mills/kWh</t>
  </si>
  <si>
    <t>&gt;30</t>
  </si>
  <si>
    <t>&lt;=40</t>
  </si>
  <si>
    <t>Block 6: 40-50 mills/kWh</t>
  </si>
  <si>
    <t>&gt;40</t>
  </si>
  <si>
    <t>&lt;=50</t>
  </si>
  <si>
    <t>Block 7: 50-60 mills/kWh</t>
  </si>
  <si>
    <t>&gt;50</t>
  </si>
  <si>
    <t>&lt;=60</t>
  </si>
  <si>
    <t>Block 8: 60-70 mills/kWh</t>
  </si>
  <si>
    <t>&gt;60</t>
  </si>
  <si>
    <t>&lt;=70</t>
  </si>
  <si>
    <t>Block 9: 70-80 mills/kWh</t>
  </si>
  <si>
    <t>&gt;70</t>
  </si>
  <si>
    <t>&lt;=80</t>
  </si>
  <si>
    <t>Block 10: 80-90 mills/kWh</t>
  </si>
  <si>
    <t>&gt;80</t>
  </si>
  <si>
    <t>&lt;=90</t>
  </si>
  <si>
    <t>Block 11: 90-100 mills/kWh</t>
  </si>
  <si>
    <t>&gt;90</t>
  </si>
  <si>
    <t>&lt;=100</t>
  </si>
  <si>
    <t>Block 12: 100-110 mills/kWh</t>
  </si>
  <si>
    <t>&gt;100</t>
  </si>
  <si>
    <t>&lt;=110</t>
  </si>
  <si>
    <t>Block 13: 110-120 mills/kWh</t>
  </si>
  <si>
    <t>&gt;110</t>
  </si>
  <si>
    <t>&lt;=120</t>
  </si>
  <si>
    <t>Block 14: 120-130 mills/kWh</t>
  </si>
  <si>
    <t>&gt;120</t>
  </si>
  <si>
    <t>&lt;=130</t>
  </si>
  <si>
    <t>Block 15: 130-140 mills/kWh</t>
  </si>
  <si>
    <t>&gt;130</t>
  </si>
  <si>
    <t>&lt;=140</t>
  </si>
  <si>
    <t>Block 16: 140-150 mills/kWh</t>
  </si>
  <si>
    <t>&gt;140</t>
  </si>
  <si>
    <t>&lt;=150</t>
  </si>
  <si>
    <t>Block 17: 150-160 mills/kWh</t>
  </si>
  <si>
    <t>&gt;150</t>
  </si>
  <si>
    <t>&lt;=160</t>
  </si>
  <si>
    <t>Block 18: 160-170 mills/kWh</t>
  </si>
  <si>
    <t>&gt;160</t>
  </si>
  <si>
    <t>&lt;=170</t>
  </si>
  <si>
    <t>Block 19: 170-180 mills/kWh</t>
  </si>
  <si>
    <t>&gt;170</t>
  </si>
  <si>
    <t>&lt;=180</t>
  </si>
  <si>
    <t>Block 20: 180-190 mills/kWh</t>
  </si>
  <si>
    <t>&gt;180</t>
  </si>
  <si>
    <t>&lt;=190</t>
  </si>
  <si>
    <t>Block 21: 190-200 mills/kWh</t>
  </si>
  <si>
    <t>&gt;190</t>
  </si>
  <si>
    <t>&lt;=200</t>
  </si>
  <si>
    <t>Block 22: 200-210 mills/kWh</t>
  </si>
  <si>
    <t>&gt;200</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</si>
  <si>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</si>
  <si>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</si>
  <si>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</si>
  <si>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</si>
  <si>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</si>
  <si>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</si>
  <si>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</si>
  <si>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</si>
  <si>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</si>
  <si>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</si>
  <si>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</si>
  <si>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</si>
  <si>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</si>
  <si>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</si>
  <si>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</si>
  <si>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</si>
  <si>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</si>
  <si>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</si>
  <si>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</si>
  <si>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</si>
  <si>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</si>
  <si>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</si>
  <si>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</si>
  <si>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</si>
  <si>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</si>
  <si>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</si>
  <si>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</si>
  <si>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</si>
  <si>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</si>
  <si>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</si>
  <si>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</si>
  <si>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RECOMBINE MEASURE BUNDLES INTO SUPPLY CURVE INCREMENTAL</t>
  </si>
  <si>
    <t>Block 22: &gt; 200 mills/kWh</t>
  </si>
  <si>
    <t>Total per Year</t>
  </si>
  <si>
    <t>Total Cumulative</t>
  </si>
  <si>
    <t>REG_Office</t>
  </si>
  <si>
    <t>Large Off</t>
  </si>
  <si>
    <t>Medium Off</t>
  </si>
  <si>
    <t>Small Off</t>
  </si>
  <si>
    <t>REG_Retail</t>
  </si>
  <si>
    <t>REG_K-12</t>
  </si>
  <si>
    <t>K-12</t>
  </si>
  <si>
    <t>REG_University</t>
  </si>
  <si>
    <t>University</t>
  </si>
  <si>
    <t>REG_Warehouse</t>
  </si>
  <si>
    <t>REG_Grocery</t>
  </si>
  <si>
    <t>Supermarket</t>
  </si>
  <si>
    <t>REG_Grocery Other</t>
  </si>
  <si>
    <t>REG_Restaurant</t>
  </si>
  <si>
    <t>Restaurant</t>
  </si>
  <si>
    <t>REG_Hotel</t>
  </si>
  <si>
    <t>REG_hospital</t>
  </si>
  <si>
    <t>Hospital</t>
  </si>
  <si>
    <t>REG_Hospital Other</t>
  </si>
  <si>
    <t>REG_Assembly</t>
  </si>
  <si>
    <t>REG_Other</t>
  </si>
  <si>
    <t>Medium Ret</t>
  </si>
  <si>
    <t>Large Ret</t>
  </si>
  <si>
    <t>Small Ret</t>
  </si>
  <si>
    <t>School K-12</t>
  </si>
  <si>
    <t>Measure Map</t>
  </si>
  <si>
    <t>HtPmpHt%TYP</t>
  </si>
  <si>
    <t>raw</t>
  </si>
  <si>
    <t>CoolSat%TYP</t>
  </si>
  <si>
    <t>FloorA%TYP</t>
  </si>
  <si>
    <t>FloorA%REG</t>
  </si>
  <si>
    <t>Measure Name</t>
  </si>
  <si>
    <t>Measure Index Name</t>
  </si>
  <si>
    <t>BType</t>
  </si>
  <si>
    <t>MOPP</t>
  </si>
  <si>
    <t>End Use</t>
  </si>
  <si>
    <t>Heat Fuel</t>
  </si>
  <si>
    <t>Shape Pointer</t>
  </si>
  <si>
    <t>RAW Savings (kWh/yr.)</t>
  </si>
  <si>
    <t>RAW Capital Cost ($)</t>
  </si>
  <si>
    <t>STOCK</t>
  </si>
  <si>
    <t>COOLING SATURATION</t>
  </si>
  <si>
    <t>Btype IDX</t>
  </si>
  <si>
    <t>Activity Type WT for MOPP Cohort</t>
  </si>
  <si>
    <t>Btype WT for Region for MOPP and Cohort</t>
  </si>
  <si>
    <t>Cool</t>
  </si>
  <si>
    <t>GasHt</t>
  </si>
  <si>
    <t>New</t>
  </si>
  <si>
    <t>XLarge Ret</t>
  </si>
  <si>
    <t>MiniMart</t>
  </si>
  <si>
    <t>Xlarge Ret</t>
  </si>
  <si>
    <t>Total Cost</t>
  </si>
  <si>
    <t>Data Set Name</t>
  </si>
  <si>
    <t>Costs must be denominated in the same year as 'Input Cost Reference Year' =</t>
  </si>
  <si>
    <t>Input Data</t>
  </si>
  <si>
    <t>Periodic Replacement Costs and Savings and Replacement Period</t>
  </si>
  <si>
    <t>Gas Inputs</t>
  </si>
  <si>
    <t>Retro or LO</t>
  </si>
  <si>
    <t>Early Retrofit Parameters</t>
  </si>
  <si>
    <t>Category Name</t>
  </si>
  <si>
    <t>Savings (kwh/yr)</t>
  </si>
  <si>
    <t>Life (yrs)</t>
  </si>
  <si>
    <t>Capital Cost</t>
  </si>
  <si>
    <t>Annual O&amp;M</t>
  </si>
  <si>
    <t>Non-E Val ($/yr)</t>
  </si>
  <si>
    <t>Cost 1 ($)</t>
  </si>
  <si>
    <t xml:space="preserve">Period 1 </t>
  </si>
  <si>
    <t>Cost 2 ($)</t>
  </si>
  <si>
    <t>Period 2</t>
  </si>
  <si>
    <t>Cost 3 ($)</t>
  </si>
  <si>
    <t>Period 3</t>
  </si>
  <si>
    <t>Savings (therms/yr)</t>
  </si>
  <si>
    <t>R or L</t>
  </si>
  <si>
    <t>Savings 2
(kWh)</t>
  </si>
  <si>
    <t>Remaining
Life (yrs)</t>
  </si>
  <si>
    <t>Salvage Value ($)</t>
  </si>
  <si>
    <t>R</t>
  </si>
  <si>
    <t>Description</t>
  </si>
  <si>
    <t>Completion</t>
  </si>
  <si>
    <t>Notes</t>
  </si>
  <si>
    <t>(All)</t>
  </si>
  <si>
    <t>COHORT</t>
  </si>
  <si>
    <t>Sum of WGT2</t>
  </si>
  <si>
    <t>bld_typ</t>
  </si>
  <si>
    <t>hvac_cd</t>
  </si>
  <si>
    <t>PRI_HVAC</t>
  </si>
  <si>
    <t>1 DGR</t>
  </si>
  <si>
    <t>10 UNI</t>
  </si>
  <si>
    <t>11 OTH</t>
  </si>
  <si>
    <t>12 VAC</t>
  </si>
  <si>
    <t>2 GRO</t>
  </si>
  <si>
    <t>3 OFF</t>
  </si>
  <si>
    <t>4 RES</t>
  </si>
  <si>
    <t>5 WAR</t>
  </si>
  <si>
    <t>6 HOS</t>
  </si>
  <si>
    <t>7 OHE</t>
  </si>
  <si>
    <t>8 HTM</t>
  </si>
  <si>
    <t>9 SCH</t>
  </si>
  <si>
    <t>11</t>
  </si>
  <si>
    <t>BOILER/CHILLER</t>
  </si>
  <si>
    <t>Summaries from NEEA 2005 New Construction Baseline</t>
  </si>
  <si>
    <t>NEEA 2005 New Construction Characteristics</t>
  </si>
  <si>
    <t>12</t>
  </si>
  <si>
    <t>DUCT HT/CHILLER</t>
  </si>
  <si>
    <t>13</t>
  </si>
  <si>
    <t>H2O LOOP HT PUMP</t>
  </si>
  <si>
    <t>ACTIVITY TYPE</t>
  </si>
  <si>
    <t>Health</t>
  </si>
  <si>
    <t>14</t>
  </si>
  <si>
    <t>BOILER  ONLY</t>
  </si>
  <si>
    <t>FloorA%ACT</t>
  </si>
  <si>
    <t>15</t>
  </si>
  <si>
    <t>CHILLER ONLY</t>
  </si>
  <si>
    <t>BLDGTYPE</t>
  </si>
  <si>
    <t>Big Box</t>
  </si>
  <si>
    <t>Small Box</t>
  </si>
  <si>
    <t>High End</t>
  </si>
  <si>
    <t>Anchor</t>
  </si>
  <si>
    <t>MIniMart</t>
  </si>
  <si>
    <t>OtherHealth</t>
  </si>
  <si>
    <t>21</t>
  </si>
  <si>
    <t>PKG:HEAT/DX COOL</t>
  </si>
  <si>
    <t>Simple%ACT</t>
  </si>
  <si>
    <t>22</t>
  </si>
  <si>
    <t>DUCT HT/DX COOL</t>
  </si>
  <si>
    <t>Complex%ACT</t>
  </si>
  <si>
    <t>23</t>
  </si>
  <si>
    <t>AIR-AIR HT PUMP</t>
  </si>
  <si>
    <t>MZVAV%ACT</t>
  </si>
  <si>
    <t>24</t>
  </si>
  <si>
    <t>PKG HEAT ONLY</t>
  </si>
  <si>
    <t>VavElec%ACT</t>
  </si>
  <si>
    <t>25</t>
  </si>
  <si>
    <t>DX COOL ONLY</t>
  </si>
  <si>
    <t>VavGas%ACT</t>
  </si>
  <si>
    <t>26</t>
  </si>
  <si>
    <t>EVAP COOL ONLY</t>
  </si>
  <si>
    <t>SimpElec%ACT</t>
  </si>
  <si>
    <t>27</t>
  </si>
  <si>
    <t>PKG:HT/EVAP CL</t>
  </si>
  <si>
    <t>SimpGas%ACT</t>
  </si>
  <si>
    <t>28</t>
  </si>
  <si>
    <t>HT REC/DX COOL</t>
  </si>
  <si>
    <t>SimpHP%ACT</t>
  </si>
  <si>
    <t>31</t>
  </si>
  <si>
    <t>29</t>
  </si>
  <si>
    <t>HT REC ONLY</t>
  </si>
  <si>
    <t>SimpOther%ACT</t>
  </si>
  <si>
    <t>33</t>
  </si>
  <si>
    <t>UNIT HEAT/AC</t>
  </si>
  <si>
    <t>CompElec%ACT</t>
  </si>
  <si>
    <t>34</t>
  </si>
  <si>
    <t>32</t>
  </si>
  <si>
    <t>COMBO HT/AC UNIT</t>
  </si>
  <si>
    <t>CompGas%ACT</t>
  </si>
  <si>
    <t>41</t>
  </si>
  <si>
    <t>UNIT HT ONLY</t>
  </si>
  <si>
    <t>CompHP%ACT</t>
  </si>
  <si>
    <t>42</t>
  </si>
  <si>
    <t>UNIT CL ONLY</t>
  </si>
  <si>
    <t>CompOther%ACT</t>
  </si>
  <si>
    <t>61</t>
  </si>
  <si>
    <t>BOILER/DX COOL</t>
  </si>
  <si>
    <t>BOILER/UNIT AC</t>
  </si>
  <si>
    <t>47</t>
  </si>
  <si>
    <t>PKG HT/UNIT COOL</t>
  </si>
  <si>
    <t>Built-Up</t>
  </si>
  <si>
    <t>51</t>
  </si>
  <si>
    <t>AIR HTPMP/BOILER</t>
  </si>
  <si>
    <t>ComplexElecHt</t>
  </si>
  <si>
    <t>NO HVAC</t>
  </si>
  <si>
    <t>CompElec%TYP</t>
  </si>
  <si>
    <t>ComplexGas</t>
  </si>
  <si>
    <t>Complex HtPmp</t>
  </si>
  <si>
    <t>CompHP%TYP</t>
  </si>
  <si>
    <t>CompGas%TYP</t>
  </si>
  <si>
    <t>1987 or earlier</t>
  </si>
  <si>
    <t>CompOther%TYP</t>
  </si>
  <si>
    <t>ElecHtComplex%TYP</t>
  </si>
  <si>
    <t>GasHtComplex%TYP</t>
  </si>
  <si>
    <t>HtPmpHtComplex%TYP</t>
  </si>
  <si>
    <t>ElecHtSimple%TYP</t>
  </si>
  <si>
    <t>GasHtSimple%TYP</t>
  </si>
  <si>
    <t>HtPmpHtSimple%TYP</t>
  </si>
  <si>
    <t>BuiltUp%TYP</t>
  </si>
  <si>
    <t>SimpleHVAC%TYP</t>
  </si>
  <si>
    <t>1988-1994</t>
  </si>
  <si>
    <t>1995-2001</t>
  </si>
  <si>
    <t>sizegroup</t>
  </si>
  <si>
    <t>1 DGR-1: Big Box Retail</t>
  </si>
  <si>
    <t>1 DGR-2: Anchor Retail</t>
  </si>
  <si>
    <t>1 DGR-3: Small Box</t>
  </si>
  <si>
    <t>1 DGR-4: Boutique</t>
  </si>
  <si>
    <t>3 OFF-1: Large</t>
  </si>
  <si>
    <t>3 OFF-2: Med</t>
  </si>
  <si>
    <t>3 OFF-3: Small</t>
  </si>
  <si>
    <t>HVACElecHt</t>
  </si>
  <si>
    <t>HVACGasHt</t>
  </si>
  <si>
    <t>HVACHtPmpHt</t>
  </si>
  <si>
    <t>SaveElecHt</t>
  </si>
  <si>
    <t>SaveGasHt</t>
  </si>
  <si>
    <t>SaveHtPmpHt</t>
  </si>
  <si>
    <t>ElecHtEUITYPHeat</t>
  </si>
  <si>
    <t>ThermsTYPHeat</t>
  </si>
  <si>
    <t>Gas Save</t>
  </si>
  <si>
    <t>Cost $/sf</t>
  </si>
  <si>
    <t>HVAC Electric EUI - Electric Heat</t>
  </si>
  <si>
    <t>HVAC Electric EUI - Gas Heat</t>
  </si>
  <si>
    <t>HVAC Electric EUI - HP Heat</t>
  </si>
  <si>
    <t>Controls Savings Fraction</t>
  </si>
  <si>
    <t>ElecHt Savings kWh/sf</t>
  </si>
  <si>
    <t>GasHt Savings kWh/sf</t>
  </si>
  <si>
    <t>Heat Pump Savings kWh/sf</t>
  </si>
  <si>
    <t>Gas Heating EUI (kWh/sf)</t>
  </si>
  <si>
    <t>Gas Heating therms/sf</t>
  </si>
  <si>
    <t>Gas Savings Therms</t>
  </si>
  <si>
    <t>Gas heat Savings Fraction</t>
  </si>
  <si>
    <t>Electric Savings (kWh/sf)</t>
  </si>
  <si>
    <t>Electric Savings</t>
  </si>
  <si>
    <t>Gas Savings</t>
  </si>
  <si>
    <t>Thermal Savings</t>
  </si>
  <si>
    <t>Study</t>
  </si>
  <si>
    <t>Cons</t>
  </si>
  <si>
    <t>Cases</t>
  </si>
  <si>
    <t>kWh/sf Savings</t>
  </si>
  <si>
    <t>Elec %</t>
  </si>
  <si>
    <t>kBtu/sf</t>
  </si>
  <si>
    <t>Gas %</t>
  </si>
  <si>
    <t>Termal %</t>
  </si>
  <si>
    <t>Average Building Size</t>
  </si>
  <si>
    <t>Number type</t>
  </si>
  <si>
    <t>items</t>
  </si>
  <si>
    <t>Caveats</t>
  </si>
  <si>
    <t>NEEA</t>
  </si>
  <si>
    <t>107,000sf</t>
  </si>
  <si>
    <t>Simple Average</t>
  </si>
  <si>
    <t>Area weighted</t>
  </si>
  <si>
    <t>LBL</t>
  </si>
  <si>
    <t>118,000SF</t>
  </si>
  <si>
    <t>Means, Simple Average</t>
  </si>
  <si>
    <t>hvac, lighting</t>
  </si>
  <si>
    <t>69500SF</t>
  </si>
  <si>
    <t>Median, Simple Average</t>
  </si>
  <si>
    <t>99600SF</t>
  </si>
  <si>
    <t>210,000SF</t>
  </si>
  <si>
    <t>151,000SF</t>
  </si>
  <si>
    <t>PECI</t>
  </si>
  <si>
    <t>353,000SF</t>
  </si>
  <si>
    <t>Area Weighted</t>
  </si>
  <si>
    <t>hvac, lighting makes up 0.047kWh/sf of savings</t>
  </si>
  <si>
    <t>Buildings over 100000sf, with EUIs&gt;15kWh, and with DDC.</t>
  </si>
  <si>
    <t xml:space="preserve">Codes.  </t>
  </si>
  <si>
    <t>Completion Requirements</t>
  </si>
  <si>
    <t>State</t>
  </si>
  <si>
    <t>Code</t>
  </si>
  <si>
    <t>Section</t>
  </si>
  <si>
    <t>TAB</t>
  </si>
  <si>
    <t>HVAC</t>
  </si>
  <si>
    <t>Lighting</t>
  </si>
  <si>
    <t>Idaho</t>
  </si>
  <si>
    <t>IECC 2006</t>
  </si>
  <si>
    <t>503.2.9</t>
  </si>
  <si>
    <t>No</t>
  </si>
  <si>
    <t>Terminals and coils must have "means for balancing".  Manuals must be provided with equipment details, manuals and design intent.</t>
  </si>
  <si>
    <t>None</t>
  </si>
  <si>
    <t>Montana</t>
  </si>
  <si>
    <t>Oregon</t>
  </si>
  <si>
    <t>OR 2007</t>
  </si>
  <si>
    <t>-----</t>
  </si>
  <si>
    <t>Washington</t>
  </si>
  <si>
    <t>WA 2006</t>
  </si>
  <si>
    <t>Yes</t>
  </si>
  <si>
    <t>2 full pages requiring complete commissioning of all systems in all buildings.  Doesn't necessarily require deficiencies to be repaired..</t>
  </si>
  <si>
    <t>no</t>
  </si>
  <si>
    <t>All automatic shut-off controls and systems ( OS, time switches, daylight) shall be tested to determine devices and systems are operating correctly.  A complete report of tests and results shall be prepared and filed with the owner.</t>
  </si>
  <si>
    <t>Relative savings (PECI) - Notes &amp; Sources 2008</t>
  </si>
  <si>
    <t xml:space="preserve">Based upon CEUS data HVAC is 32.5% of total electric EUI and 36% of gas EUI (very weird). </t>
  </si>
  <si>
    <t xml:space="preserve">Based upon CEUS data HVAC is 32.5% of total electric EUI and 36% of gas EUI </t>
  </si>
  <si>
    <t>Existing Buildings</t>
  </si>
  <si>
    <t>See 6P Savings Tab</t>
  </si>
  <si>
    <t>Review Savings inputs- SAVE tab.  Find source of 6P savings, develop new ones</t>
  </si>
  <si>
    <t xml:space="preserve">Revise CHAR matrix with CBSA for baseline EUI </t>
  </si>
  <si>
    <t>Consider expanding breadth of measure.  How does SEM fit into this?</t>
  </si>
  <si>
    <t>Measure lives</t>
  </si>
  <si>
    <t xml:space="preserve">Various as noted in sheets.  Based primarily program data from LBL, PECI, NEEA, SMUD.  For retro Cx, savings range 1 to 2.2 kWh/sf from these programs.  Savings range 0.5 to 1.2 kWh/sf for New.  </t>
  </si>
  <si>
    <t>Compare with SEM, but don't change measure</t>
  </si>
  <si>
    <t>kWh/sf savings X sf applicable floor area.  Savings= 18.5% for electric heated buildings and 15% for gas heated buildings</t>
  </si>
  <si>
    <t>ElecHt%TYP</t>
  </si>
  <si>
    <t>GasHt%TYP</t>
  </si>
  <si>
    <t xml:space="preserve">Maybe need to eliminate the Indirect functions </t>
  </si>
  <si>
    <t>Per 1000 sf</t>
  </si>
  <si>
    <t>ElecHt</t>
  </si>
  <si>
    <t>HtPmpHt</t>
  </si>
  <si>
    <t>Weighted Cost for Region</t>
  </si>
  <si>
    <t>Savings per 1000 sf of floor area</t>
  </si>
  <si>
    <t>Commercial EM</t>
  </si>
  <si>
    <t>Commercial EM-Retro</t>
  </si>
  <si>
    <t>Max</t>
  </si>
  <si>
    <t>max</t>
  </si>
  <si>
    <t>Figure out which systems in CBSA are considered Build-up systems, then add to CHAR</t>
  </si>
  <si>
    <t xml:space="preserve">Revise CHAR matriX for gas EUI from CBSA </t>
  </si>
  <si>
    <t>Site_ID</t>
  </si>
  <si>
    <t>Fan_Ctr</t>
  </si>
  <si>
    <t>DistSys</t>
  </si>
  <si>
    <t>Equip_Type</t>
  </si>
  <si>
    <t>Sum of Heat_Frac_Sf_PNW_Heated</t>
  </si>
  <si>
    <t>Column Labels</t>
  </si>
  <si>
    <t>Row Labels</t>
  </si>
  <si>
    <t>Baseboard/Zonal w/ Minimal Fan</t>
  </si>
  <si>
    <t>DOAS/ERV</t>
  </si>
  <si>
    <t>MAU/Swamp</t>
  </si>
  <si>
    <t>MZ Air/Dual Duct</t>
  </si>
  <si>
    <t>MZ Air/Single Duct</t>
  </si>
  <si>
    <t>MZ MZ Sys</t>
  </si>
  <si>
    <t>Radiant</t>
  </si>
  <si>
    <t>SZ Ducted</t>
  </si>
  <si>
    <t>SZ Unducted w/Fan</t>
  </si>
  <si>
    <t>Unknown</t>
  </si>
  <si>
    <t>VVT</t>
  </si>
  <si>
    <t>Built up Total</t>
  </si>
  <si>
    <t>Retail/Service</t>
  </si>
  <si>
    <t>Share of total</t>
  </si>
  <si>
    <t>From 6P</t>
  </si>
  <si>
    <t>Built-up share - for Com_Master -CHAR</t>
  </si>
  <si>
    <t>Commercial EM-Retro-Large Off</t>
  </si>
  <si>
    <t>Commercial EM-Retro-Large Off-GasHt</t>
  </si>
  <si>
    <t>Commercial EM-Retro-Medium Off</t>
  </si>
  <si>
    <t>Commercial EM-Retro-Medium Off-GasHt</t>
  </si>
  <si>
    <t>Commercial EM-Retro-Small Off</t>
  </si>
  <si>
    <t>Commercial EM-Retro-Small Off-GasHt</t>
  </si>
  <si>
    <t>Commercial EM-Retro-Xlarge Ret</t>
  </si>
  <si>
    <t>Commercial EM-Retro-Xlarge Ret-GasHt</t>
  </si>
  <si>
    <t>Commercial EM-Retro-Large Ret</t>
  </si>
  <si>
    <t>Commercial EM-Retro-Large Ret-GasHt</t>
  </si>
  <si>
    <t>Commercial EM-Retro-Medium Ret</t>
  </si>
  <si>
    <t>Commercial EM-Retro-Medium Ret-GasHt</t>
  </si>
  <si>
    <t>Commercial EM-Retro-Small Ret</t>
  </si>
  <si>
    <t>Commercial EM-Retro-Small Ret-GasHt</t>
  </si>
  <si>
    <t>Commercial EM-Retro-School K-12</t>
  </si>
  <si>
    <t>Commercial EM-Retro-School K-12-GasHt</t>
  </si>
  <si>
    <t>Commercial EM-Retro-University</t>
  </si>
  <si>
    <t>Commercial EM-Retro-University-GasHt</t>
  </si>
  <si>
    <t>Commercial EM-Retro-Warehouse</t>
  </si>
  <si>
    <t>Commercial EM-Retro-Warehouse-GasHt</t>
  </si>
  <si>
    <t>Commercial EM-Retro-Supermarket</t>
  </si>
  <si>
    <t>Commercial EM-Retro-Supermarket-GasHt</t>
  </si>
  <si>
    <t>Commercial EM-Retro-MiniMart</t>
  </si>
  <si>
    <t>Commercial EM-Retro-MiniMart-GasHt</t>
  </si>
  <si>
    <t>Commercial EM-Retro-Restaurant</t>
  </si>
  <si>
    <t>Commercial EM-Retro-Restaurant-GasHt</t>
  </si>
  <si>
    <t>Commercial EM-Retro-Lodging</t>
  </si>
  <si>
    <t>Commercial EM-Retro-Lodging-GasHt</t>
  </si>
  <si>
    <t>Commercial EM-Retro-Hospital</t>
  </si>
  <si>
    <t>Commercial EM-Retro-Hospital-GasHt</t>
  </si>
  <si>
    <t>Commercial EM-Retro-Residential Care</t>
  </si>
  <si>
    <t>Commercial EM-Retro-Residential Care-GasHt</t>
  </si>
  <si>
    <t>Commercial EM-Retro-Assembly</t>
  </si>
  <si>
    <t>Commercial EM-Retro-Assembly-GasHt</t>
  </si>
  <si>
    <t>Commercial EM-Retro-Other</t>
  </si>
  <si>
    <t>Commercial EM-Retro-Other-GasHt</t>
  </si>
  <si>
    <t>Commercial EM-New-Large Off</t>
  </si>
  <si>
    <t>Commercial EM-New-Medium Off</t>
  </si>
  <si>
    <t>Commercial EM-New-Small Off</t>
  </si>
  <si>
    <t>Commercial EM-New-Xlarge Ret</t>
  </si>
  <si>
    <t>Commercial EM-New-Large Ret</t>
  </si>
  <si>
    <t>Commercial EM-New-Medium Ret</t>
  </si>
  <si>
    <t>Commercial EM-New-Small Ret</t>
  </si>
  <si>
    <t>Commercial EM-New-School K-12</t>
  </si>
  <si>
    <t>Commercial EM-New-University</t>
  </si>
  <si>
    <t>Commercial EM-New-Warehouse</t>
  </si>
  <si>
    <t>Commercial EM-New-Supermarket</t>
  </si>
  <si>
    <t>Commercial EM-New-MiniMart</t>
  </si>
  <si>
    <t>Commercial EM-New-Restaurant</t>
  </si>
  <si>
    <t>Commercial EM-New-Lodging</t>
  </si>
  <si>
    <t>Commercial EM-New-Hospital</t>
  </si>
  <si>
    <t>Commercial EM-New-Residential Care</t>
  </si>
  <si>
    <t>Commercial EM-New-Assembly</t>
  </si>
  <si>
    <t>Commercial EM-New-Other</t>
  </si>
  <si>
    <t>Commercial EM-Retro-Large Off-ElecHt</t>
  </si>
  <si>
    <t>Commercial EM-Retro-Medium Off-ElecHt</t>
  </si>
  <si>
    <t>Commercial EM-Retro-Small Off-ElecHt</t>
  </si>
  <si>
    <t>Commercial EM-Retro-Xlarge Ret-ElecHt</t>
  </si>
  <si>
    <t>Commercial EM-Retro-Large Ret-ElecHt</t>
  </si>
  <si>
    <t>Commercial EM-Retro-Medium Ret-ElecHt</t>
  </si>
  <si>
    <t>Commercial EM-Retro-Small Ret-ElecHt</t>
  </si>
  <si>
    <t>Commercial EM-Retro-School K-12-ElecHt</t>
  </si>
  <si>
    <t>Commercial EM-Retro-University-ElecHt</t>
  </si>
  <si>
    <t>Commercial EM-Retro-Warehouse-ElecHt</t>
  </si>
  <si>
    <t>Commercial EM-Retro-Supermarket-ElecHt</t>
  </si>
  <si>
    <t>Commercial EM-Retro-MiniMart-ElecHt</t>
  </si>
  <si>
    <t>Commercial EM-Retro-Restaurant-ElecHt</t>
  </si>
  <si>
    <t>Commercial EM-Retro-Lodging-ElecHt</t>
  </si>
  <si>
    <t>Commercial EM-Retro-Hospital-ElecHt</t>
  </si>
  <si>
    <t>Commercial EM-Retro-Residential Care-ElecHt</t>
  </si>
  <si>
    <t>Commercial EM-Retro-Assembly-ElecHt</t>
  </si>
  <si>
    <t>Commercial EM-Retro-Other-ElecHt</t>
  </si>
  <si>
    <t>Commercial EM-Retro-Large Off-HtPmpHt</t>
  </si>
  <si>
    <t>Commercial EM-Retro-Medium Off-HtPmpHt</t>
  </si>
  <si>
    <t>Commercial EM-Retro-Small Off-HtPmpHt</t>
  </si>
  <si>
    <t>Commercial EM-Retro-Xlarge Ret-HtPmpHt</t>
  </si>
  <si>
    <t>Commercial EM-Retro-Large Ret-HtPmpHt</t>
  </si>
  <si>
    <t>Commercial EM-Retro-Medium Ret-HtPmpHt</t>
  </si>
  <si>
    <t>Commercial EM-Retro-Small Ret-HtPmpHt</t>
  </si>
  <si>
    <t>Commercial EM-Retro-School K-12-HtPmpHt</t>
  </si>
  <si>
    <t>Commercial EM-Retro-University-HtPmpHt</t>
  </si>
  <si>
    <t>Commercial EM-Retro-Warehouse-HtPmpHt</t>
  </si>
  <si>
    <t>Commercial EM-Retro-Supermarket-HtPmpHt</t>
  </si>
  <si>
    <t>Commercial EM-Retro-MiniMart-HtPmpHt</t>
  </si>
  <si>
    <t>Commercial EM-Retro-Restaurant-HtPmpHt</t>
  </si>
  <si>
    <t>Commercial EM-Retro-Lodging-HtPmpHt</t>
  </si>
  <si>
    <t>Commercial EM-Retro-Hospital-HtPmpHt</t>
  </si>
  <si>
    <t>Commercial EM-Retro-Residential Care-HtPmpHt</t>
  </si>
  <si>
    <t>Commercial EM-Retro-Assembly-HtPmpHt</t>
  </si>
  <si>
    <t>Commercial EM-Retro-Other-HtPmpHt</t>
  </si>
  <si>
    <t>Commercial EM-New-Large Off-HtPmpHt</t>
  </si>
  <si>
    <t>Commercial EM-New-Medium Off-HtPmpHt</t>
  </si>
  <si>
    <t>Commercial EM-New-Small Off-HtPmpHt</t>
  </si>
  <si>
    <t>Commercial EM-New-Xlarge Ret-HtPmpHt</t>
  </si>
  <si>
    <t>Commercial EM-New-Large Ret-HtPmpHt</t>
  </si>
  <si>
    <t>Commercial EM-New-Medium Ret-HtPmpHt</t>
  </si>
  <si>
    <t>Commercial EM-New-Small Ret-HtPmpHt</t>
  </si>
  <si>
    <t>Commercial EM-New-School K-12-HtPmpHt</t>
  </si>
  <si>
    <t>Commercial EM-New-University-HtPmpHt</t>
  </si>
  <si>
    <t>Commercial EM-New-Warehouse-HtPmpHt</t>
  </si>
  <si>
    <t>Commercial EM-New-Supermarket-HtPmpHt</t>
  </si>
  <si>
    <t>Commercial EM-New-MiniMart-HtPmpHt</t>
  </si>
  <si>
    <t>Commercial EM-New-Restaurant-HtPmpHt</t>
  </si>
  <si>
    <t>Commercial EM-New-Lodging-HtPmpHt</t>
  </si>
  <si>
    <t>Commercial EM-New-Hospital-HtPmpHt</t>
  </si>
  <si>
    <t>Commercial EM-New-Residential Care-HtPmpHt</t>
  </si>
  <si>
    <t>Commercial EM-New-Assembly-HtPmpHt</t>
  </si>
  <si>
    <t>Commercial EM-New-Other-HtPmpHt</t>
  </si>
  <si>
    <t>ProCost Results</t>
  </si>
  <si>
    <t xml:space="preserve">Version:    </t>
  </si>
  <si>
    <t>ProCost 3.0 - Beta04</t>
  </si>
  <si>
    <t>Run Time:</t>
  </si>
  <si>
    <t>Regurgitation of ProData input parameters which were used for this run</t>
  </si>
  <si>
    <t>Run Parameters</t>
  </si>
  <si>
    <t>Marginal Cost &amp; Conservation Load Shape Parameters</t>
  </si>
  <si>
    <t>Sponsor Parameters</t>
  </si>
  <si>
    <t>Program Parameters</t>
  </si>
  <si>
    <t>Utility System Parameters</t>
  </si>
  <si>
    <t>Run Type</t>
  </si>
  <si>
    <t>Electric</t>
  </si>
  <si>
    <t>Marginal Costs and Savings Shape File</t>
  </si>
  <si>
    <t>6P MidC Final (with carbon)</t>
  </si>
  <si>
    <t>Customer</t>
  </si>
  <si>
    <t>Wholesale Elec</t>
  </si>
  <si>
    <t>Retail Elec</t>
  </si>
  <si>
    <t>Nat Gas</t>
  </si>
  <si>
    <t>Program Life (yrs)</t>
  </si>
  <si>
    <t>Gas</t>
  </si>
  <si>
    <t>Negative B/C Ratios</t>
  </si>
  <si>
    <t>Off</t>
  </si>
  <si>
    <t>Marginal Elec Avoided Cost Input Worksheet</t>
  </si>
  <si>
    <t>7P Mid</t>
  </si>
  <si>
    <t>Conservation Load Shapes</t>
  </si>
  <si>
    <t>Real After-Tax Cost of Capital</t>
  </si>
  <si>
    <t>Program Start Date</t>
  </si>
  <si>
    <t>Bulk System T&amp;D Loss Factor</t>
  </si>
  <si>
    <t>Admin Cost @ Category Level</t>
  </si>
  <si>
    <t>On</t>
  </si>
  <si>
    <t>Elec Savings Shape Input Worksheet</t>
  </si>
  <si>
    <t>GLSShapes</t>
  </si>
  <si>
    <t>6P_Gas_Final</t>
  </si>
  <si>
    <t>Financial Life (years)</t>
  </si>
  <si>
    <t>Present Value Time Zero</t>
  </si>
  <si>
    <t>Bulk System T&amp;D Credit ($/kw-yr)($/dailytherm-yr)</t>
  </si>
  <si>
    <t xml:space="preserve">Repeat Periodic Replacement </t>
  </si>
  <si>
    <t>Marginal Gas Avoided Cost Input Worksheet</t>
  </si>
  <si>
    <t>7P Gas</t>
  </si>
  <si>
    <t>Input Cost Reference Year</t>
  </si>
  <si>
    <t>Bulk System T&amp;D I2R Loss Component (%)</t>
  </si>
  <si>
    <t>N/A</t>
  </si>
  <si>
    <t>Gas Savings Shape Input Worksheet</t>
  </si>
  <si>
    <t xml:space="preserve">Sponsor Share of Initial Capital Cost </t>
  </si>
  <si>
    <t>Real Discount Rate</t>
  </si>
  <si>
    <t>Local System Dist Loss Factor</t>
  </si>
  <si>
    <t>Run Type:</t>
  </si>
  <si>
    <t>Marginal Elec CO2 per kWh Input Worksheet</t>
  </si>
  <si>
    <t>CO2 lbs per kWh .95</t>
  </si>
  <si>
    <t>CO2 lbs per therm</t>
  </si>
  <si>
    <t>Sponsor Share of Annual O&amp;M</t>
  </si>
  <si>
    <t>Capital Real Escalation Rate</t>
  </si>
  <si>
    <t>Local System Dist Credit ($/kw-yr)($/dailytherm-yr)</t>
  </si>
  <si>
    <t>Negative B/C Ratios:</t>
  </si>
  <si>
    <t>False:  (Converts Negative B/C Ratios)</t>
  </si>
  <si>
    <t>Marginal Gas CO2 per therm Input Worksheet</t>
  </si>
  <si>
    <t>Zero Dollars per ton CO2</t>
  </si>
  <si>
    <t>Sponsor Share of Periodic Replacement Cost</t>
  </si>
  <si>
    <t>Admin Cost (as % of Initial Capital Cost)</t>
  </si>
  <si>
    <t>Local System Dist I2R Loss Component (%)</t>
  </si>
  <si>
    <t>Admin Cost / Category Level:</t>
  </si>
  <si>
    <t>True:  Admin Costs added at Category Results</t>
  </si>
  <si>
    <t>Marginal Avoided Cost CO2 Input Worksheet</t>
  </si>
  <si>
    <t>LineLossShapes</t>
  </si>
  <si>
    <t>Sponsor Share of Admin Cost</t>
  </si>
  <si>
    <t>Regional Act Conservation Credit (%)</t>
  </si>
  <si>
    <t>Risk-Mitigation Credit (mills/kWh)(mills/therm) - Retro.</t>
  </si>
  <si>
    <t>Periodic O&amp;M Treatment:</t>
  </si>
  <si>
    <t>True:  (Periodic O&amp;M Repeats over measure life)</t>
  </si>
  <si>
    <t>Line Loss Shape Input Worksheet</t>
  </si>
  <si>
    <t>Last Year of Non-Customer O&amp;M &amp; Period Replacement</t>
  </si>
  <si>
    <t>Report Annual Carbon Saved for Year</t>
  </si>
  <si>
    <t>Risk-Mitigation Credit (mills/kWh)(mills/therm) - Lost Op.</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</si>
  <si>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</si>
  <si>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</si>
  <si>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</si>
  <si>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</si>
  <si>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</si>
  <si>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</si>
  <si>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</si>
  <si>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</si>
  <si>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</si>
  <si>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</si>
  <si>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</si>
  <si>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</si>
  <si>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</si>
  <si>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</si>
  <si>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</si>
  <si>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</si>
  <si>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</si>
  <si>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</si>
  <si>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</si>
  <si>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</si>
  <si>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</si>
  <si>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</si>
  <si>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</si>
  <si>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</si>
  <si>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</si>
  <si>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</si>
  <si>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</si>
  <si>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</si>
  <si>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</si>
  <si>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</si>
  <si>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</si>
  <si>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</si>
  <si>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</si>
  <si>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</si>
  <si>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</si>
  <si>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</si>
  <si>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</si>
  <si>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</si>
  <si>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</si>
  <si>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</si>
  <si>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</si>
  <si>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</si>
  <si>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</si>
  <si>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</si>
  <si>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</si>
  <si>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</si>
  <si>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</si>
  <si>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</si>
  <si>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</si>
  <si>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</si>
  <si>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</si>
  <si>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</si>
  <si>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</si>
  <si>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</si>
  <si>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</si>
  <si>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</si>
  <si>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</si>
  <si>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</si>
  <si>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</si>
  <si>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</si>
  <si>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</si>
  <si>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</si>
  <si>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</si>
  <si>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</si>
  <si>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</si>
  <si>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</si>
  <si>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</si>
  <si>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</si>
  <si>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</si>
  <si>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</si>
  <si>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</si>
  <si>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</si>
  <si>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</si>
  <si>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</si>
  <si>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</si>
  <si>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</si>
  <si>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</si>
  <si>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</si>
  <si>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</si>
  <si>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</si>
  <si>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</si>
  <si>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</si>
  <si>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TRC Net Levelized Cost (Net of All Benefits) in mills/kWh</t>
  </si>
  <si>
    <t>Electric System CO2 Avoided (Lifetime Tons)</t>
  </si>
  <si>
    <t>Gas System CO2 Avoided (Lifetime Tons)</t>
  </si>
  <si>
    <t>Total System CO2 Avoided (Lifetime Tons)</t>
  </si>
  <si>
    <t>Electric System CO2 Avoided (Annual Tons in 2018)</t>
  </si>
  <si>
    <t>Gas System CO2 Avoided (Annual Tons in 2018)</t>
  </si>
  <si>
    <t>Total System CO2 Avoided (Annual Tons in 2018)</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</si>
  <si>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</si>
  <si>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</si>
  <si>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</si>
  <si>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</si>
  <si>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</si>
  <si>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</si>
  <si>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</si>
  <si>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</si>
  <si>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</si>
  <si>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</si>
  <si>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</si>
  <si>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</si>
  <si>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</si>
  <si>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</si>
  <si>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</si>
  <si>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</si>
  <si>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</si>
  <si>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</si>
  <si>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</si>
  <si>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</si>
  <si>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</si>
  <si>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</si>
  <si>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</si>
  <si>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</si>
  <si>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</si>
  <si>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</si>
  <si>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</si>
  <si>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</si>
  <si>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</si>
  <si>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</si>
  <si>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</si>
  <si>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</si>
  <si>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</si>
  <si>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</si>
  <si>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</si>
  <si>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</si>
  <si>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</si>
  <si>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</si>
  <si>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</si>
  <si>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</si>
  <si>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</si>
  <si>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Busbar Savings</t>
  </si>
  <si>
    <t>Wholesale KW</t>
  </si>
  <si>
    <t>Weighted Savings Sytem and Heat Type</t>
  </si>
  <si>
    <t>R-All-HVAC-CAC-All-All-E</t>
  </si>
  <si>
    <t>Savings Allocation by Category and Month for Segments 1</t>
  </si>
  <si>
    <t>Savings Allocation by Category and Month for Segments 2</t>
  </si>
  <si>
    <t>Savings Allocation by Cost Bin and Month for Segments 1</t>
  </si>
  <si>
    <t>Savings Allocation by Cost Bin and Month for Segments 2</t>
  </si>
  <si>
    <t>Commercial EM-New-Large Off-GasHt</t>
  </si>
  <si>
    <t>Commercial EM-New-Medium Off-GasHt</t>
  </si>
  <si>
    <t>Commercial EM-New-Small Off-GasHt</t>
  </si>
  <si>
    <t>Commercial EM-New-Xlarge Ret-GasHt</t>
  </si>
  <si>
    <t>Commercial EM-New-Large Ret-GasHt</t>
  </si>
  <si>
    <t>Commercial EM-New-Medium Ret-GasHt</t>
  </si>
  <si>
    <t>Commercial EM-New-Small Ret-GasHt</t>
  </si>
  <si>
    <t>Commercial EM-New-School K-12-GasHt</t>
  </si>
  <si>
    <t>Commercial EM-New-University-GasHt</t>
  </si>
  <si>
    <t>Commercial EM-New-Warehouse-GasHt</t>
  </si>
  <si>
    <t>Commercial EM-New-Supermarket-GasHt</t>
  </si>
  <si>
    <t>Commercial EM-New-MiniMart-GasHt</t>
  </si>
  <si>
    <t>Commercial EM-New-Restaurant-GasHt</t>
  </si>
  <si>
    <t>Commercial EM-New-Lodging-GasHt</t>
  </si>
  <si>
    <t>Commercial EM-New-Hospital-GasHt</t>
  </si>
  <si>
    <t>Commercial EM-New-Residential Care-GasHt</t>
  </si>
  <si>
    <t>Commercial EM-New-Assembly-GasHt</t>
  </si>
  <si>
    <t>Commercial EM-New-Other-GasHt</t>
  </si>
  <si>
    <t>Commercial EM-New-Large Off-ElecHt</t>
  </si>
  <si>
    <t>Commercial EM-New-Medium Off-ElecHt</t>
  </si>
  <si>
    <t>Commercial EM-New-Small Off-ElecHt</t>
  </si>
  <si>
    <t>Commercial EM-New-Xlarge Ret-ElecHt</t>
  </si>
  <si>
    <t>Commercial EM-New-Large Ret-ElecHt</t>
  </si>
  <si>
    <t>Commercial EM-New-Medium Ret-ElecHt</t>
  </si>
  <si>
    <t>Commercial EM-New-Small Ret-ElecHt</t>
  </si>
  <si>
    <t>Commercial EM-New-School K-12-ElecHt</t>
  </si>
  <si>
    <t>Commercial EM-New-University-ElecHt</t>
  </si>
  <si>
    <t>Commercial EM-New-Warehouse-ElecHt</t>
  </si>
  <si>
    <t>Commercial EM-New-Supermarket-ElecHt</t>
  </si>
  <si>
    <t>Commercial EM-New-MiniMart-ElecHt</t>
  </si>
  <si>
    <t>Commercial EM-New-Restaurant-ElecHt</t>
  </si>
  <si>
    <t>Commercial EM-New-Lodging-ElecHt</t>
  </si>
  <si>
    <t>Commercial EM-New-Hospital-ElecHt</t>
  </si>
  <si>
    <t>Commercial EM-New-Residential Care-ElecHt</t>
  </si>
  <si>
    <t>Commercial EM-New-Assembly-ElecHt</t>
  </si>
  <si>
    <t>Commercial EM-New-Other-ElecHt</t>
  </si>
  <si>
    <t>Gas Heat Savings</t>
  </si>
  <si>
    <t>Weighted Savings for Region (kWh)</t>
  </si>
  <si>
    <t>Weighted Savings for Region (Therms)</t>
  </si>
  <si>
    <t>Assumes Only Multizone Systems</t>
  </si>
  <si>
    <t>All Systems EXCEPT SZ Ducted</t>
  </si>
  <si>
    <t>Everything but SZ ducted systems</t>
  </si>
  <si>
    <t>building_type</t>
  </si>
  <si>
    <t>elec.eui.n.mean</t>
  </si>
  <si>
    <t>Food
Service</t>
  </si>
  <si>
    <t>Residential
Care</t>
  </si>
  <si>
    <t>All</t>
  </si>
  <si>
    <t>Dry Goods
Retail</t>
  </si>
  <si>
    <t>Hotel/Motel</t>
  </si>
  <si>
    <t>Other
Health</t>
  </si>
  <si>
    <t>Overall EUI reduction from 6P to 7P; apply to heating EUI's in base case.</t>
  </si>
  <si>
    <t>Commercial EM-New</t>
  </si>
  <si>
    <t>See Com_Master_7P</t>
  </si>
  <si>
    <t>Check 6 going on 7</t>
  </si>
  <si>
    <t>Sector and End Use</t>
  </si>
  <si>
    <t>HVAC Controls</t>
  </si>
  <si>
    <t>Achievements Since 6th Plan.</t>
  </si>
  <si>
    <t>Share of 6P potential achieved</t>
  </si>
  <si>
    <t>6P Savings</t>
  </si>
  <si>
    <t>6P Achievalble</t>
  </si>
  <si>
    <t>6P Technical</t>
  </si>
  <si>
    <t>$/sf</t>
  </si>
  <si>
    <t>$/kWh</t>
  </si>
  <si>
    <t>Cost Data</t>
  </si>
  <si>
    <t>6P cost Data</t>
  </si>
  <si>
    <t>Savings - kWh/sf</t>
  </si>
  <si>
    <t>Elect EUI</t>
  </si>
  <si>
    <t>Gas EUI</t>
  </si>
  <si>
    <t>HP Eui</t>
  </si>
  <si>
    <t>Data</t>
  </si>
  <si>
    <t>Project ID</t>
  </si>
  <si>
    <t>Sum of Electric Energy (kWh)</t>
  </si>
  <si>
    <t>Sum of Gas Energy (thm)</t>
  </si>
  <si>
    <t>Sum of Electric Incentive</t>
  </si>
  <si>
    <t>Sum of Gas Incentive</t>
  </si>
  <si>
    <t>First-Year Cost</t>
  </si>
  <si>
    <t xml:space="preserve">How much does retro-commissioning cost? </t>
  </si>
  <si>
    <t xml:space="preserve">The cost of a retro-commissioning process is often difficult to estimate. The scope of work, the size and age of the building, and the complexity of the building systems are some factors that can affect the project costs. Table 1 shows average costs in a national study of retro-commissioning projects.  The data is approximately three years old and includes 14 California projects.  A project is underway to update the study with recent data and we expect the California costs to be in the range of $0.50/sq ft.  Costs may vary depending on market conditions. </t>
  </si>
  <si>
    <r>
      <t>Table 1: Actual RCx costs, as reported in a study of 106 projects</t>
    </r>
    <r>
      <rPr>
        <b/>
        <sz val="6.5"/>
        <rFont val="Arial"/>
        <family val="2"/>
      </rPr>
      <t>2</t>
    </r>
  </si>
  <si>
    <t>Value or Ranges</t>
  </si>
  <si>
    <t>Total RCx Cost</t>
  </si>
  <si>
    <t>$0.13 to $0.45/sqft</t>
  </si>
  <si>
    <t>Provider Fee as % of Total RCx Cost</t>
  </si>
  <si>
    <t>35 - 71%</t>
  </si>
  <si>
    <t>Average RCx Cost Allocation</t>
  </si>
  <si>
    <t xml:space="preserve"> </t>
  </si>
  <si>
    <t xml:space="preserve">    Planning and Investigation</t>
  </si>
  <si>
    <t xml:space="preserve">    Implementation</t>
  </si>
  <si>
    <t xml:space="preserve">    Verification, Tracking and Reporting</t>
  </si>
  <si>
    <t>Simple Payback Time</t>
  </si>
  <si>
    <t>0.2 to 2.1 years</t>
  </si>
  <si>
    <t>Sources</t>
  </si>
  <si>
    <t>6P</t>
  </si>
  <si>
    <t>Median</t>
  </si>
  <si>
    <t>Average</t>
  </si>
  <si>
    <t>SEM</t>
  </si>
  <si>
    <t>($/kWh)</t>
  </si>
  <si>
    <t>California</t>
  </si>
  <si>
    <t>New/Old Cost ratio</t>
  </si>
  <si>
    <t>Min</t>
  </si>
  <si>
    <t>Programs like Strategic Energy Management appear to be acquiring strong savings results at much lower costs than were estimated for the 6P.</t>
  </si>
  <si>
    <t>Revised Cost</t>
  </si>
  <si>
    <t>See Savings Tab</t>
  </si>
  <si>
    <t>Primarily Retrofit.  Also include new, but use a very slow ramp rate - new buildings will need this measure within a few years after they are built.  Same cost data for new.</t>
  </si>
  <si>
    <t>Gas savings for gas heated buildings</t>
  </si>
  <si>
    <t>Ramp Rate:</t>
  </si>
  <si>
    <t>ACHIEVABILITY:</t>
  </si>
  <si>
    <t>Retro12Med, LO2Slow (for new building sf)</t>
  </si>
  <si>
    <t>Need new cost data</t>
  </si>
  <si>
    <t>done</t>
  </si>
  <si>
    <t>Apply ramp rates</t>
  </si>
  <si>
    <t>New load shapes</t>
  </si>
  <si>
    <t>Next time probably need to develop new savings estimates. New modeling?</t>
  </si>
  <si>
    <t>Couldn't find great cost data, but reduced 6P estimates based on SEM and other data</t>
  </si>
  <si>
    <t>Use this for the Com-EM measure</t>
  </si>
  <si>
    <t>Could EXPAND THIS BY RETAIL AND OFFICE SIZES</t>
  </si>
  <si>
    <t>These Shares were moved into Com_master</t>
  </si>
  <si>
    <t>California Retro Commissioning Fact Sheet</t>
  </si>
  <si>
    <t>SEM Program Data (from Energy Trust)</t>
  </si>
  <si>
    <t>There are ongoing questions about the persistence of this measure and this type of measure</t>
  </si>
  <si>
    <t>From CBSA</t>
  </si>
  <si>
    <t>Ramp Rate</t>
  </si>
  <si>
    <t>Resource Type</t>
  </si>
  <si>
    <t>Measure Category</t>
  </si>
  <si>
    <t>Sector</t>
  </si>
  <si>
    <t>kW per unit</t>
  </si>
  <si>
    <t>kWh per unit</t>
  </si>
  <si>
    <t>TRC Net Levelized Cost (Net of All Benefits)</t>
  </si>
  <si>
    <t>Commercial</t>
  </si>
  <si>
    <t>End-Use:</t>
  </si>
  <si>
    <t>C-All-HVAC-Vent-All-All-E</t>
  </si>
  <si>
    <t>Pre2002</t>
  </si>
  <si>
    <t>cumulative new construction</t>
  </si>
  <si>
    <t>Compared the savings values with some limited data from ETO on commercial SEM.  For office buildings, the data show about 7% total EUI savings. This translates to approximately 18% electric heating eui savings; very similar to the 6P assumption.  Therefore, will use the same 6P savings assumptions.  Baseline adjustments were made to reflect the reduced EUI's in the 2013 CBSA compared with the 2009 CBSA</t>
  </si>
  <si>
    <t>New SF added beginning in year 4</t>
  </si>
  <si>
    <t>Not using these for 7P.  Roll new sf into retro after 4 years</t>
  </si>
  <si>
    <t>Measure life in the 6p:</t>
  </si>
  <si>
    <t>years</t>
  </si>
  <si>
    <t>Source</t>
  </si>
  <si>
    <t xml:space="preserve">Unclear; compliation of numerous studies from around the country </t>
  </si>
  <si>
    <t>Measure life in the 7p:</t>
  </si>
  <si>
    <t>Professional judgement.  Input from reviewers including Eric Boyer (BPA)</t>
  </si>
  <si>
    <t>From 6 going on 7 data</t>
  </si>
  <si>
    <t>savingsYear</t>
  </si>
  <si>
    <t>BPA Sector</t>
  </si>
  <si>
    <t>BPA EndUse</t>
  </si>
  <si>
    <t>BPA Category</t>
  </si>
  <si>
    <t>BPA TAP</t>
  </si>
  <si>
    <t>SumOfkWhBusbar</t>
  </si>
  <si>
    <t>SumOfaMWBusbar</t>
  </si>
  <si>
    <t>HVAC System Controls</t>
  </si>
  <si>
    <t>Energy Management Systems/System Controls</t>
  </si>
  <si>
    <t>HVAC Control Improvements (non-VFD)</t>
  </si>
  <si>
    <t>Thermostats</t>
  </si>
  <si>
    <t>HVAC Control Improvements (VFD)</t>
  </si>
  <si>
    <t>Pneumatic to DDC Control Improvements</t>
  </si>
  <si>
    <t>Achieved aMW (Busbar)</t>
  </si>
  <si>
    <t xml:space="preserve">  Forecast aMW (Busbar)</t>
  </si>
  <si>
    <t>Total Achieved aMW (Busbar)</t>
  </si>
  <si>
    <t>Total   Forecast aMW (Busbar)</t>
  </si>
  <si>
    <t>Agricultural</t>
  </si>
  <si>
    <t>Irrigation Scheduling</t>
  </si>
  <si>
    <t>Irrigation Hardware</t>
  </si>
  <si>
    <t>Dairy</t>
  </si>
  <si>
    <t>unknown</t>
  </si>
  <si>
    <t>PC Network/Supply</t>
  </si>
  <si>
    <t>Refrigeration</t>
  </si>
  <si>
    <t>Rooftop Units</t>
  </si>
  <si>
    <t>Council Taxonomy</t>
  </si>
  <si>
    <t>BPA Taxonomy</t>
  </si>
  <si>
    <t>This says we have achieved twice what we estimated</t>
  </si>
  <si>
    <t>This says we have achieved everything</t>
  </si>
  <si>
    <t>Size_Group</t>
  </si>
  <si>
    <t>&lt;5,001</t>
  </si>
  <si>
    <t>5,001-20,000</t>
  </si>
  <si>
    <t>20,001-50,000</t>
  </si>
  <si>
    <t>50,001-100,000</t>
  </si>
  <si>
    <t>100,001+</t>
  </si>
  <si>
    <t>Share of Heated SF</t>
  </si>
  <si>
    <t>xlarge ret</t>
  </si>
  <si>
    <t>Medium ret</t>
  </si>
  <si>
    <t>Medium off</t>
  </si>
  <si>
    <t>Use 6P value</t>
  </si>
  <si>
    <t>Q:\SeventhPlan\Conservation Analysis\Global EE Inputs\MC Files\MC_AND_LOADSHAPE_v3.0_24segment-7P-D9 - NewSegValues.xlsx</t>
  </si>
  <si>
    <t>Reduced the lifetime to 5 years (7 years in the 6P)</t>
  </si>
  <si>
    <t xml:space="preserve">Used the CBSA filtered by system type.  This measure applies to "built up sytems" primarily.  See Market data tab.  </t>
  </si>
  <si>
    <t>Signficant achievements were made between 2010 and 2015.  However, some of the data are mis-categorized.  Saturation is 19% per 6 going on 7 data for "Energy Management Systems/System Controls" category</t>
  </si>
  <si>
    <t>Saturation to Com_Master</t>
  </si>
  <si>
    <t>Much of this mis-categorized.</t>
  </si>
  <si>
    <t>These data to Com_Master_7P</t>
  </si>
  <si>
    <t>Originally thought of using a baseline adjustment here, but used measure saturation instead. Avoid the double-counting.</t>
  </si>
  <si>
    <t>Cost from 6P data seem to be low when compared to SEM data and other more recent energy management studies. Adjusted the 6P costs to reflect more recent program costs</t>
  </si>
  <si>
    <r>
      <t xml:space="preserve">Energy management measures for commercial buildings, excluding single-zone ducted systems. Suite of measures, most of which are focused on making HVAC systems work better through controls changes.  </t>
    </r>
    <r>
      <rPr>
        <b/>
        <sz val="10"/>
        <rFont val="Calibri"/>
        <family val="2"/>
        <scheme val="minor"/>
      </rPr>
      <t>This replaces/supercedes the HVAC Commissioning and Controls measure from the 6P</t>
    </r>
  </si>
  <si>
    <t>The 6th Plan measure had significantly more potential due to the estimates of applicable SF.  The CBSA data provides solid data for the built up system SF.</t>
  </si>
  <si>
    <t>Difference</t>
  </si>
  <si>
    <t xml:space="preserve">The new construction portion of the Com-EM measure applies to commercial buildings just a few years after they are built (per RTF input). 
New square footage in year 1 moved to retrofit starting in year 4.  </t>
  </si>
  <si>
    <t>NEW SF ADDED TO RETROFIT</t>
  </si>
  <si>
    <t>Stock 2016</t>
  </si>
  <si>
    <t>v4</t>
  </si>
  <si>
    <t>Added the High/Low Option</t>
  </si>
  <si>
    <t>v3</t>
  </si>
  <si>
    <t>Revised per reviewer feedback</t>
  </si>
  <si>
    <t>Thursday, 19 March , 2015 at 9:18 AM</t>
  </si>
</sst>
</file>

<file path=xl/styles.xml><?xml version="1.0" encoding="utf-8"?>
<styleSheet xmlns="http://schemas.openxmlformats.org/spreadsheetml/2006/main">
  <numFmts count="16">
    <numFmt numFmtId="5" formatCode="&quot;$&quot;#,##0_);\(&quot;$&quot;#,##0\)"/>
    <numFmt numFmtId="44" formatCode="_(&quot;$&quot;* #,##0.00_);_(&quot;$&quot;* \(#,##0.00\);_(&quot;$&quot;* &quot;-&quot;??_);_(@_)"/>
    <numFmt numFmtId="43" formatCode="_(* #,##0.00_);_(* \(#,##0.00\);_(* &quot;-&quot;??_);_(@_)"/>
    <numFmt numFmtId="164" formatCode="_(* #,##0_);_(* \(#,##0\);_(* &quot;-&quot;??_);_(@_)"/>
    <numFmt numFmtId="165" formatCode="0.0"/>
    <numFmt numFmtId="166" formatCode="_(* #,##0.0_);_(* \(#,##0.0\);_(* &quot;-&quot;??_);_(@_)"/>
    <numFmt numFmtId="167" formatCode="0.0000"/>
    <numFmt numFmtId="168" formatCode="_(* #,##0.0_);_(* \(#,##0.0\);_(* &quot;-&quot;?_);_(@_)"/>
    <numFmt numFmtId="169" formatCode="0.000000"/>
    <numFmt numFmtId="170" formatCode="_(&quot;$&quot;* #,##0_);_(&quot;$&quot;* \(#,##0\);_(&quot;$&quot;* &quot;-&quot;??_);_(@_)"/>
    <numFmt numFmtId="171" formatCode="0.0%"/>
    <numFmt numFmtId="172" formatCode="0.000"/>
    <numFmt numFmtId="173" formatCode="0.0;[Red]\-0.0"/>
    <numFmt numFmtId="174" formatCode="\ "/>
    <numFmt numFmtId="175" formatCode="_(* #,##0.000_);_(* \(#,##0.000\);_(* &quot;-&quot;??_);_(@_)"/>
    <numFmt numFmtId="176" formatCode="[$-F800]dddd\,\ mmmm\ dd\,\ yyyy"/>
  </numFmts>
  <fonts count="38">
    <font>
      <sz val="10"/>
      <color theme="1"/>
      <name val="Arial"/>
      <family val="2"/>
    </font>
    <font>
      <sz val="10"/>
      <color theme="1"/>
      <name val="Arial"/>
      <family val="2"/>
    </font>
    <font>
      <b/>
      <sz val="10"/>
      <color theme="1"/>
      <name val="Arial"/>
      <family val="2"/>
    </font>
    <font>
      <sz val="10"/>
      <name val="Arial"/>
      <family val="2"/>
    </font>
    <font>
      <b/>
      <sz val="10"/>
      <name val="Arial"/>
      <family val="2"/>
    </font>
    <font>
      <b/>
      <sz val="12"/>
      <name val="Arial"/>
      <family val="2"/>
    </font>
    <font>
      <sz val="10"/>
      <color rgb="FFFF0000"/>
      <name val="Arial"/>
      <family val="2"/>
    </font>
    <font>
      <sz val="10"/>
      <color theme="0"/>
      <name val="Arial"/>
      <family val="2"/>
    </font>
    <font>
      <b/>
      <sz val="11"/>
      <color theme="1"/>
      <name val="Calibri"/>
      <family val="2"/>
      <scheme val="minor"/>
    </font>
    <font>
      <sz val="10"/>
      <color indexed="8"/>
      <name val="Arial"/>
      <family val="2"/>
    </font>
    <font>
      <b/>
      <sz val="10"/>
      <color theme="0"/>
      <name val="Arial"/>
      <family val="2"/>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b/>
      <sz val="8"/>
      <color indexed="81"/>
      <name val="Tahoma"/>
      <family val="2"/>
    </font>
    <font>
      <sz val="8"/>
      <color indexed="81"/>
      <name val="Tahoma"/>
      <family val="2"/>
    </font>
    <font>
      <sz val="12"/>
      <color theme="1"/>
      <name val="Times New Roman"/>
      <family val="1"/>
    </font>
    <font>
      <i/>
      <sz val="10"/>
      <color theme="1"/>
      <name val="Arial"/>
      <family val="2"/>
    </font>
    <font>
      <sz val="10"/>
      <color rgb="FFFFC000"/>
      <name val="Arial"/>
      <family val="2"/>
    </font>
    <font>
      <sz val="10"/>
      <color indexed="9"/>
      <name val="Arial"/>
      <family val="2"/>
    </font>
    <font>
      <sz val="10"/>
      <color indexed="10"/>
      <name val="Arial"/>
      <family val="2"/>
    </font>
    <font>
      <sz val="9"/>
      <color indexed="81"/>
      <name val="Tahoma"/>
      <family val="2"/>
    </font>
    <font>
      <sz val="11"/>
      <color theme="1"/>
      <name val="Calibri"/>
      <family val="2"/>
      <scheme val="minor"/>
    </font>
    <font>
      <sz val="11"/>
      <color indexed="8"/>
      <name val="Calibri"/>
      <family val="2"/>
      <scheme val="minor"/>
    </font>
    <font>
      <b/>
      <sz val="9"/>
      <color indexed="81"/>
      <name val="Tahoma"/>
      <family val="2"/>
    </font>
    <font>
      <sz val="12"/>
      <color rgb="FF000000"/>
      <name val="Arial"/>
      <family val="2"/>
    </font>
    <font>
      <b/>
      <sz val="12"/>
      <color rgb="FF000000"/>
      <name val="Arial"/>
      <family val="2"/>
    </font>
    <font>
      <b/>
      <sz val="13"/>
      <name val="Arial"/>
      <family val="2"/>
    </font>
    <font>
      <b/>
      <sz val="6.5"/>
      <name val="Arial"/>
      <family val="2"/>
    </font>
    <font>
      <b/>
      <sz val="10"/>
      <color theme="0" tint="-0.34998626667073579"/>
      <name val="Arial"/>
      <family val="2"/>
    </font>
    <font>
      <sz val="10"/>
      <color theme="0" tint="-0.34998626667073579"/>
      <name val="Arial"/>
      <family val="2"/>
    </font>
    <font>
      <b/>
      <sz val="12"/>
      <name val="Calibri"/>
      <family val="2"/>
      <scheme val="minor"/>
    </font>
    <font>
      <sz val="10"/>
      <name val="Calibri"/>
      <family val="2"/>
      <scheme val="minor"/>
    </font>
    <font>
      <b/>
      <sz val="10"/>
      <name val="Calibri"/>
      <family val="2"/>
      <scheme val="minor"/>
    </font>
    <font>
      <sz val="10"/>
      <color theme="1"/>
      <name val="Calibri"/>
      <family val="2"/>
      <scheme val="minor"/>
    </font>
  </fonts>
  <fills count="36">
    <fill>
      <patternFill patternType="none"/>
    </fill>
    <fill>
      <patternFill patternType="gray125"/>
    </fill>
    <fill>
      <patternFill patternType="solid">
        <fgColor theme="3" tint="0.79998168889431442"/>
        <bgColor indexed="64"/>
      </patternFill>
    </fill>
    <fill>
      <patternFill patternType="solid">
        <fgColor theme="2" tint="-9.9978637043366805E-2"/>
        <bgColor indexed="64"/>
      </patternFill>
    </fill>
    <fill>
      <patternFill patternType="solid">
        <fgColor indexed="43"/>
        <bgColor indexed="64"/>
      </patternFill>
    </fill>
    <fill>
      <patternFill patternType="solid">
        <fgColor theme="3"/>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2"/>
        <bgColor indexed="64"/>
      </patternFill>
    </fill>
    <fill>
      <patternFill patternType="solid">
        <fgColor theme="3" tint="-0.499984740745262"/>
        <bgColor indexed="64"/>
      </patternFill>
    </fill>
    <fill>
      <patternFill patternType="solid">
        <fgColor indexed="13"/>
        <bgColor indexed="64"/>
      </patternFill>
    </fill>
    <fill>
      <patternFill patternType="solid">
        <fgColor indexed="52"/>
        <bgColor indexed="64"/>
      </patternFill>
    </fill>
    <fill>
      <patternFill patternType="solid">
        <fgColor indexed="45"/>
        <bgColor indexed="64"/>
      </patternFill>
    </fill>
    <fill>
      <patternFill patternType="solid">
        <fgColor indexed="49"/>
        <bgColor indexed="64"/>
      </patternFill>
    </fill>
    <fill>
      <patternFill patternType="solid">
        <fgColor indexed="47"/>
        <bgColor indexed="64"/>
      </patternFill>
    </fill>
    <fill>
      <patternFill patternType="solid">
        <fgColor indexed="15"/>
        <bgColor indexed="64"/>
      </patternFill>
    </fill>
    <fill>
      <patternFill patternType="solid">
        <fgColor theme="3" tint="-0.249977111117893"/>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59999389629810485"/>
        <bgColor indexed="64"/>
      </patternFill>
    </fill>
    <fill>
      <patternFill patternType="solid">
        <fgColor indexed="22"/>
      </patternFill>
    </fill>
    <fill>
      <patternFill patternType="solid">
        <fgColor theme="4" tint="0.79998168889431442"/>
        <bgColor theme="4" tint="0.79998168889431442"/>
      </patternFill>
    </fill>
    <fill>
      <patternFill patternType="solid">
        <fgColor theme="0" tint="-0.14999847407452621"/>
        <bgColor theme="0" tint="-0.14999847407452621"/>
      </patternFill>
    </fill>
    <fill>
      <patternFill patternType="solid">
        <fgColor rgb="FFFFFF00"/>
        <bgColor indexed="64"/>
      </patternFill>
    </fill>
    <fill>
      <patternFill patternType="solid">
        <fgColor theme="3" tint="0.59999389629810485"/>
        <bgColor indexed="64"/>
      </patternFill>
    </fill>
    <fill>
      <patternFill patternType="solid">
        <fgColor theme="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theme="4" tint="0.39997558519241921"/>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rgb="FF000000"/>
      </top>
      <bottom style="medium">
        <color rgb="FF000000"/>
      </bottom>
      <diagonal/>
    </border>
    <border>
      <left/>
      <right/>
      <top/>
      <bottom style="medium">
        <color rgb="FF000000"/>
      </bottom>
      <diagonal/>
    </border>
  </borders>
  <cellStyleXfs count="2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alignment readingOrder="1"/>
    </xf>
    <xf numFmtId="0" fontId="3" fillId="0" borderId="0">
      <alignment readingOrder="1"/>
    </xf>
    <xf numFmtId="0" fontId="3" fillId="0" borderId="0"/>
    <xf numFmtId="0" fontId="3" fillId="0" borderId="0"/>
    <xf numFmtId="0" fontId="3" fillId="0" borderId="0"/>
    <xf numFmtId="0" fontId="11" fillId="0" borderId="0"/>
    <xf numFmtId="0" fontId="3" fillId="0" borderId="0"/>
    <xf numFmtId="0" fontId="3" fillId="0" borderId="0"/>
    <xf numFmtId="0" fontId="3" fillId="0" borderId="0"/>
    <xf numFmtId="0" fontId="3" fillId="0" borderId="0"/>
    <xf numFmtId="0" fontId="3" fillId="0" borderId="0"/>
    <xf numFmtId="0" fontId="25" fillId="0" borderId="0"/>
    <xf numFmtId="0" fontId="26" fillId="30" borderId="0">
      <alignment wrapText="1"/>
    </xf>
    <xf numFmtId="0" fontId="26" fillId="0" borderId="0">
      <alignment wrapText="1"/>
    </xf>
    <xf numFmtId="0" fontId="26" fillId="0" borderId="0">
      <alignment wrapText="1"/>
    </xf>
    <xf numFmtId="0" fontId="3" fillId="0" borderId="0"/>
    <xf numFmtId="44" fontId="12" fillId="0" borderId="0" applyFont="0" applyFill="0" applyBorder="0" applyAlignment="0" applyProtection="0"/>
    <xf numFmtId="43" fontId="3" fillId="0" borderId="0" applyFont="0" applyFill="0" applyBorder="0" applyAlignment="0" applyProtection="0"/>
  </cellStyleXfs>
  <cellXfs count="462">
    <xf numFmtId="0" fontId="0" fillId="0" borderId="0" xfId="0"/>
    <xf numFmtId="3" fontId="0" fillId="0" borderId="0" xfId="0" applyNumberFormat="1"/>
    <xf numFmtId="0" fontId="0" fillId="0" borderId="0" xfId="0" applyAlignment="1">
      <alignment horizontal="center"/>
    </xf>
    <xf numFmtId="0" fontId="0" fillId="0" borderId="0" xfId="0" applyAlignment="1">
      <alignment horizontal="center" wrapText="1"/>
    </xf>
    <xf numFmtId="0" fontId="0" fillId="0" borderId="0" xfId="0" applyFont="1" applyAlignment="1">
      <alignment horizontal="center" wrapText="1"/>
    </xf>
    <xf numFmtId="164" fontId="0" fillId="0" borderId="0" xfId="1" applyNumberFormat="1" applyFont="1"/>
    <xf numFmtId="44" fontId="0" fillId="0" borderId="0" xfId="2" applyFont="1"/>
    <xf numFmtId="44" fontId="2" fillId="2" borderId="0" xfId="2" applyFont="1" applyFill="1"/>
    <xf numFmtId="1" fontId="0" fillId="0" borderId="0" xfId="0" applyNumberFormat="1"/>
    <xf numFmtId="9" fontId="0" fillId="0" borderId="0" xfId="0" applyNumberFormat="1"/>
    <xf numFmtId="9" fontId="0" fillId="0" borderId="0" xfId="3" applyFont="1"/>
    <xf numFmtId="0" fontId="3" fillId="0" borderId="0" xfId="5">
      <alignment readingOrder="1"/>
    </xf>
    <xf numFmtId="0" fontId="3" fillId="0" borderId="0" xfId="5" applyFont="1">
      <alignment readingOrder="1"/>
    </xf>
    <xf numFmtId="43" fontId="0" fillId="0" borderId="0" xfId="1" applyFont="1"/>
    <xf numFmtId="43" fontId="0" fillId="0" borderId="0" xfId="0" applyNumberFormat="1"/>
    <xf numFmtId="0" fontId="0" fillId="0" borderId="1" xfId="0" applyBorder="1"/>
    <xf numFmtId="0" fontId="4" fillId="2" borderId="13" xfId="0" applyFont="1" applyFill="1" applyBorder="1">
      <alignment readingOrder="1"/>
    </xf>
    <xf numFmtId="0" fontId="0" fillId="0" borderId="0" xfId="0" applyFill="1">
      <alignment readingOrder="1"/>
    </xf>
    <xf numFmtId="0" fontId="0" fillId="0" borderId="0" xfId="0">
      <alignment readingOrder="1"/>
    </xf>
    <xf numFmtId="0" fontId="0" fillId="2" borderId="14" xfId="0" applyFill="1" applyBorder="1">
      <alignment readingOrder="1"/>
    </xf>
    <xf numFmtId="0" fontId="0" fillId="0" borderId="0" xfId="0" applyFill="1" applyAlignment="1">
      <alignment vertical="center" wrapText="1" readingOrder="1"/>
    </xf>
    <xf numFmtId="0" fontId="4" fillId="2" borderId="14" xfId="0" applyFont="1" applyFill="1" applyBorder="1">
      <alignment readingOrder="1"/>
    </xf>
    <xf numFmtId="49" fontId="0" fillId="2" borderId="10" xfId="0" quotePrefix="1" applyNumberFormat="1" applyFill="1" applyBorder="1">
      <alignment readingOrder="1"/>
    </xf>
    <xf numFmtId="0" fontId="0" fillId="2" borderId="3" xfId="0" applyNumberFormat="1" applyFill="1" applyBorder="1" applyAlignment="1">
      <alignment vertical="center" wrapText="1" readingOrder="1"/>
    </xf>
    <xf numFmtId="0" fontId="0" fillId="2" borderId="4" xfId="0" applyNumberFormat="1" applyFill="1" applyBorder="1" applyAlignment="1">
      <alignment vertical="center" wrapText="1" readingOrder="1"/>
    </xf>
    <xf numFmtId="0" fontId="0" fillId="2" borderId="11" xfId="0" applyNumberFormat="1" applyFill="1" applyBorder="1" applyAlignment="1">
      <alignment vertical="center" wrapText="1" readingOrder="1"/>
    </xf>
    <xf numFmtId="0" fontId="0" fillId="2" borderId="12" xfId="0" applyNumberFormat="1" applyFill="1" applyBorder="1" applyAlignment="1">
      <alignment vertical="center" wrapText="1" readingOrder="1"/>
    </xf>
    <xf numFmtId="0" fontId="0" fillId="3" borderId="0" xfId="0" applyFill="1">
      <alignment readingOrder="1"/>
    </xf>
    <xf numFmtId="1" fontId="0" fillId="0" borderId="0" xfId="0" quotePrefix="1" applyNumberFormat="1">
      <alignment readingOrder="1"/>
    </xf>
    <xf numFmtId="0" fontId="0" fillId="0" borderId="0" xfId="0" quotePrefix="1">
      <alignment readingOrder="1"/>
    </xf>
    <xf numFmtId="1" fontId="0" fillId="0" borderId="0" xfId="0" quotePrefix="1" applyNumberFormat="1" applyFill="1">
      <alignment readingOrder="1"/>
    </xf>
    <xf numFmtId="1" fontId="0" fillId="0" borderId="0" xfId="0" applyNumberFormat="1" applyFill="1">
      <alignment readingOrder="1"/>
    </xf>
    <xf numFmtId="1" fontId="0" fillId="0" borderId="0" xfId="0" applyNumberFormat="1">
      <alignment readingOrder="1"/>
    </xf>
    <xf numFmtId="164" fontId="0" fillId="0" borderId="0" xfId="1" applyNumberFormat="1" applyFont="1">
      <alignment readingOrder="1"/>
    </xf>
    <xf numFmtId="164" fontId="0" fillId="4" borderId="0" xfId="1" applyNumberFormat="1" applyFont="1" applyFill="1">
      <alignment readingOrder="1"/>
    </xf>
    <xf numFmtId="9" fontId="3" fillId="3" borderId="0" xfId="3" applyFont="1" applyFill="1">
      <alignment readingOrder="1"/>
    </xf>
    <xf numFmtId="164" fontId="0" fillId="0" borderId="0" xfId="1" applyNumberFormat="1" applyFont="1" applyFill="1">
      <alignment readingOrder="1"/>
    </xf>
    <xf numFmtId="2" fontId="0" fillId="0" borderId="0" xfId="0" applyNumberFormat="1">
      <alignment readingOrder="1"/>
    </xf>
    <xf numFmtId="0" fontId="8" fillId="8" borderId="1" xfId="0" applyFont="1" applyFill="1" applyBorder="1"/>
    <xf numFmtId="0" fontId="8" fillId="3" borderId="1" xfId="0" applyFont="1" applyFill="1" applyBorder="1"/>
    <xf numFmtId="0" fontId="8" fillId="3" borderId="5" xfId="0" applyFont="1" applyFill="1" applyBorder="1"/>
    <xf numFmtId="0" fontId="8" fillId="3" borderId="10" xfId="0" applyFont="1" applyFill="1" applyBorder="1"/>
    <xf numFmtId="165" fontId="0" fillId="0" borderId="0" xfId="0" applyNumberFormat="1">
      <alignment readingOrder="1"/>
    </xf>
    <xf numFmtId="0" fontId="8" fillId="2" borderId="1" xfId="0" applyFont="1" applyFill="1" applyBorder="1"/>
    <xf numFmtId="0" fontId="0" fillId="2" borderId="4" xfId="0" applyFill="1" applyBorder="1">
      <alignment readingOrder="1"/>
    </xf>
    <xf numFmtId="0" fontId="0" fillId="3" borderId="1" xfId="0" applyFill="1" applyBorder="1">
      <alignment readingOrder="1"/>
    </xf>
    <xf numFmtId="0" fontId="0" fillId="3" borderId="1" xfId="0" applyFill="1" applyBorder="1" applyAlignment="1">
      <alignment horizontal="center" readingOrder="1"/>
    </xf>
    <xf numFmtId="0" fontId="0" fillId="3" borderId="0" xfId="0" applyFill="1" applyAlignment="1">
      <alignment horizontal="center" readingOrder="1"/>
    </xf>
    <xf numFmtId="0" fontId="0" fillId="0" borderId="0" xfId="0" applyFill="1" applyAlignment="1">
      <alignment horizontal="center" readingOrder="1"/>
    </xf>
    <xf numFmtId="43" fontId="0" fillId="0" borderId="0" xfId="1" applyFont="1">
      <alignment readingOrder="1"/>
    </xf>
    <xf numFmtId="0" fontId="0" fillId="8" borderId="1" xfId="0" applyFill="1" applyBorder="1">
      <alignment readingOrder="1"/>
    </xf>
    <xf numFmtId="168" fontId="0" fillId="0" borderId="0" xfId="0" applyNumberFormat="1">
      <alignment readingOrder="1"/>
    </xf>
    <xf numFmtId="0" fontId="8" fillId="7" borderId="1" xfId="0" applyFont="1" applyFill="1" applyBorder="1"/>
    <xf numFmtId="165" fontId="8" fillId="7" borderId="1" xfId="0" applyNumberFormat="1" applyFont="1" applyFill="1" applyBorder="1"/>
    <xf numFmtId="0" fontId="6" fillId="0" borderId="0" xfId="0" applyFont="1">
      <alignment readingOrder="1"/>
    </xf>
    <xf numFmtId="0" fontId="5" fillId="2" borderId="0" xfId="6" applyFont="1" applyFill="1"/>
    <xf numFmtId="0" fontId="3" fillId="3" borderId="1" xfId="7" applyFill="1" applyBorder="1" applyAlignment="1">
      <alignment wrapText="1"/>
    </xf>
    <xf numFmtId="0" fontId="3" fillId="3" borderId="1" xfId="7" applyFill="1" applyBorder="1" applyAlignment="1">
      <alignment horizontal="center" wrapText="1"/>
    </xf>
    <xf numFmtId="0" fontId="9" fillId="3" borderId="1" xfId="7" applyFont="1" applyFill="1" applyBorder="1" applyAlignment="1">
      <alignment horizontal="center" wrapText="1"/>
    </xf>
    <xf numFmtId="0" fontId="3" fillId="3" borderId="1" xfId="8" applyFill="1" applyBorder="1" applyAlignment="1">
      <alignment wrapText="1"/>
    </xf>
    <xf numFmtId="0" fontId="0" fillId="3" borderId="1" xfId="0" applyFill="1" applyBorder="1" applyAlignment="1">
      <alignment horizontal="left"/>
    </xf>
    <xf numFmtId="0" fontId="3" fillId="0" borderId="0" xfId="7" applyAlignment="1">
      <alignment wrapText="1"/>
    </xf>
    <xf numFmtId="0" fontId="3" fillId="3" borderId="1" xfId="7" applyFill="1" applyBorder="1"/>
    <xf numFmtId="0" fontId="3" fillId="3" borderId="1" xfId="7" applyFont="1" applyFill="1" applyBorder="1"/>
    <xf numFmtId="0" fontId="9" fillId="3" borderId="1" xfId="8" applyFont="1" applyFill="1" applyBorder="1" applyAlignment="1">
      <alignment horizontal="center" wrapText="1"/>
    </xf>
    <xf numFmtId="0" fontId="3" fillId="0" borderId="0" xfId="7"/>
    <xf numFmtId="0" fontId="3" fillId="0" borderId="0" xfId="7" applyFont="1" applyFill="1" applyBorder="1"/>
    <xf numFmtId="167" fontId="3" fillId="0" borderId="0" xfId="7" applyNumberFormat="1" applyFont="1" applyFill="1" applyBorder="1"/>
    <xf numFmtId="1" fontId="3" fillId="0" borderId="0" xfId="7" applyNumberFormat="1" applyFont="1" applyFill="1" applyBorder="1"/>
    <xf numFmtId="9" fontId="3" fillId="0" borderId="0" xfId="3" applyNumberFormat="1" applyFont="1" applyFill="1" applyBorder="1"/>
    <xf numFmtId="0" fontId="3" fillId="0" borderId="0" xfId="7" applyFill="1" applyBorder="1" applyAlignment="1">
      <alignment horizontal="center"/>
    </xf>
    <xf numFmtId="0" fontId="3" fillId="0" borderId="0" xfId="7" applyFont="1" applyFill="1"/>
    <xf numFmtId="0" fontId="6" fillId="0" borderId="0" xfId="0" applyFont="1"/>
    <xf numFmtId="43" fontId="0" fillId="0" borderId="0" xfId="0" applyNumberFormat="1" applyAlignment="1"/>
    <xf numFmtId="0" fontId="12" fillId="0" borderId="0" xfId="9" applyFont="1"/>
    <xf numFmtId="0" fontId="13" fillId="0" borderId="0" xfId="10" applyFont="1"/>
    <xf numFmtId="0" fontId="3" fillId="0" borderId="0" xfId="9" applyFont="1"/>
    <xf numFmtId="5" fontId="3" fillId="0" borderId="0" xfId="9" applyNumberFormat="1" applyFont="1"/>
    <xf numFmtId="165" fontId="3" fillId="0" borderId="0" xfId="9" applyNumberFormat="1" applyFont="1"/>
    <xf numFmtId="165" fontId="13" fillId="0" borderId="0" xfId="9" applyNumberFormat="1" applyFont="1"/>
    <xf numFmtId="0" fontId="12" fillId="0" borderId="0" xfId="9" applyFont="1" applyAlignment="1">
      <alignment horizontal="left"/>
    </xf>
    <xf numFmtId="169" fontId="0" fillId="0" borderId="0" xfId="0" applyNumberFormat="1" applyAlignment="1">
      <alignment horizontal="center" readingOrder="1"/>
    </xf>
    <xf numFmtId="167" fontId="0" fillId="0" borderId="0" xfId="0" applyNumberFormat="1" applyAlignment="1">
      <alignment horizontal="center" readingOrder="1"/>
    </xf>
    <xf numFmtId="0" fontId="3" fillId="0" borderId="0" xfId="0" applyFont="1">
      <alignment readingOrder="1"/>
    </xf>
    <xf numFmtId="0" fontId="3" fillId="0" borderId="0" xfId="9" applyFont="1" applyAlignment="1">
      <alignment horizontal="center"/>
    </xf>
    <xf numFmtId="0" fontId="14" fillId="10" borderId="5" xfId="9" applyFont="1" applyFill="1" applyBorder="1" applyAlignment="1">
      <alignment horizontal="centerContinuous"/>
    </xf>
    <xf numFmtId="0" fontId="15" fillId="10" borderId="5" xfId="9" applyFont="1" applyFill="1" applyBorder="1" applyAlignment="1">
      <alignment horizontal="centerContinuous"/>
    </xf>
    <xf numFmtId="0" fontId="15" fillId="10" borderId="13" xfId="9" applyFont="1" applyFill="1" applyBorder="1" applyAlignment="1">
      <alignment horizontal="centerContinuous"/>
    </xf>
    <xf numFmtId="0" fontId="16" fillId="10" borderId="4" xfId="9" applyFont="1" applyFill="1" applyBorder="1" applyAlignment="1">
      <alignment horizontal="centerContinuous"/>
    </xf>
    <xf numFmtId="0" fontId="15" fillId="5" borderId="4" xfId="9" applyFont="1" applyFill="1" applyBorder="1" applyAlignment="1">
      <alignment horizontal="center"/>
    </xf>
    <xf numFmtId="0" fontId="15" fillId="0" borderId="0" xfId="9" applyFont="1" applyFill="1" applyBorder="1" applyAlignment="1">
      <alignment horizontal="centerContinuous"/>
    </xf>
    <xf numFmtId="0" fontId="9" fillId="14" borderId="1" xfId="9" applyFont="1" applyFill="1" applyBorder="1" applyAlignment="1">
      <alignment horizontal="center" wrapText="1"/>
    </xf>
    <xf numFmtId="0" fontId="9" fillId="14" borderId="10" xfId="9" applyFont="1" applyFill="1" applyBorder="1" applyAlignment="1">
      <alignment horizontal="center" wrapText="1"/>
    </xf>
    <xf numFmtId="0" fontId="9" fillId="14" borderId="15" xfId="9" applyFont="1" applyFill="1" applyBorder="1" applyAlignment="1">
      <alignment horizontal="center" wrapText="1"/>
    </xf>
    <xf numFmtId="0" fontId="9" fillId="14" borderId="15" xfId="0" applyFont="1" applyFill="1" applyBorder="1" applyAlignment="1">
      <alignment horizontal="center" wrapText="1"/>
    </xf>
    <xf numFmtId="0" fontId="9" fillId="15" borderId="4" xfId="9" applyFont="1" applyFill="1" applyBorder="1" applyAlignment="1">
      <alignment horizontal="center" wrapText="1"/>
    </xf>
    <xf numFmtId="0" fontId="9" fillId="15" borderId="1" xfId="9" applyFont="1" applyFill="1" applyBorder="1" applyAlignment="1">
      <alignment horizontal="center" wrapText="1"/>
    </xf>
    <xf numFmtId="0" fontId="9" fillId="0" borderId="0" xfId="9" applyFont="1" applyFill="1" applyBorder="1" applyAlignment="1">
      <alignment horizontal="center" wrapText="1"/>
    </xf>
    <xf numFmtId="170" fontId="3" fillId="0" borderId="0" xfId="2" applyNumberFormat="1" applyFont="1">
      <alignment readingOrder="1"/>
    </xf>
    <xf numFmtId="0" fontId="3" fillId="0" borderId="0" xfId="5" applyFont="1" applyAlignment="1">
      <alignment horizontal="center" readingOrder="1"/>
    </xf>
    <xf numFmtId="0" fontId="3" fillId="0" borderId="0" xfId="0" applyFont="1" applyAlignment="1">
      <alignment horizontal="center" readingOrder="1"/>
    </xf>
    <xf numFmtId="43" fontId="3" fillId="0" borderId="0" xfId="1" applyFont="1">
      <alignment readingOrder="1"/>
    </xf>
    <xf numFmtId="44" fontId="3" fillId="0" borderId="0" xfId="2" applyNumberFormat="1" applyFont="1">
      <alignment readingOrder="1"/>
    </xf>
    <xf numFmtId="0" fontId="0" fillId="0" borderId="0" xfId="0" applyAlignment="1">
      <alignment wrapText="1"/>
    </xf>
    <xf numFmtId="164" fontId="0" fillId="0" borderId="0" xfId="1" applyNumberFormat="1" applyFont="1" applyAlignment="1">
      <alignment horizontal="center" wrapText="1"/>
    </xf>
    <xf numFmtId="0" fontId="0" fillId="0" borderId="0" xfId="0" applyAlignment="1">
      <alignment horizontal="center" wrapText="1"/>
    </xf>
    <xf numFmtId="0" fontId="0" fillId="0" borderId="0" xfId="0" applyFill="1" applyBorder="1"/>
    <xf numFmtId="0" fontId="3" fillId="0" borderId="16" xfId="12" applyBorder="1"/>
    <xf numFmtId="0" fontId="3" fillId="0" borderId="0" xfId="12"/>
    <xf numFmtId="0" fontId="3" fillId="0" borderId="17" xfId="12" applyBorder="1"/>
    <xf numFmtId="0" fontId="3" fillId="0" borderId="18" xfId="12" applyBorder="1"/>
    <xf numFmtId="0" fontId="3" fillId="0" borderId="19" xfId="12" applyBorder="1"/>
    <xf numFmtId="0" fontId="3" fillId="0" borderId="20" xfId="12" applyBorder="1"/>
    <xf numFmtId="0" fontId="3" fillId="0" borderId="21" xfId="12" applyBorder="1"/>
    <xf numFmtId="0" fontId="3" fillId="18" borderId="0" xfId="12" applyFill="1"/>
    <xf numFmtId="0" fontId="3" fillId="0" borderId="0" xfId="13"/>
    <xf numFmtId="0" fontId="3" fillId="0" borderId="0" xfId="13" applyFill="1" applyBorder="1"/>
    <xf numFmtId="0" fontId="3" fillId="18" borderId="17" xfId="12" applyFill="1" applyBorder="1"/>
    <xf numFmtId="10" fontId="3" fillId="18" borderId="17" xfId="12" applyNumberFormat="1" applyFill="1" applyBorder="1"/>
    <xf numFmtId="10" fontId="3" fillId="18" borderId="20" xfId="12" applyNumberFormat="1" applyFill="1" applyBorder="1"/>
    <xf numFmtId="10" fontId="3" fillId="18" borderId="21" xfId="12" applyNumberFormat="1" applyFill="1" applyBorder="1"/>
    <xf numFmtId="0" fontId="3" fillId="19" borderId="0" xfId="12" applyFill="1"/>
    <xf numFmtId="0" fontId="3" fillId="18" borderId="22" xfId="12" applyFill="1" applyBorder="1"/>
    <xf numFmtId="10" fontId="3" fillId="18" borderId="22" xfId="12" applyNumberFormat="1" applyFill="1" applyBorder="1"/>
    <xf numFmtId="10" fontId="3" fillId="18" borderId="0" xfId="12" applyNumberFormat="1" applyFill="1"/>
    <xf numFmtId="10" fontId="3" fillId="18" borderId="23" xfId="12" applyNumberFormat="1" applyFill="1" applyBorder="1"/>
    <xf numFmtId="0" fontId="3" fillId="20" borderId="1" xfId="13" applyFill="1" applyBorder="1" applyAlignment="1">
      <alignment horizontal="left"/>
    </xf>
    <xf numFmtId="0" fontId="3" fillId="20" borderId="1" xfId="13" applyFill="1" applyBorder="1"/>
    <xf numFmtId="0" fontId="3" fillId="20" borderId="1" xfId="13" applyFill="1" applyBorder="1" applyAlignment="1">
      <alignment horizontal="center"/>
    </xf>
    <xf numFmtId="0" fontId="3" fillId="21" borderId="0" xfId="13" applyFill="1"/>
    <xf numFmtId="0" fontId="3" fillId="0" borderId="1" xfId="13" applyFill="1" applyBorder="1" applyAlignment="1">
      <alignment horizontal="left"/>
    </xf>
    <xf numFmtId="171" fontId="3" fillId="16" borderId="1" xfId="3" applyNumberFormat="1" applyFont="1" applyFill="1" applyBorder="1"/>
    <xf numFmtId="171" fontId="3" fillId="16" borderId="4" xfId="3" applyNumberFormat="1" applyFont="1" applyFill="1" applyBorder="1" applyAlignment="1">
      <alignment horizontal="center"/>
    </xf>
    <xf numFmtId="0" fontId="3" fillId="22" borderId="1" xfId="13" applyFill="1" applyBorder="1"/>
    <xf numFmtId="0" fontId="3" fillId="22" borderId="13" xfId="13" applyFill="1" applyBorder="1"/>
    <xf numFmtId="0" fontId="3" fillId="22" borderId="14" xfId="13" applyFill="1" applyBorder="1"/>
    <xf numFmtId="0" fontId="3" fillId="0" borderId="22" xfId="12" applyBorder="1"/>
    <xf numFmtId="10" fontId="3" fillId="0" borderId="22" xfId="12" applyNumberFormat="1" applyBorder="1"/>
    <xf numFmtId="10" fontId="3" fillId="0" borderId="0" xfId="12" applyNumberFormat="1"/>
    <xf numFmtId="10" fontId="3" fillId="0" borderId="23" xfId="12" applyNumberFormat="1" applyBorder="1"/>
    <xf numFmtId="0" fontId="3" fillId="16" borderId="0" xfId="13" applyFill="1"/>
    <xf numFmtId="0" fontId="3" fillId="0" borderId="24" xfId="12" applyBorder="1"/>
    <xf numFmtId="10" fontId="3" fillId="0" borderId="24" xfId="12" applyNumberFormat="1" applyBorder="1"/>
    <xf numFmtId="10" fontId="3" fillId="0" borderId="25" xfId="12" applyNumberFormat="1" applyBorder="1"/>
    <xf numFmtId="10" fontId="3" fillId="0" borderId="16" xfId="12" applyNumberFormat="1" applyBorder="1"/>
    <xf numFmtId="10" fontId="3" fillId="21" borderId="0" xfId="12" applyNumberFormat="1" applyFill="1"/>
    <xf numFmtId="0" fontId="3" fillId="0" borderId="0" xfId="12" applyFont="1"/>
    <xf numFmtId="9" fontId="3" fillId="23" borderId="0" xfId="3" applyFont="1" applyFill="1"/>
    <xf numFmtId="9" fontId="3" fillId="0" borderId="0" xfId="3" applyFont="1"/>
    <xf numFmtId="9" fontId="3" fillId="0" borderId="0" xfId="12" applyNumberFormat="1"/>
    <xf numFmtId="0" fontId="3" fillId="0" borderId="17" xfId="12" applyBorder="1" applyAlignment="1">
      <alignment wrapText="1"/>
    </xf>
    <xf numFmtId="0" fontId="3" fillId="0" borderId="20" xfId="12" applyBorder="1" applyAlignment="1">
      <alignment wrapText="1"/>
    </xf>
    <xf numFmtId="0" fontId="3" fillId="0" borderId="21" xfId="12" applyBorder="1" applyAlignment="1">
      <alignment wrapText="1"/>
    </xf>
    <xf numFmtId="0" fontId="4" fillId="0" borderId="0" xfId="12" applyFont="1"/>
    <xf numFmtId="0" fontId="3" fillId="22" borderId="1" xfId="12" applyFill="1" applyBorder="1" applyAlignment="1">
      <alignment wrapText="1"/>
    </xf>
    <xf numFmtId="0" fontId="3" fillId="0" borderId="0" xfId="12" applyFill="1" applyBorder="1"/>
    <xf numFmtId="165" fontId="3" fillId="0" borderId="0" xfId="12" applyNumberFormat="1" applyAlignment="1">
      <alignment horizontal="center"/>
    </xf>
    <xf numFmtId="171" fontId="3" fillId="0" borderId="0" xfId="3" applyNumberFormat="1" applyFont="1" applyAlignment="1">
      <alignment horizontal="center"/>
    </xf>
    <xf numFmtId="2" fontId="3" fillId="0" borderId="0" xfId="12" applyNumberFormat="1"/>
    <xf numFmtId="165" fontId="3" fillId="0" borderId="0" xfId="12" applyNumberFormat="1"/>
    <xf numFmtId="172" fontId="3" fillId="0" borderId="0" xfId="12" applyNumberFormat="1"/>
    <xf numFmtId="44" fontId="3" fillId="0" borderId="0" xfId="2" applyFont="1"/>
    <xf numFmtId="0" fontId="3" fillId="0" borderId="0" xfId="12" applyFont="1" applyFill="1" applyBorder="1"/>
    <xf numFmtId="165" fontId="3" fillId="4" borderId="0" xfId="12" applyNumberFormat="1" applyFill="1"/>
    <xf numFmtId="0" fontId="0" fillId="0" borderId="0" xfId="0" applyFill="1" applyBorder="1" applyAlignment="1">
      <alignment horizontal="center" wrapText="1"/>
    </xf>
    <xf numFmtId="0" fontId="0" fillId="0" borderId="0" xfId="0" applyFill="1" applyBorder="1" applyAlignment="1"/>
    <xf numFmtId="0" fontId="19" fillId="0" borderId="0" xfId="0" applyFont="1"/>
    <xf numFmtId="3" fontId="3" fillId="0" borderId="0" xfId="12" applyNumberFormat="1"/>
    <xf numFmtId="0" fontId="3" fillId="0" borderId="0" xfId="12" quotePrefix="1"/>
    <xf numFmtId="171" fontId="0" fillId="0" borderId="0" xfId="0" applyNumberFormat="1"/>
    <xf numFmtId="9" fontId="0" fillId="0" borderId="0" xfId="3" applyFont="1" applyFill="1" applyBorder="1"/>
    <xf numFmtId="0" fontId="0" fillId="9" borderId="1" xfId="0" applyFont="1" applyFill="1" applyBorder="1" applyAlignment="1">
      <alignment horizontal="center" wrapText="1"/>
    </xf>
    <xf numFmtId="0" fontId="0" fillId="9" borderId="1" xfId="0" applyFill="1" applyBorder="1" applyAlignment="1">
      <alignment horizontal="center" wrapText="1"/>
    </xf>
    <xf numFmtId="1" fontId="0" fillId="9" borderId="1" xfId="0" applyNumberFormat="1" applyFill="1" applyBorder="1" applyAlignment="1">
      <alignment horizontal="center" wrapText="1"/>
    </xf>
    <xf numFmtId="9" fontId="7" fillId="24" borderId="0" xfId="12" applyNumberFormat="1" applyFont="1" applyFill="1"/>
    <xf numFmtId="10" fontId="7" fillId="24" borderId="0" xfId="12" applyNumberFormat="1" applyFont="1" applyFill="1"/>
    <xf numFmtId="9" fontId="7" fillId="24" borderId="0" xfId="3" applyFont="1" applyFill="1"/>
    <xf numFmtId="171" fontId="4" fillId="0" borderId="0" xfId="3" applyNumberFormat="1" applyFont="1" applyFill="1"/>
    <xf numFmtId="171" fontId="3" fillId="0" borderId="0" xfId="3" applyNumberFormat="1" applyFont="1" applyFill="1"/>
    <xf numFmtId="0" fontId="3" fillId="0" borderId="0" xfId="14" applyFill="1" applyBorder="1"/>
    <xf numFmtId="0" fontId="3" fillId="3" borderId="1" xfId="14" applyFill="1" applyBorder="1" applyAlignment="1">
      <alignment wrapText="1"/>
    </xf>
    <xf numFmtId="0" fontId="3" fillId="0" borderId="0" xfId="7" applyFill="1"/>
    <xf numFmtId="0" fontId="3" fillId="0" borderId="0" xfId="14" applyFill="1"/>
    <xf numFmtId="2" fontId="3" fillId="0" borderId="0" xfId="7" applyNumberFormat="1" applyFill="1" applyBorder="1" applyAlignment="1">
      <alignment horizontal="center"/>
    </xf>
    <xf numFmtId="0" fontId="20" fillId="0" borderId="0" xfId="0" applyFont="1"/>
    <xf numFmtId="0" fontId="4" fillId="2" borderId="0" xfId="14" applyFont="1" applyFill="1"/>
    <xf numFmtId="0" fontId="7" fillId="17" borderId="0" xfId="0" applyFont="1" applyFill="1" applyAlignment="1">
      <alignment horizontal="center"/>
    </xf>
    <xf numFmtId="0" fontId="0" fillId="3" borderId="1" xfId="0" applyFill="1" applyBorder="1" applyAlignment="1">
      <alignment wrapText="1"/>
    </xf>
    <xf numFmtId="43" fontId="3" fillId="0" borderId="0" xfId="1" applyFont="1" applyFill="1"/>
    <xf numFmtId="0" fontId="3" fillId="0" borderId="0" xfId="0" applyFont="1" applyAlignment="1">
      <alignment horizontal="right" readingOrder="1"/>
    </xf>
    <xf numFmtId="164" fontId="7" fillId="0" borderId="0" xfId="1" applyNumberFormat="1" applyFont="1" applyFill="1">
      <alignment readingOrder="1"/>
    </xf>
    <xf numFmtId="9" fontId="0" fillId="0" borderId="0" xfId="0" applyNumberFormat="1" applyFill="1">
      <alignment readingOrder="1"/>
    </xf>
    <xf numFmtId="0" fontId="8" fillId="3" borderId="5" xfId="0" applyFont="1" applyFill="1" applyBorder="1" applyAlignment="1">
      <alignment horizontal="center"/>
    </xf>
    <xf numFmtId="0" fontId="8" fillId="3" borderId="10" xfId="0" applyFont="1" applyFill="1" applyBorder="1" applyAlignment="1">
      <alignment horizontal="center"/>
    </xf>
    <xf numFmtId="2" fontId="0" fillId="0" borderId="0" xfId="0" applyNumberFormat="1" applyFill="1" applyAlignment="1">
      <alignment horizontal="center" readingOrder="1"/>
    </xf>
    <xf numFmtId="0" fontId="2" fillId="9" borderId="1" xfId="0" applyFont="1" applyFill="1" applyBorder="1" applyAlignment="1">
      <alignment horizontal="center"/>
    </xf>
    <xf numFmtId="0" fontId="3" fillId="2" borderId="0" xfId="12" applyFill="1"/>
    <xf numFmtId="0" fontId="3" fillId="2" borderId="0" xfId="12" applyFill="1" applyAlignment="1">
      <alignment wrapText="1"/>
    </xf>
    <xf numFmtId="0" fontId="3" fillId="2" borderId="0" xfId="12" applyFont="1" applyFill="1"/>
    <xf numFmtId="0" fontId="3" fillId="2" borderId="0" xfId="14" applyFont="1" applyFill="1"/>
    <xf numFmtId="9" fontId="3" fillId="0" borderId="0" xfId="3" applyNumberFormat="1" applyFont="1" applyFill="1" applyBorder="1" applyAlignment="1">
      <alignment horizontal="center"/>
    </xf>
    <xf numFmtId="0" fontId="0" fillId="0" borderId="0" xfId="0" applyFill="1"/>
    <xf numFmtId="164" fontId="0" fillId="0" borderId="0" xfId="0" applyNumberFormat="1"/>
    <xf numFmtId="166" fontId="0" fillId="0" borderId="0" xfId="1" applyNumberFormat="1" applyFont="1" applyFill="1" applyBorder="1"/>
    <xf numFmtId="164" fontId="0" fillId="0" borderId="0" xfId="1" applyNumberFormat="1" applyFont="1" applyFill="1" applyBorder="1"/>
    <xf numFmtId="164" fontId="0" fillId="0" borderId="0" xfId="0" applyNumberFormat="1" applyFill="1" applyBorder="1"/>
    <xf numFmtId="43" fontId="0" fillId="0" borderId="0" xfId="0" applyNumberFormat="1" applyFill="1" applyBorder="1"/>
    <xf numFmtId="43" fontId="0" fillId="0" borderId="0" xfId="0" applyNumberFormat="1" applyFill="1" applyBorder="1" applyAlignment="1"/>
    <xf numFmtId="0" fontId="0" fillId="0" borderId="0" xfId="0" applyFill="1" applyBorder="1" applyAlignment="1">
      <alignment wrapText="1"/>
    </xf>
    <xf numFmtId="0" fontId="7" fillId="0" borderId="0" xfId="0" applyFont="1" applyFill="1" applyBorder="1" applyAlignment="1">
      <alignment wrapText="1"/>
    </xf>
    <xf numFmtId="0" fontId="7" fillId="0" borderId="0" xfId="0" applyFont="1" applyFill="1" applyBorder="1" applyAlignment="1">
      <alignment horizontal="center" wrapText="1"/>
    </xf>
    <xf numFmtId="0" fontId="0" fillId="0" borderId="0" xfId="0" applyFill="1" applyBorder="1">
      <alignment readingOrder="1"/>
    </xf>
    <xf numFmtId="43" fontId="0" fillId="0" borderId="0" xfId="1" applyFont="1" applyFill="1" applyBorder="1"/>
    <xf numFmtId="0" fontId="6" fillId="0" borderId="0" xfId="0" applyFont="1" applyFill="1" applyBorder="1">
      <alignment readingOrder="1"/>
    </xf>
    <xf numFmtId="0" fontId="7" fillId="0" borderId="0" xfId="0" applyFont="1" applyFill="1" applyBorder="1"/>
    <xf numFmtId="0" fontId="2" fillId="0" borderId="0" xfId="0" applyFont="1"/>
    <xf numFmtId="9" fontId="2" fillId="0" borderId="0" xfId="0" applyNumberFormat="1" applyFont="1"/>
    <xf numFmtId="9" fontId="13" fillId="0" borderId="0" xfId="0" applyNumberFormat="1" applyFont="1"/>
    <xf numFmtId="164" fontId="21" fillId="0" borderId="0" xfId="1" applyNumberFormat="1" applyFont="1"/>
    <xf numFmtId="14" fontId="0" fillId="0" borderId="1" xfId="0" applyNumberFormat="1" applyBorder="1"/>
    <xf numFmtId="0" fontId="22" fillId="25" borderId="2" xfId="0" applyFont="1" applyFill="1" applyBorder="1" applyAlignment="1">
      <alignment horizontal="left" wrapText="1" readingOrder="1"/>
    </xf>
    <xf numFmtId="0" fontId="22" fillId="25" borderId="4" xfId="0" applyFont="1" applyFill="1" applyBorder="1" applyAlignment="1">
      <alignment horizontal="center" wrapText="1" readingOrder="1"/>
    </xf>
    <xf numFmtId="0" fontId="22" fillId="26" borderId="2" xfId="0" applyFont="1" applyFill="1" applyBorder="1" applyAlignment="1">
      <alignment horizontal="left" readingOrder="1"/>
    </xf>
    <xf numFmtId="0" fontId="22" fillId="26" borderId="3" xfId="0" applyFont="1" applyFill="1" applyBorder="1" applyAlignment="1">
      <alignment horizontal="center" wrapText="1" readingOrder="1"/>
    </xf>
    <xf numFmtId="0" fontId="22" fillId="26" borderId="4" xfId="0" applyFont="1" applyFill="1" applyBorder="1" applyAlignment="1">
      <alignment horizontal="center" wrapText="1" readingOrder="1"/>
    </xf>
    <xf numFmtId="0" fontId="0" fillId="0" borderId="26" xfId="0" applyBorder="1">
      <alignment readingOrder="1"/>
    </xf>
    <xf numFmtId="0" fontId="0" fillId="0" borderId="27" xfId="0" applyBorder="1">
      <alignment readingOrder="1"/>
    </xf>
    <xf numFmtId="0" fontId="0" fillId="0" borderId="28" xfId="0" applyBorder="1">
      <alignment readingOrder="1"/>
    </xf>
    <xf numFmtId="0" fontId="0" fillId="0" borderId="29" xfId="0" applyBorder="1">
      <alignment readingOrder="1"/>
    </xf>
    <xf numFmtId="0" fontId="0" fillId="0" borderId="0" xfId="0" applyBorder="1">
      <alignment readingOrder="1"/>
    </xf>
    <xf numFmtId="0" fontId="0" fillId="0" borderId="30" xfId="0" applyBorder="1">
      <alignment readingOrder="1"/>
    </xf>
    <xf numFmtId="0" fontId="0" fillId="0" borderId="31" xfId="0" applyBorder="1">
      <alignment readingOrder="1"/>
    </xf>
    <xf numFmtId="0" fontId="0" fillId="0" borderId="32" xfId="0" applyBorder="1">
      <alignment readingOrder="1"/>
    </xf>
    <xf numFmtId="0" fontId="0" fillId="0" borderId="33" xfId="0" applyBorder="1">
      <alignment readingOrder="1"/>
    </xf>
    <xf numFmtId="0" fontId="9" fillId="27" borderId="34" xfId="0" applyFont="1" applyFill="1" applyBorder="1" applyAlignment="1">
      <alignment horizontal="centerContinuous" wrapText="1" readingOrder="1"/>
    </xf>
    <xf numFmtId="0" fontId="9" fillId="27" borderId="35" xfId="0" applyFont="1" applyFill="1" applyBorder="1" applyAlignment="1">
      <alignment horizontal="centerContinuous" wrapText="1" readingOrder="1"/>
    </xf>
    <xf numFmtId="165" fontId="9" fillId="27" borderId="34" xfId="0" applyNumberFormat="1" applyFont="1" applyFill="1" applyBorder="1" applyAlignment="1">
      <alignment horizontal="centerContinuous" wrapText="1" readingOrder="1"/>
    </xf>
    <xf numFmtId="165" fontId="9" fillId="27" borderId="36" xfId="0" applyNumberFormat="1" applyFont="1" applyFill="1" applyBorder="1" applyAlignment="1">
      <alignment horizontal="centerContinuous" wrapText="1" readingOrder="1"/>
    </xf>
    <xf numFmtId="165" fontId="9" fillId="27" borderId="35" xfId="0" applyNumberFormat="1" applyFont="1" applyFill="1" applyBorder="1" applyAlignment="1">
      <alignment horizontal="centerContinuous" wrapText="1" readingOrder="1"/>
    </xf>
    <xf numFmtId="165" fontId="9" fillId="27" borderId="3" xfId="0" applyNumberFormat="1" applyFont="1" applyFill="1" applyBorder="1" applyAlignment="1">
      <alignment horizontal="center" wrapText="1" readingOrder="1"/>
    </xf>
    <xf numFmtId="0" fontId="9" fillId="22" borderId="1" xfId="0" applyFont="1" applyFill="1" applyBorder="1" applyAlignment="1">
      <alignment horizontal="center" wrapText="1" readingOrder="1"/>
    </xf>
    <xf numFmtId="0" fontId="9" fillId="22" borderId="4" xfId="0" applyFont="1" applyFill="1" applyBorder="1" applyAlignment="1">
      <alignment horizontal="center" wrapText="1" readingOrder="1"/>
    </xf>
    <xf numFmtId="165" fontId="9" fillId="22" borderId="4" xfId="0" applyNumberFormat="1" applyFont="1" applyFill="1" applyBorder="1" applyAlignment="1">
      <alignment horizontal="center" wrapText="1" readingOrder="1"/>
    </xf>
    <xf numFmtId="173" fontId="9" fillId="22" borderId="4" xfId="0" applyNumberFormat="1" applyFont="1" applyFill="1" applyBorder="1" applyAlignment="1">
      <alignment horizontal="center" wrapText="1" readingOrder="1"/>
    </xf>
    <xf numFmtId="165" fontId="16" fillId="0" borderId="0" xfId="0" applyNumberFormat="1" applyFont="1">
      <alignment readingOrder="1"/>
    </xf>
    <xf numFmtId="165" fontId="23" fillId="0" borderId="0" xfId="0" applyNumberFormat="1" applyFont="1">
      <alignment readingOrder="1"/>
    </xf>
    <xf numFmtId="0" fontId="9" fillId="28" borderId="34" xfId="0" applyFont="1" applyFill="1" applyBorder="1" applyAlignment="1">
      <alignment horizontal="centerContinuous" wrapText="1" readingOrder="1"/>
    </xf>
    <xf numFmtId="0" fontId="9" fillId="28" borderId="36" xfId="0" applyFont="1" applyFill="1" applyBorder="1" applyAlignment="1">
      <alignment horizontal="centerContinuous" wrapText="1" readingOrder="1"/>
    </xf>
    <xf numFmtId="165" fontId="9" fillId="28" borderId="36" xfId="0" applyNumberFormat="1" applyFont="1" applyFill="1" applyBorder="1" applyAlignment="1">
      <alignment horizontal="centerContinuous" wrapText="1" readingOrder="1"/>
    </xf>
    <xf numFmtId="165" fontId="9" fillId="28" borderId="35" xfId="0" applyNumberFormat="1" applyFont="1" applyFill="1" applyBorder="1" applyAlignment="1">
      <alignment horizontal="centerContinuous" wrapText="1" readingOrder="1"/>
    </xf>
    <xf numFmtId="165" fontId="9" fillId="28" borderId="3" xfId="0" applyNumberFormat="1" applyFont="1" applyFill="1" applyBorder="1" applyAlignment="1">
      <alignment horizontal="center" wrapText="1" readingOrder="1"/>
    </xf>
    <xf numFmtId="165" fontId="9" fillId="28" borderId="34" xfId="0" applyNumberFormat="1" applyFont="1" applyFill="1" applyBorder="1" applyAlignment="1">
      <alignment horizontal="centerContinuous" wrapText="1" readingOrder="1"/>
    </xf>
    <xf numFmtId="0" fontId="4" fillId="0" borderId="0" xfId="0" applyFont="1">
      <alignment readingOrder="1"/>
    </xf>
    <xf numFmtId="174" fontId="4" fillId="0" borderId="0" xfId="0" applyNumberFormat="1" applyFont="1">
      <alignment readingOrder="1"/>
    </xf>
    <xf numFmtId="174" fontId="0" fillId="0" borderId="0" xfId="0" applyNumberFormat="1">
      <alignment readingOrder="1"/>
    </xf>
    <xf numFmtId="174" fontId="23" fillId="0" borderId="0" xfId="0" applyNumberFormat="1" applyFont="1">
      <alignment readingOrder="1"/>
    </xf>
    <xf numFmtId="0" fontId="9" fillId="28" borderId="1" xfId="0" applyFont="1" applyFill="1" applyBorder="1" applyAlignment="1">
      <alignment horizontal="center" wrapText="1" readingOrder="1"/>
    </xf>
    <xf numFmtId="0" fontId="9" fillId="28" borderId="4" xfId="0" applyFont="1" applyFill="1" applyBorder="1" applyAlignment="1">
      <alignment horizontal="center" wrapText="1" readingOrder="1"/>
    </xf>
    <xf numFmtId="165" fontId="9" fillId="28" borderId="4" xfId="0" applyNumberFormat="1" applyFont="1" applyFill="1" applyBorder="1" applyAlignment="1">
      <alignment horizontal="center" wrapText="1" readingOrder="1"/>
    </xf>
    <xf numFmtId="165" fontId="9" fillId="28" borderId="37" xfId="0" applyNumberFormat="1" applyFont="1" applyFill="1" applyBorder="1" applyAlignment="1">
      <alignment horizontal="centerContinuous" wrapText="1" readingOrder="1"/>
    </xf>
    <xf numFmtId="165" fontId="9" fillId="28" borderId="38" xfId="0" applyNumberFormat="1" applyFont="1" applyFill="1" applyBorder="1" applyAlignment="1">
      <alignment horizontal="centerContinuous" wrapText="1" readingOrder="1"/>
    </xf>
    <xf numFmtId="175" fontId="3" fillId="0" borderId="0" xfId="1" applyNumberFormat="1" applyFont="1" applyFill="1"/>
    <xf numFmtId="0" fontId="25" fillId="0" borderId="0" xfId="15"/>
    <xf numFmtId="43" fontId="0" fillId="0" borderId="0" xfId="0" applyNumberFormat="1">
      <alignment readingOrder="1"/>
    </xf>
    <xf numFmtId="0" fontId="3" fillId="3" borderId="0" xfId="14" applyFill="1" applyBorder="1"/>
    <xf numFmtId="0" fontId="3" fillId="3" borderId="0" xfId="14" applyFill="1"/>
    <xf numFmtId="0" fontId="3" fillId="3" borderId="0" xfId="7" applyFont="1" applyFill="1"/>
    <xf numFmtId="0" fontId="3" fillId="3" borderId="0" xfId="7" applyFont="1" applyFill="1" applyBorder="1"/>
    <xf numFmtId="167" fontId="3" fillId="3" borderId="0" xfId="7" applyNumberFormat="1" applyFont="1" applyFill="1" applyBorder="1"/>
    <xf numFmtId="9" fontId="3" fillId="3" borderId="0" xfId="3" applyNumberFormat="1" applyFont="1" applyFill="1" applyBorder="1"/>
    <xf numFmtId="2" fontId="3" fillId="3" borderId="0" xfId="7" applyNumberFormat="1" applyFill="1" applyBorder="1" applyAlignment="1">
      <alignment horizontal="center"/>
    </xf>
    <xf numFmtId="0" fontId="3" fillId="3" borderId="0" xfId="7" applyFill="1" applyBorder="1" applyAlignment="1">
      <alignment horizontal="center"/>
    </xf>
    <xf numFmtId="9" fontId="3" fillId="3" borderId="0" xfId="3" applyNumberFormat="1" applyFont="1" applyFill="1" applyBorder="1" applyAlignment="1">
      <alignment horizontal="center"/>
    </xf>
    <xf numFmtId="43" fontId="3" fillId="3" borderId="0" xfId="1" applyFont="1" applyFill="1"/>
    <xf numFmtId="0" fontId="0" fillId="3" borderId="0" xfId="0" applyFill="1"/>
    <xf numFmtId="164" fontId="2" fillId="0" borderId="0" xfId="1" applyNumberFormat="1" applyFont="1"/>
    <xf numFmtId="0" fontId="0" fillId="29" borderId="0" xfId="0" applyFill="1" applyAlignment="1">
      <alignment wrapText="1"/>
    </xf>
    <xf numFmtId="9" fontId="0" fillId="29" borderId="0" xfId="3" applyFont="1" applyFill="1"/>
    <xf numFmtId="2" fontId="3" fillId="7" borderId="0" xfId="1" applyNumberFormat="1" applyFont="1" applyFill="1" applyAlignment="1">
      <alignment horizontal="center" readingOrder="1"/>
    </xf>
    <xf numFmtId="0" fontId="26" fillId="3" borderId="1" xfId="16" applyFill="1" applyBorder="1" applyAlignment="1"/>
    <xf numFmtId="0" fontId="26" fillId="3" borderId="1" xfId="16" applyFill="1" applyBorder="1" applyAlignment="1">
      <alignment wrapText="1"/>
    </xf>
    <xf numFmtId="0" fontId="9" fillId="0" borderId="0" xfId="17" applyFont="1" applyAlignment="1"/>
    <xf numFmtId="165" fontId="9" fillId="0" borderId="0" xfId="18" applyNumberFormat="1" applyFont="1" applyAlignment="1"/>
    <xf numFmtId="43" fontId="3" fillId="0" borderId="0" xfId="1" applyFont="1"/>
    <xf numFmtId="43" fontId="3" fillId="0" borderId="0" xfId="12" applyNumberFormat="1"/>
    <xf numFmtId="0" fontId="26" fillId="0" borderId="0" xfId="17" applyAlignment="1"/>
    <xf numFmtId="9" fontId="7" fillId="5" borderId="0" xfId="3" applyFont="1" applyFill="1"/>
    <xf numFmtId="9" fontId="7" fillId="6" borderId="0" xfId="0" applyNumberFormat="1" applyFont="1" applyFill="1">
      <alignment readingOrder="1"/>
    </xf>
    <xf numFmtId="0" fontId="8" fillId="31" borderId="39" xfId="0" applyFont="1" applyFill="1" applyBorder="1"/>
    <xf numFmtId="0" fontId="8" fillId="32" borderId="39" xfId="0" applyFont="1" applyFill="1" applyBorder="1" applyAlignment="1">
      <alignment horizontal="center" vertical="center"/>
    </xf>
    <xf numFmtId="0" fontId="0" fillId="0" borderId="0" xfId="0" applyAlignment="1">
      <alignment horizontal="left" indent="1"/>
    </xf>
    <xf numFmtId="1" fontId="0" fillId="32" borderId="0" xfId="0" applyNumberFormat="1" applyFill="1" applyAlignment="1">
      <alignment horizontal="center" vertical="center"/>
    </xf>
    <xf numFmtId="1" fontId="0" fillId="0" borderId="0" xfId="0" applyNumberFormat="1" applyFill="1" applyBorder="1"/>
    <xf numFmtId="0" fontId="8" fillId="32" borderId="0" xfId="0" applyFont="1" applyFill="1" applyBorder="1" applyAlignment="1">
      <alignment horizontal="center" vertical="center"/>
    </xf>
    <xf numFmtId="0" fontId="2" fillId="0" borderId="0" xfId="0" applyFont="1" applyFill="1" applyBorder="1" applyAlignment="1">
      <alignment horizontal="right"/>
    </xf>
    <xf numFmtId="9" fontId="2" fillId="0" borderId="0" xfId="3" applyFont="1" applyFill="1" applyBorder="1"/>
    <xf numFmtId="9" fontId="13" fillId="7" borderId="0" xfId="3" applyFont="1" applyFill="1"/>
    <xf numFmtId="0" fontId="13" fillId="7" borderId="0" xfId="12" applyFont="1" applyFill="1"/>
    <xf numFmtId="0" fontId="13" fillId="7" borderId="0" xfId="0" applyFont="1" applyFill="1" applyBorder="1"/>
    <xf numFmtId="0" fontId="0" fillId="0" borderId="0" xfId="0" applyFill="1" applyBorder="1" applyAlignment="1">
      <alignment horizontal="right"/>
    </xf>
    <xf numFmtId="9" fontId="3" fillId="0" borderId="0" xfId="3" applyFont="1" applyFill="1" applyAlignment="1">
      <alignment horizontal="center" readingOrder="1"/>
    </xf>
    <xf numFmtId="165" fontId="4" fillId="0" borderId="0" xfId="0" applyNumberFormat="1" applyFont="1">
      <alignment readingOrder="1"/>
    </xf>
    <xf numFmtId="44" fontId="3" fillId="0" borderId="0" xfId="12" applyNumberFormat="1"/>
    <xf numFmtId="0" fontId="10" fillId="0" borderId="0" xfId="0" applyFont="1" applyFill="1" applyAlignment="1">
      <alignment horizontal="center" wrapText="1"/>
    </xf>
    <xf numFmtId="44" fontId="4" fillId="0" borderId="0" xfId="2" applyFont="1"/>
    <xf numFmtId="44" fontId="0" fillId="0" borderId="0" xfId="0" applyNumberFormat="1"/>
    <xf numFmtId="0" fontId="3" fillId="0" borderId="40" xfId="19" applyBorder="1"/>
    <xf numFmtId="164" fontId="3" fillId="0" borderId="40" xfId="19" applyNumberFormat="1" applyBorder="1"/>
    <xf numFmtId="164" fontId="3" fillId="0" borderId="41" xfId="19" applyNumberFormat="1" applyBorder="1"/>
    <xf numFmtId="44" fontId="3" fillId="0" borderId="41" xfId="20" applyFont="1" applyBorder="1"/>
    <xf numFmtId="44" fontId="3" fillId="0" borderId="42" xfId="20" applyFont="1" applyBorder="1"/>
    <xf numFmtId="164" fontId="3" fillId="0" borderId="43" xfId="19" applyNumberFormat="1" applyBorder="1"/>
    <xf numFmtId="44" fontId="3" fillId="0" borderId="43" xfId="20" applyFont="1" applyBorder="1"/>
    <xf numFmtId="44" fontId="3" fillId="0" borderId="44" xfId="20" applyFont="1" applyBorder="1"/>
    <xf numFmtId="164" fontId="3" fillId="0" borderId="45" xfId="19" applyNumberFormat="1" applyBorder="1"/>
    <xf numFmtId="164" fontId="3" fillId="0" borderId="0" xfId="19" applyNumberFormat="1"/>
    <xf numFmtId="44" fontId="0" fillId="0" borderId="0" xfId="20" applyFont="1"/>
    <xf numFmtId="44" fontId="3" fillId="0" borderId="46" xfId="20" applyFont="1" applyBorder="1"/>
    <xf numFmtId="0" fontId="4" fillId="0" borderId="47" xfId="19" applyFont="1" applyBorder="1"/>
    <xf numFmtId="164" fontId="4" fillId="0" borderId="47" xfId="19" applyNumberFormat="1" applyFont="1" applyBorder="1"/>
    <xf numFmtId="164" fontId="4" fillId="0" borderId="48" xfId="19" applyNumberFormat="1" applyFont="1" applyBorder="1"/>
    <xf numFmtId="44" fontId="4" fillId="0" borderId="48" xfId="20" applyFont="1" applyBorder="1"/>
    <xf numFmtId="44" fontId="4" fillId="0" borderId="49" xfId="20" applyFont="1" applyBorder="1"/>
    <xf numFmtId="0" fontId="30" fillId="0" borderId="0" xfId="0" applyFont="1"/>
    <xf numFmtId="0" fontId="11" fillId="0" borderId="0" xfId="0" applyFont="1"/>
    <xf numFmtId="0" fontId="4" fillId="0" borderId="0" xfId="0" applyFont="1"/>
    <xf numFmtId="0" fontId="29" fillId="0" borderId="50" xfId="0" applyFont="1" applyBorder="1" applyAlignment="1">
      <alignment horizontal="left" vertical="top" wrapText="1" indent="5"/>
    </xf>
    <xf numFmtId="0" fontId="29" fillId="0" borderId="50" xfId="0" applyFont="1" applyBorder="1" applyAlignment="1">
      <alignment vertical="top" wrapText="1"/>
    </xf>
    <xf numFmtId="0" fontId="28" fillId="0" borderId="0" xfId="0" applyFont="1" applyAlignment="1">
      <alignment vertical="top" wrapText="1"/>
    </xf>
    <xf numFmtId="9" fontId="28" fillId="0" borderId="0" xfId="0" applyNumberFormat="1" applyFont="1" applyAlignment="1">
      <alignment vertical="top" wrapText="1"/>
    </xf>
    <xf numFmtId="0" fontId="28" fillId="0" borderId="51" xfId="0" applyFont="1" applyBorder="1" applyAlignment="1">
      <alignment vertical="top" wrapText="1"/>
    </xf>
    <xf numFmtId="0" fontId="28" fillId="33" borderId="0" xfId="0" applyFont="1" applyFill="1" applyAlignment="1">
      <alignment vertical="top" wrapText="1"/>
    </xf>
    <xf numFmtId="0" fontId="2" fillId="3" borderId="0" xfId="0" applyFont="1" applyFill="1" applyAlignment="1">
      <alignment wrapText="1"/>
    </xf>
    <xf numFmtId="0" fontId="2" fillId="3" borderId="0" xfId="0" applyFont="1" applyFill="1"/>
    <xf numFmtId="0" fontId="2" fillId="34" borderId="0" xfId="0" applyFont="1" applyFill="1"/>
    <xf numFmtId="0" fontId="2" fillId="34" borderId="0" xfId="0" applyFont="1" applyFill="1" applyAlignment="1">
      <alignment horizontal="right"/>
    </xf>
    <xf numFmtId="9" fontId="2" fillId="34" borderId="0" xfId="3" applyFont="1" applyFill="1"/>
    <xf numFmtId="3" fontId="0" fillId="35" borderId="0" xfId="0" applyNumberFormat="1" applyFill="1"/>
    <xf numFmtId="0" fontId="0" fillId="35" borderId="0" xfId="0" applyFill="1"/>
    <xf numFmtId="0" fontId="2" fillId="35" borderId="0" xfId="0" applyFont="1" applyFill="1"/>
    <xf numFmtId="0" fontId="3" fillId="0" borderId="40" xfId="19" applyBorder="1" applyAlignment="1">
      <alignment horizontal="center"/>
    </xf>
    <xf numFmtId="0" fontId="3" fillId="0" borderId="45" xfId="19" applyBorder="1" applyAlignment="1">
      <alignment horizontal="center"/>
    </xf>
    <xf numFmtId="0" fontId="2" fillId="29" borderId="0" xfId="0" applyFont="1" applyFill="1"/>
    <xf numFmtId="0" fontId="0" fillId="29" borderId="0" xfId="0" applyFill="1"/>
    <xf numFmtId="0" fontId="8" fillId="3" borderId="6" xfId="0" applyFont="1" applyFill="1" applyBorder="1"/>
    <xf numFmtId="0" fontId="8" fillId="3" borderId="7" xfId="0" applyFont="1" applyFill="1" applyBorder="1"/>
    <xf numFmtId="0" fontId="8" fillId="3" borderId="11" xfId="0" applyFont="1" applyFill="1" applyBorder="1"/>
    <xf numFmtId="0" fontId="8" fillId="3" borderId="12" xfId="0" applyFont="1" applyFill="1" applyBorder="1"/>
    <xf numFmtId="43" fontId="0" fillId="15" borderId="0" xfId="21" applyFont="1" applyFill="1" applyAlignment="1">
      <alignment horizontal="center" readingOrder="1"/>
    </xf>
    <xf numFmtId="0" fontId="0" fillId="3" borderId="5" xfId="0" applyFill="1" applyBorder="1">
      <alignment readingOrder="1"/>
    </xf>
    <xf numFmtId="0" fontId="0" fillId="3" borderId="6" xfId="0" applyFill="1" applyBorder="1">
      <alignment readingOrder="1"/>
    </xf>
    <xf numFmtId="0" fontId="7" fillId="6" borderId="6" xfId="0" applyFont="1" applyFill="1" applyBorder="1">
      <alignment readingOrder="1"/>
    </xf>
    <xf numFmtId="0" fontId="7" fillId="6" borderId="7" xfId="0" applyFont="1" applyFill="1" applyBorder="1">
      <alignment readingOrder="1"/>
    </xf>
    <xf numFmtId="0" fontId="0" fillId="3" borderId="8" xfId="0" applyFill="1" applyBorder="1">
      <alignment readingOrder="1"/>
    </xf>
    <xf numFmtId="0" fontId="0" fillId="3" borderId="0" xfId="0" applyFill="1" applyBorder="1">
      <alignment readingOrder="1"/>
    </xf>
    <xf numFmtId="0" fontId="7" fillId="6" borderId="0" xfId="0" applyFont="1" applyFill="1" applyBorder="1">
      <alignment readingOrder="1"/>
    </xf>
    <xf numFmtId="0" fontId="7" fillId="6" borderId="9" xfId="0" applyFont="1" applyFill="1" applyBorder="1">
      <alignment readingOrder="1"/>
    </xf>
    <xf numFmtId="0" fontId="0" fillId="3" borderId="0" xfId="0" applyFill="1" applyBorder="1" applyAlignment="1">
      <alignment vertical="center" wrapText="1" readingOrder="1"/>
    </xf>
    <xf numFmtId="0" fontId="0" fillId="3" borderId="10" xfId="0" applyFill="1" applyBorder="1">
      <alignment readingOrder="1"/>
    </xf>
    <xf numFmtId="0" fontId="0" fillId="3" borderId="11" xfId="0" applyFill="1" applyBorder="1">
      <alignment readingOrder="1"/>
    </xf>
    <xf numFmtId="165" fontId="2" fillId="7" borderId="11" xfId="0" applyNumberFormat="1" applyFont="1" applyFill="1" applyBorder="1" applyAlignment="1">
      <alignment horizontal="center" readingOrder="1"/>
    </xf>
    <xf numFmtId="14" fontId="9" fillId="22" borderId="4" xfId="0" applyNumberFormat="1" applyFont="1" applyFill="1" applyBorder="1" applyAlignment="1">
      <alignment horizontal="center" wrapText="1" readingOrder="1"/>
    </xf>
    <xf numFmtId="176" fontId="9" fillId="22" borderId="4" xfId="0" applyNumberFormat="1" applyFont="1" applyFill="1" applyBorder="1" applyAlignment="1">
      <alignment horizontal="center" wrapText="1" readingOrder="1"/>
    </xf>
    <xf numFmtId="0" fontId="8" fillId="3" borderId="1" xfId="0" applyFont="1" applyFill="1" applyBorder="1" applyAlignment="1">
      <alignment horizontal="center"/>
    </xf>
    <xf numFmtId="167" fontId="0" fillId="3" borderId="0" xfId="0" applyNumberFormat="1" applyFill="1" applyAlignment="1">
      <alignment horizontal="center" readingOrder="1"/>
    </xf>
    <xf numFmtId="1" fontId="0" fillId="3" borderId="0" xfId="0" applyNumberFormat="1" applyFill="1" applyAlignment="1">
      <alignment horizontal="center" readingOrder="1"/>
    </xf>
    <xf numFmtId="0" fontId="8" fillId="3" borderId="13" xfId="0" applyFont="1" applyFill="1" applyBorder="1"/>
    <xf numFmtId="0" fontId="8" fillId="3" borderId="13" xfId="0" applyFont="1" applyFill="1" applyBorder="1" applyAlignment="1">
      <alignment horizontal="center"/>
    </xf>
    <xf numFmtId="0" fontId="8" fillId="0" borderId="0" xfId="0" applyFont="1" applyFill="1" applyBorder="1"/>
    <xf numFmtId="0" fontId="8"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5" fontId="0" fillId="0" borderId="0" xfId="0" applyNumberFormat="1" applyFill="1" applyBorder="1">
      <alignment readingOrder="1"/>
    </xf>
    <xf numFmtId="43" fontId="0" fillId="0" borderId="0" xfId="21" applyFont="1" applyFill="1" applyBorder="1" applyAlignment="1">
      <alignment horizontal="center" readingOrder="1"/>
    </xf>
    <xf numFmtId="0" fontId="0" fillId="3" borderId="0" xfId="0" applyFill="1" applyAlignment="1">
      <alignment horizontal="right" readingOrder="1"/>
    </xf>
    <xf numFmtId="0" fontId="13" fillId="0" borderId="0" xfId="0" applyFont="1">
      <alignment readingOrder="1"/>
    </xf>
    <xf numFmtId="1" fontId="3" fillId="0" borderId="0" xfId="5" applyNumberFormat="1">
      <alignment readingOrder="1"/>
    </xf>
    <xf numFmtId="166" fontId="0" fillId="0" borderId="0" xfId="1" applyNumberFormat="1" applyFont="1"/>
    <xf numFmtId="43" fontId="0" fillId="0" borderId="0" xfId="1" applyNumberFormat="1" applyFont="1"/>
    <xf numFmtId="0" fontId="0" fillId="33" borderId="0" xfId="0" applyFill="1"/>
    <xf numFmtId="166" fontId="0" fillId="33" borderId="0" xfId="1" applyNumberFormat="1" applyFont="1" applyFill="1"/>
    <xf numFmtId="0" fontId="0" fillId="7" borderId="0" xfId="0" applyFill="1"/>
    <xf numFmtId="43" fontId="0" fillId="33" borderId="0" xfId="0" applyNumberFormat="1" applyFill="1"/>
    <xf numFmtId="10" fontId="0" fillId="0" borderId="0" xfId="3" applyNumberFormat="1" applyFont="1"/>
    <xf numFmtId="43" fontId="10" fillId="24" borderId="0" xfId="0" applyNumberFormat="1" applyFont="1" applyFill="1"/>
    <xf numFmtId="0" fontId="3" fillId="0" borderId="0" xfId="0" applyFont="1" applyFill="1" applyBorder="1"/>
    <xf numFmtId="3" fontId="3" fillId="0" borderId="0" xfId="0" applyNumberFormat="1" applyFont="1" applyFill="1" applyBorder="1"/>
    <xf numFmtId="3" fontId="3" fillId="0" borderId="0" xfId="1" applyNumberFormat="1" applyFont="1" applyFill="1" applyBorder="1"/>
    <xf numFmtId="3" fontId="3" fillId="0" borderId="0" xfId="0" applyNumberFormat="1" applyFont="1" applyFill="1" applyBorder="1">
      <alignment readingOrder="1"/>
    </xf>
    <xf numFmtId="0" fontId="3" fillId="0" borderId="0" xfId="0" applyFont="1"/>
    <xf numFmtId="3" fontId="3" fillId="3" borderId="0" xfId="0" applyNumberFormat="1" applyFont="1" applyFill="1" applyBorder="1"/>
    <xf numFmtId="3" fontId="3" fillId="3" borderId="0" xfId="1" applyNumberFormat="1" applyFont="1" applyFill="1" applyBorder="1"/>
    <xf numFmtId="0" fontId="3" fillId="3" borderId="0" xfId="0" applyFont="1" applyFill="1" applyAlignment="1">
      <alignment horizontal="center" wrapText="1"/>
    </xf>
    <xf numFmtId="9" fontId="3" fillId="3" borderId="0" xfId="3" applyFont="1" applyFill="1" applyAlignment="1">
      <alignment horizontal="center"/>
    </xf>
    <xf numFmtId="0" fontId="0" fillId="0" borderId="0" xfId="0" applyFill="1" applyBorder="1" applyAlignment="1">
      <alignment horizontal="center"/>
    </xf>
    <xf numFmtId="164" fontId="6" fillId="0" borderId="0" xfId="1" applyNumberFormat="1" applyFont="1">
      <alignment readingOrder="1"/>
    </xf>
    <xf numFmtId="0" fontId="4" fillId="0" borderId="0" xfId="7" applyFont="1" applyFill="1"/>
    <xf numFmtId="0" fontId="32" fillId="0" borderId="0" xfId="12" applyFont="1"/>
    <xf numFmtId="0" fontId="33" fillId="0" borderId="0" xfId="12" applyFont="1"/>
    <xf numFmtId="0" fontId="33" fillId="0" borderId="0" xfId="0" applyFont="1" applyFill="1" applyBorder="1"/>
    <xf numFmtId="0" fontId="33" fillId="3" borderId="1" xfId="12" applyFont="1" applyFill="1" applyBorder="1" applyAlignment="1">
      <alignment wrapText="1"/>
    </xf>
    <xf numFmtId="0" fontId="33" fillId="3" borderId="2" xfId="12" applyFont="1" applyFill="1" applyBorder="1"/>
    <xf numFmtId="0" fontId="33" fillId="3" borderId="3" xfId="12" applyFont="1" applyFill="1" applyBorder="1"/>
    <xf numFmtId="0" fontId="33" fillId="3" borderId="4" xfId="12" applyFont="1" applyFill="1" applyBorder="1"/>
    <xf numFmtId="0" fontId="33" fillId="3" borderId="1" xfId="12" applyFont="1" applyFill="1" applyBorder="1"/>
    <xf numFmtId="0" fontId="33" fillId="3" borderId="0" xfId="12" applyFont="1" applyFill="1"/>
    <xf numFmtId="0" fontId="33" fillId="0" borderId="0" xfId="7" applyFont="1" applyFill="1" applyBorder="1"/>
    <xf numFmtId="165" fontId="33" fillId="4" borderId="0" xfId="12" applyNumberFormat="1" applyFont="1" applyFill="1"/>
    <xf numFmtId="2" fontId="33" fillId="0" borderId="0" xfId="12" applyNumberFormat="1" applyFont="1"/>
    <xf numFmtId="172" fontId="33" fillId="0" borderId="0" xfId="12" applyNumberFormat="1" applyFont="1"/>
    <xf numFmtId="44" fontId="33" fillId="0" borderId="0" xfId="2" applyFont="1"/>
    <xf numFmtId="0" fontId="33" fillId="0" borderId="0" xfId="7" applyFont="1" applyFill="1"/>
    <xf numFmtId="165" fontId="33" fillId="0" borderId="0" xfId="12" applyNumberFormat="1" applyFont="1"/>
    <xf numFmtId="0" fontId="2" fillId="3" borderId="0" xfId="0" applyFont="1" applyFill="1" applyBorder="1" applyAlignment="1">
      <alignment horizontal="center"/>
    </xf>
    <xf numFmtId="0" fontId="2" fillId="0" borderId="0" xfId="0" applyFont="1" applyFill="1" applyBorder="1" applyAlignment="1">
      <alignment horizontal="center"/>
    </xf>
    <xf numFmtId="9" fontId="2" fillId="0" borderId="0" xfId="3" applyFont="1" applyFill="1" applyBorder="1" applyAlignment="1">
      <alignment horizontal="center"/>
    </xf>
    <xf numFmtId="9" fontId="2" fillId="2" borderId="0" xfId="3" applyFont="1" applyFill="1" applyBorder="1" applyAlignment="1">
      <alignment horizontal="center"/>
    </xf>
    <xf numFmtId="0" fontId="34" fillId="2" borderId="2" xfId="5" applyFont="1" applyFill="1" applyBorder="1">
      <alignment readingOrder="1"/>
    </xf>
    <xf numFmtId="0" fontId="35" fillId="2" borderId="3" xfId="5" applyFont="1" applyFill="1" applyBorder="1">
      <alignment readingOrder="1"/>
    </xf>
    <xf numFmtId="0" fontId="35" fillId="2" borderId="4" xfId="5" applyFont="1" applyFill="1" applyBorder="1">
      <alignment readingOrder="1"/>
    </xf>
    <xf numFmtId="0" fontId="36" fillId="2" borderId="1" xfId="4" applyFont="1" applyFill="1" applyBorder="1" applyAlignment="1">
      <alignment horizontal="left" vertical="center" wrapText="1"/>
    </xf>
    <xf numFmtId="0" fontId="36" fillId="3" borderId="1" xfId="4" applyFont="1" applyFill="1" applyBorder="1" applyAlignment="1">
      <alignment horizontal="left" vertical="center" wrapText="1"/>
    </xf>
    <xf numFmtId="0" fontId="35" fillId="0" borderId="1" xfId="4" applyFont="1" applyFill="1" applyBorder="1" applyAlignment="1">
      <alignment horizontal="left" vertical="center" wrapText="1"/>
    </xf>
    <xf numFmtId="0" fontId="35" fillId="0" borderId="1" xfId="4" applyNumberFormat="1" applyFont="1" applyFill="1" applyBorder="1" applyAlignment="1">
      <alignment horizontal="left" vertical="center" wrapText="1"/>
    </xf>
    <xf numFmtId="0" fontId="35" fillId="0" borderId="1" xfId="4" applyFont="1" applyBorder="1" applyAlignment="1">
      <alignment horizontal="left" vertical="center" wrapText="1" readingOrder="1"/>
    </xf>
    <xf numFmtId="0" fontId="35" fillId="0" borderId="1" xfId="4" applyNumberFormat="1" applyFont="1" applyBorder="1" applyAlignment="1">
      <alignment horizontal="left" vertical="center" wrapText="1" readingOrder="1"/>
    </xf>
    <xf numFmtId="0" fontId="35" fillId="0" borderId="0" xfId="5" applyFont="1" applyAlignment="1">
      <alignment wrapText="1" readingOrder="1"/>
    </xf>
    <xf numFmtId="0" fontId="37" fillId="0" borderId="0" xfId="0" applyFont="1"/>
    <xf numFmtId="9" fontId="0" fillId="0" borderId="0" xfId="0" applyNumberFormat="1" applyFill="1" applyBorder="1" applyAlignment="1">
      <alignment horizontal="center"/>
    </xf>
    <xf numFmtId="0" fontId="13" fillId="0" borderId="12" xfId="0" applyFont="1" applyBorder="1">
      <alignment readingOrder="1"/>
    </xf>
    <xf numFmtId="165" fontId="13" fillId="7" borderId="11" xfId="0" applyNumberFormat="1" applyFont="1" applyFill="1" applyBorder="1" applyAlignment="1">
      <alignment horizontal="center" readingOrder="1"/>
    </xf>
    <xf numFmtId="0" fontId="0" fillId="7" borderId="12" xfId="0" applyFill="1" applyBorder="1">
      <alignment readingOrder="1"/>
    </xf>
    <xf numFmtId="49" fontId="0" fillId="2" borderId="15" xfId="0" quotePrefix="1" applyNumberFormat="1" applyFill="1" applyBorder="1">
      <alignment readingOrder="1"/>
    </xf>
    <xf numFmtId="0" fontId="3" fillId="0" borderId="0" xfId="5" applyAlignment="1">
      <alignment horizontal="right" readingOrder="1"/>
    </xf>
    <xf numFmtId="0" fontId="3" fillId="2" borderId="5" xfId="0" applyNumberFormat="1" applyFont="1" applyFill="1" applyBorder="1" applyAlignment="1">
      <alignment horizontal="left" vertical="center" wrapText="1" readingOrder="1"/>
    </xf>
    <xf numFmtId="0" fontId="3" fillId="2" borderId="6" xfId="0" applyNumberFormat="1" applyFont="1" applyFill="1" applyBorder="1" applyAlignment="1">
      <alignment horizontal="left" vertical="center" wrapText="1" readingOrder="1"/>
    </xf>
    <xf numFmtId="0" fontId="3" fillId="2" borderId="7" xfId="0" applyNumberFormat="1" applyFont="1" applyFill="1" applyBorder="1" applyAlignment="1">
      <alignment horizontal="left" vertical="center" wrapText="1" readingOrder="1"/>
    </xf>
    <xf numFmtId="0" fontId="3" fillId="2" borderId="8" xfId="0" applyNumberFormat="1" applyFont="1" applyFill="1" applyBorder="1" applyAlignment="1">
      <alignment horizontal="left" vertical="center" wrapText="1" readingOrder="1"/>
    </xf>
    <xf numFmtId="0" fontId="3" fillId="2" borderId="0" xfId="0" applyNumberFormat="1" applyFont="1" applyFill="1" applyBorder="1" applyAlignment="1">
      <alignment horizontal="left" vertical="center" wrapText="1" readingOrder="1"/>
    </xf>
    <xf numFmtId="0" fontId="3" fillId="2" borderId="9" xfId="0" applyNumberFormat="1" applyFont="1" applyFill="1" applyBorder="1" applyAlignment="1">
      <alignment horizontal="left" vertical="center" wrapText="1" readingOrder="1"/>
    </xf>
    <xf numFmtId="0" fontId="3" fillId="2" borderId="11" xfId="0" applyNumberFormat="1" applyFont="1" applyFill="1" applyBorder="1" applyAlignment="1">
      <alignment horizontal="left" vertical="center" wrapText="1" readingOrder="1"/>
    </xf>
    <xf numFmtId="0" fontId="3" fillId="2" borderId="12" xfId="0" applyNumberFormat="1" applyFont="1" applyFill="1" applyBorder="1" applyAlignment="1">
      <alignment horizontal="left" vertical="center" wrapText="1" readingOrder="1"/>
    </xf>
    <xf numFmtId="0" fontId="13" fillId="2" borderId="6" xfId="0" applyNumberFormat="1" applyFont="1" applyFill="1" applyBorder="1" applyAlignment="1">
      <alignment horizontal="left" vertical="center" wrapText="1" readingOrder="1"/>
    </xf>
    <xf numFmtId="0" fontId="0" fillId="2" borderId="6" xfId="0" applyNumberFormat="1" applyFill="1" applyBorder="1" applyAlignment="1">
      <alignment horizontal="left" vertical="center" wrapText="1" readingOrder="1"/>
    </xf>
    <xf numFmtId="0" fontId="0" fillId="2" borderId="7" xfId="0" applyNumberFormat="1" applyFill="1" applyBorder="1" applyAlignment="1">
      <alignment horizontal="left" vertical="center" wrapText="1" readingOrder="1"/>
    </xf>
    <xf numFmtId="0" fontId="0" fillId="2" borderId="0" xfId="0" applyNumberFormat="1" applyFill="1" applyBorder="1" applyAlignment="1">
      <alignment horizontal="left" vertical="center" wrapText="1" readingOrder="1"/>
    </xf>
    <xf numFmtId="0" fontId="0" fillId="2" borderId="9" xfId="0" applyNumberFormat="1" applyFill="1" applyBorder="1" applyAlignment="1">
      <alignment horizontal="left" vertical="center" wrapText="1" readingOrder="1"/>
    </xf>
    <xf numFmtId="0" fontId="0" fillId="2" borderId="11" xfId="0" applyNumberFormat="1" applyFill="1" applyBorder="1" applyAlignment="1">
      <alignment horizontal="left" vertical="center" wrapText="1" readingOrder="1"/>
    </xf>
    <xf numFmtId="0" fontId="0" fillId="2" borderId="12" xfId="0" applyNumberFormat="1" applyFill="1" applyBorder="1" applyAlignment="1">
      <alignment horizontal="left" vertical="center" wrapText="1" readingOrder="1"/>
    </xf>
    <xf numFmtId="0" fontId="9" fillId="11" borderId="2" xfId="9" applyFont="1" applyFill="1" applyBorder="1" applyAlignment="1">
      <alignment horizontal="center"/>
    </xf>
    <xf numFmtId="0" fontId="9" fillId="11" borderId="3" xfId="9" applyFont="1" applyFill="1" applyBorder="1" applyAlignment="1">
      <alignment horizontal="center"/>
    </xf>
    <xf numFmtId="0" fontId="9" fillId="11" borderId="4" xfId="9" applyFont="1" applyFill="1" applyBorder="1" applyAlignment="1">
      <alignment horizontal="center"/>
    </xf>
    <xf numFmtId="0" fontId="14" fillId="12" borderId="1" xfId="0" applyFont="1" applyFill="1" applyBorder="1" applyAlignment="1">
      <alignment horizontal="center"/>
    </xf>
    <xf numFmtId="0" fontId="4" fillId="0" borderId="1" xfId="0" applyFont="1" applyBorder="1" applyAlignment="1">
      <alignment horizontal="center"/>
    </xf>
    <xf numFmtId="0" fontId="4" fillId="13" borderId="1" xfId="9" applyFont="1" applyFill="1" applyBorder="1" applyAlignment="1">
      <alignment horizontal="center"/>
    </xf>
    <xf numFmtId="171" fontId="3" fillId="16" borderId="2" xfId="3" applyNumberFormat="1" applyFont="1" applyFill="1" applyBorder="1" applyAlignment="1">
      <alignment horizontal="center"/>
    </xf>
    <xf numFmtId="171" fontId="3" fillId="16" borderId="3" xfId="3" applyNumberFormat="1" applyFont="1" applyFill="1" applyBorder="1" applyAlignment="1">
      <alignment horizontal="center"/>
    </xf>
    <xf numFmtId="171" fontId="3" fillId="16" borderId="4" xfId="3" applyNumberFormat="1" applyFont="1" applyFill="1" applyBorder="1" applyAlignment="1">
      <alignment horizontal="center"/>
    </xf>
    <xf numFmtId="0" fontId="3" fillId="20" borderId="1" xfId="13" applyFill="1" applyBorder="1" applyAlignment="1">
      <alignment horizontal="center"/>
    </xf>
    <xf numFmtId="0" fontId="3" fillId="20" borderId="2" xfId="13" applyFill="1" applyBorder="1" applyAlignment="1">
      <alignment horizontal="center"/>
    </xf>
    <xf numFmtId="0" fontId="3" fillId="20" borderId="4" xfId="13" applyFill="1" applyBorder="1" applyAlignment="1">
      <alignment horizontal="center"/>
    </xf>
    <xf numFmtId="0" fontId="3" fillId="0" borderId="0" xfId="12" applyAlignment="1">
      <alignment vertical="top" wrapText="1"/>
    </xf>
  </cellXfs>
  <cellStyles count="22">
    <cellStyle name="Comma" xfId="1" builtinId="3"/>
    <cellStyle name="Comma 2" xfId="21"/>
    <cellStyle name="Currency" xfId="2" builtinId="4"/>
    <cellStyle name="Currency 2" xfId="20"/>
    <cellStyle name="Normal" xfId="0" builtinId="0"/>
    <cellStyle name="Normal 13" xfId="5"/>
    <cellStyle name="Normal 14" xfId="15"/>
    <cellStyle name="Normal 2" xfId="19"/>
    <cellStyle name="Normal 3" xfId="11"/>
    <cellStyle name="Normal_MTDUCT" xfId="9"/>
    <cellStyle name="Normal_PC-ECMVAV-6p-D2" xfId="13"/>
    <cellStyle name="Normal_PC-HVACCONTROLS-D2-6p-D3" xfId="12"/>
    <cellStyle name="Normal_PC-HVACEQUIP-6P-D4" xfId="7"/>
    <cellStyle name="Normal_PC-LowPressureDist-D1" xfId="8"/>
    <cellStyle name="Normal_PC-LPDPackage-6P-D14" xfId="4"/>
    <cellStyle name="Normal_PC-LPDPackageNew-5P" xfId="14"/>
    <cellStyle name="Normal_PC-PackRTOptimize-D1-6p-D2" xfId="6"/>
    <cellStyle name="Normal_ProCostFinAssumptions_Sector" xfId="10"/>
    <cellStyle name="Percent" xfId="3" builtinId="5"/>
    <cellStyle name="XLConnect.Header" xfId="16"/>
    <cellStyle name="XLConnect.Numeric" xfId="18"/>
    <cellStyle name="XLConnect.String" xfId="1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Share of SF by System</a:t>
            </a:r>
            <a:r>
              <a:rPr lang="en-US" baseline="0"/>
              <a:t> Type</a:t>
            </a:r>
          </a:p>
        </c:rich>
      </c:tx>
    </c:title>
    <c:plotArea>
      <c:layout/>
      <c:pieChart>
        <c:varyColors val="1"/>
        <c:ser>
          <c:idx val="0"/>
          <c:order val="0"/>
          <c:dLbls>
            <c:showCatName val="1"/>
            <c:showPercent val="1"/>
            <c:showLeaderLines val="1"/>
          </c:dLbls>
          <c:cat>
            <c:strRef>
              <c:f>'Market Data'!$C$111:$M$111</c:f>
              <c:strCache>
                <c:ptCount val="11"/>
                <c:pt idx="0">
                  <c:v>Baseboard/Zonal w/ Minimal Fan</c:v>
                </c:pt>
                <c:pt idx="1">
                  <c:v>DOAS/ERV</c:v>
                </c:pt>
                <c:pt idx="2">
                  <c:v>MAU/Swamp</c:v>
                </c:pt>
                <c:pt idx="3">
                  <c:v>MZ Air/Dual Duct</c:v>
                </c:pt>
                <c:pt idx="4">
                  <c:v>MZ Air/Single Duct</c:v>
                </c:pt>
                <c:pt idx="5">
                  <c:v>MZ MZ Sys</c:v>
                </c:pt>
                <c:pt idx="6">
                  <c:v>Radiant</c:v>
                </c:pt>
                <c:pt idx="7">
                  <c:v>SZ Ducted</c:v>
                </c:pt>
                <c:pt idx="8">
                  <c:v>SZ Unducted w/Fan</c:v>
                </c:pt>
                <c:pt idx="9">
                  <c:v>Unknown</c:v>
                </c:pt>
                <c:pt idx="10">
                  <c:v>VVT</c:v>
                </c:pt>
              </c:strCache>
            </c:strRef>
          </c:cat>
          <c:val>
            <c:numRef>
              <c:f>'Market Data'!$C$130:$M$130</c:f>
              <c:numCache>
                <c:formatCode>_(* #,##0_);_(* \(#,##0\);_(* "-"??_);_(@_)</c:formatCode>
                <c:ptCount val="11"/>
                <c:pt idx="0">
                  <c:v>111411622.96000436</c:v>
                </c:pt>
                <c:pt idx="1">
                  <c:v>18269308.916364402</c:v>
                </c:pt>
                <c:pt idx="2">
                  <c:v>39464382.864691928</c:v>
                </c:pt>
                <c:pt idx="3">
                  <c:v>21643220.531523947</c:v>
                </c:pt>
                <c:pt idx="4">
                  <c:v>261831118.43292135</c:v>
                </c:pt>
                <c:pt idx="5">
                  <c:v>32789079.659134902</c:v>
                </c:pt>
                <c:pt idx="6">
                  <c:v>64804730.578603819</c:v>
                </c:pt>
                <c:pt idx="7">
                  <c:v>1601048693.9525652</c:v>
                </c:pt>
                <c:pt idx="8">
                  <c:v>406351349.7699703</c:v>
                </c:pt>
                <c:pt idx="9">
                  <c:v>84717001.0083839</c:v>
                </c:pt>
                <c:pt idx="10">
                  <c:v>8322.6732081259343</c:v>
                </c:pt>
              </c:numCache>
            </c:numRef>
          </c:val>
        </c:ser>
        <c:dLbls>
          <c:showCatName val="1"/>
          <c:showPercent val="1"/>
        </c:dLbls>
        <c:firstSliceAng val="0"/>
      </c:pieChart>
    </c:plotArea>
    <c:plotVisOnly val="1"/>
  </c:chart>
  <c:printSettings>
    <c:headerFooter/>
    <c:pageMargins b="0.75000000000000144" l="0.70000000000000062" r="0.70000000000000062" t="0.75000000000000144"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9525</xdr:colOff>
      <xdr:row>131</xdr:row>
      <xdr:rowOff>85725</xdr:rowOff>
    </xdr:from>
    <xdr:to>
      <xdr:col>14</xdr:col>
      <xdr:colOff>714375</xdr:colOff>
      <xdr:row>153</xdr:row>
      <xdr:rowOff>104775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152400</xdr:colOff>
      <xdr:row>39</xdr:row>
      <xdr:rowOff>9525</xdr:rowOff>
    </xdr:from>
    <xdr:to>
      <xdr:col>20</xdr:col>
      <xdr:colOff>161925</xdr:colOff>
      <xdr:row>44</xdr:row>
      <xdr:rowOff>76200</xdr:rowOff>
    </xdr:to>
    <xdr:sp macro="" textlink="">
      <xdr:nvSpPr>
        <xdr:cNvPr id="2" name="AutoShape 1"/>
        <xdr:cNvSpPr>
          <a:spLocks noChangeArrowheads="1"/>
        </xdr:cNvSpPr>
      </xdr:nvSpPr>
      <xdr:spPr bwMode="auto">
        <a:xfrm>
          <a:off x="12030075" y="6324600"/>
          <a:ext cx="1228725" cy="876300"/>
        </a:xfrm>
        <a:prstGeom prst="wedgeRoundRectCallout">
          <a:avLst>
            <a:gd name="adj1" fmla="val 81009"/>
            <a:gd name="adj2" fmla="val -15218"/>
            <a:gd name="adj3" fmla="val 16667"/>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Take these values to CHAR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628649</xdr:colOff>
      <xdr:row>2</xdr:row>
      <xdr:rowOff>152399</xdr:rowOff>
    </xdr:from>
    <xdr:to>
      <xdr:col>25</xdr:col>
      <xdr:colOff>419100</xdr:colOff>
      <xdr:row>14</xdr:row>
      <xdr:rowOff>76200</xdr:rowOff>
    </xdr:to>
    <xdr:sp macro="" textlink="">
      <xdr:nvSpPr>
        <xdr:cNvPr id="2" name="TextBox 1"/>
        <xdr:cNvSpPr txBox="1"/>
      </xdr:nvSpPr>
      <xdr:spPr>
        <a:xfrm>
          <a:off x="13134974" y="476249"/>
          <a:ext cx="4495801" cy="33813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Goal is to capture HVAC commissioning savings and keep lighting savings separated.  Data quality, savings methodology, and representativeness of early commissioning projects to the general building population are all major concerns that severely limit the quality of any answers.</a:t>
          </a:r>
        </a:p>
        <a:p>
          <a:endParaRPr lang="en-US" sz="1100"/>
        </a:p>
        <a:p>
          <a:r>
            <a:rPr lang="en-US" sz="1100"/>
            <a:t>The Sixth Plan savings were based primarily on the findings in the PECI study relative savings (6%).  Gas savings were based on the average of the LBL/PECI savings, or 5.3%, will be used.  These are relative to whole building EUI.  Based upon CEUS data HVAC is 32.5% of total electric EUI and 36% of gas. This factor is used to adjust the relative percents here and the resulting number is applied to the HVAC energy estimate.NEEA and LBL show lower savings for New construction.  Interestingly, the </a:t>
          </a:r>
        </a:p>
        <a:p>
          <a:endParaRPr lang="en-US" sz="1100"/>
        </a:p>
        <a:p>
          <a:r>
            <a:rPr lang="en-US" sz="1100"/>
            <a:t>New:  NEEA and LBL new construction savings are similar to the PECI existing building savings.  My suspicion is this may be significant.  For electric savings the existing building relative savings of 7.5% is used.  Gas savings are dramatically lower in new construction and savings are assumed to be 2.1kBtu/sf.</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 name="BLDGTYPE" refersTo="='APPLIC'!$B$11:$U$11"/>
      <definedName name="STOCK" refersTo="='STOCK'!$B$12:$U$110"/>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J11" t="str">
            <v>Comparable Estimate for 6th Plan</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cell r="D4" t="str">
            <v>Com_Master_7P.xlsm!_PRE2002</v>
          </cell>
        </row>
        <row r="5">
          <cell r="C5" t="str">
            <v>PRE1987</v>
          </cell>
          <cell r="D5" t="str">
            <v>Com_Master_7P.xlsm!PRE1987</v>
          </cell>
        </row>
        <row r="6">
          <cell r="C6" t="str">
            <v>POST2002</v>
          </cell>
          <cell r="D6" t="str">
            <v>Com_Master_7P.xlsm!POST2002</v>
          </cell>
        </row>
        <row r="7">
          <cell r="C7" t="str">
            <v>V1987_2001</v>
          </cell>
          <cell r="D7" t="str">
            <v>Com_Master_7P.xlsm!V1987_2001</v>
          </cell>
        </row>
        <row r="8">
          <cell r="C8" t="str">
            <v>V1987_1994</v>
          </cell>
          <cell r="D8" t="str">
            <v>Com_Master_7P.xlsm!V1987_1994</v>
          </cell>
        </row>
        <row r="9">
          <cell r="C9" t="str">
            <v>V1995_2001</v>
          </cell>
          <cell r="D9" t="str">
            <v>Com_Master_7P.xlsm!V1995_2001</v>
          </cell>
        </row>
        <row r="10">
          <cell r="C10" t="str">
            <v>V2002_2006</v>
          </cell>
          <cell r="D10" t="str">
            <v>Com_Master_7P.xlsm!V2002_2006</v>
          </cell>
        </row>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cell r="AJ169">
            <v>7.7488837996995636</v>
          </cell>
          <cell r="AK169">
            <v>7.8066550111953834</v>
          </cell>
          <cell r="AL169">
            <v>5.9496992573140863</v>
          </cell>
          <cell r="AM169">
            <v>5.890903545908837</v>
          </cell>
          <cell r="AN169">
            <v>6.8915688291332424</v>
          </cell>
          <cell r="AO169">
            <v>6.6410191533148355</v>
          </cell>
          <cell r="AP169">
            <v>5.4382226791221893</v>
          </cell>
          <cell r="AQ169">
            <v>6.9236851515846078</v>
          </cell>
          <cell r="AR169">
            <v>6.040566884985755</v>
          </cell>
          <cell r="AS169">
            <v>5.8620040343764588</v>
          </cell>
          <cell r="AT169">
            <v>6.6048352977963205</v>
          </cell>
          <cell r="AU169">
            <v>6.6081856774849808</v>
          </cell>
          <cell r="AV169">
            <v>7.2276230030590352</v>
          </cell>
          <cell r="AW169">
            <v>7.9321378463678132</v>
          </cell>
          <cell r="AX169">
            <v>7.2590370336019197</v>
          </cell>
          <cell r="AY169">
            <v>7.9122271387396417</v>
          </cell>
          <cell r="AZ169">
            <v>7.7623340380974311</v>
          </cell>
          <cell r="BA169">
            <v>7.6402299023279152</v>
          </cell>
          <cell r="BB169">
            <v>7.1724831299946894</v>
          </cell>
          <cell r="BC169">
            <v>7.0810470955732994</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cell r="AJ170">
            <v>5.9952951563986474</v>
          </cell>
          <cell r="AK170">
            <v>6.3306892326899415</v>
          </cell>
          <cell r="AL170">
            <v>4.6245517962703104</v>
          </cell>
          <cell r="AM170">
            <v>4.6954401235311058</v>
          </cell>
          <cell r="AN170">
            <v>5.5561738496820645</v>
          </cell>
          <cell r="AO170">
            <v>5.2903315868283292</v>
          </cell>
          <cell r="AP170">
            <v>4.0954748538564614</v>
          </cell>
          <cell r="AQ170">
            <v>5.6166455086822502</v>
          </cell>
          <cell r="AR170">
            <v>4.8928421056079552</v>
          </cell>
          <cell r="AS170">
            <v>4.6489885594062974</v>
          </cell>
          <cell r="AT170">
            <v>5.3600762751998365</v>
          </cell>
          <cell r="AU170">
            <v>5.3451061612370649</v>
          </cell>
          <cell r="AV170">
            <v>5.7169042762389006</v>
          </cell>
          <cell r="AW170">
            <v>6.1644080859749115</v>
          </cell>
          <cell r="AX170">
            <v>5.8003829082546376</v>
          </cell>
          <cell r="AY170">
            <v>6.4331999103991837</v>
          </cell>
          <cell r="AZ170">
            <v>6.1077443299386847</v>
          </cell>
          <cell r="BA170">
            <v>6.3133258324543373</v>
          </cell>
          <cell r="BB170">
            <v>5.5403053352108875</v>
          </cell>
          <cell r="BC170">
            <v>5.5266028757425794</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cell r="AJ171">
            <v>1.5722642319863536</v>
          </cell>
          <cell r="AK171">
            <v>1.6621196768024407</v>
          </cell>
          <cell r="AL171">
            <v>1.2170657423442173</v>
          </cell>
          <cell r="AM171">
            <v>1.2444333527444498</v>
          </cell>
          <cell r="AN171">
            <v>1.4586094503549032</v>
          </cell>
          <cell r="AO171">
            <v>1.4004070058555529</v>
          </cell>
          <cell r="AP171">
            <v>1.0787722980410579</v>
          </cell>
          <cell r="AQ171">
            <v>1.4747976167420549</v>
          </cell>
          <cell r="AR171">
            <v>1.2896357804774434</v>
          </cell>
          <cell r="AS171">
            <v>1.2239291307589197</v>
          </cell>
          <cell r="AT171">
            <v>1.4012443744673324</v>
          </cell>
          <cell r="AU171">
            <v>1.3991315932028052</v>
          </cell>
          <cell r="AV171">
            <v>1.4996248899933684</v>
          </cell>
          <cell r="AW171">
            <v>1.6197763904689295</v>
          </cell>
          <cell r="AX171">
            <v>1.5187400891362097</v>
          </cell>
          <cell r="AY171">
            <v>1.6890757136254622</v>
          </cell>
          <cell r="AZ171">
            <v>1.5972356158259797</v>
          </cell>
          <cell r="BA171">
            <v>1.640465747141107</v>
          </cell>
          <cell r="BB171">
            <v>1.4565955217811706</v>
          </cell>
          <cell r="BC171">
            <v>1.4531741906643101</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cell r="AJ172">
            <v>0.89046181776413369</v>
          </cell>
          <cell r="AK172">
            <v>1.799418169017593</v>
          </cell>
          <cell r="AL172">
            <v>1.485755176968429</v>
          </cell>
          <cell r="AM172">
            <v>0.89794362681754358</v>
          </cell>
          <cell r="AN172">
            <v>0.91201694404352718</v>
          </cell>
          <cell r="AO172">
            <v>0.85125423267540556</v>
          </cell>
          <cell r="AP172">
            <v>0.73204497427617965</v>
          </cell>
          <cell r="AQ172">
            <v>0.73428349109996394</v>
          </cell>
          <cell r="AR172">
            <v>0.71341173425108251</v>
          </cell>
          <cell r="AS172">
            <v>0.89455902577447755</v>
          </cell>
          <cell r="AT172">
            <v>1.032083805968905</v>
          </cell>
          <cell r="AU172">
            <v>1.0963398187475875</v>
          </cell>
          <cell r="AV172">
            <v>1.617287860192538</v>
          </cell>
          <cell r="AW172">
            <v>1.8239074921539626</v>
          </cell>
          <cell r="AX172">
            <v>1.6267354909009817</v>
          </cell>
          <cell r="AY172">
            <v>1.5970323938843554</v>
          </cell>
          <cell r="AZ172">
            <v>1.5393396581386409</v>
          </cell>
          <cell r="BA172">
            <v>1.2960530677092543</v>
          </cell>
          <cell r="BB172">
            <v>1.3176455108269955</v>
          </cell>
          <cell r="BC172">
            <v>1.2469979474733393</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cell r="AJ173">
            <v>0.3567039409637372</v>
          </cell>
          <cell r="AK173">
            <v>0.71960427219664069</v>
          </cell>
          <cell r="AL173">
            <v>0.59647847099566831</v>
          </cell>
          <cell r="AM173">
            <v>0.36611838042447359</v>
          </cell>
          <cell r="AN173">
            <v>0.3731768350638246</v>
          </cell>
          <cell r="AO173">
            <v>0.34504559304633386</v>
          </cell>
          <cell r="AP173">
            <v>0.2928623587115301</v>
          </cell>
          <cell r="AQ173">
            <v>0.29376294298921468</v>
          </cell>
          <cell r="AR173">
            <v>0.28416308329236456</v>
          </cell>
          <cell r="AS173">
            <v>0.36455471421578001</v>
          </cell>
          <cell r="AT173">
            <v>0.42646627810709853</v>
          </cell>
          <cell r="AU173">
            <v>0.44956380488737768</v>
          </cell>
          <cell r="AV173">
            <v>0.65213839834683018</v>
          </cell>
          <cell r="AW173">
            <v>0.73353807331773047</v>
          </cell>
          <cell r="AX173">
            <v>0.65560780242911365</v>
          </cell>
          <cell r="AY173">
            <v>0.64604928436358278</v>
          </cell>
          <cell r="AZ173">
            <v>0.62178261445398098</v>
          </cell>
          <cell r="BA173">
            <v>0.52554853465709617</v>
          </cell>
          <cell r="BB173">
            <v>0.53266253778165396</v>
          </cell>
          <cell r="BC173">
            <v>0.50454130308386236</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cell r="AJ174">
            <v>1.3432446364579429</v>
          </cell>
          <cell r="AK174">
            <v>2.7275899469990224</v>
          </cell>
          <cell r="AL174">
            <v>2.2451802625726844</v>
          </cell>
          <cell r="AM174">
            <v>1.3846551620328988</v>
          </cell>
          <cell r="AN174">
            <v>1.414332931216091</v>
          </cell>
          <cell r="AO174">
            <v>1.3048976182463843</v>
          </cell>
          <cell r="AP174">
            <v>1.1035456427042536</v>
          </cell>
          <cell r="AQ174">
            <v>1.0932193385059683</v>
          </cell>
          <cell r="AR174">
            <v>1.0602010304011045</v>
          </cell>
          <cell r="AS174">
            <v>1.3687417218066935</v>
          </cell>
          <cell r="AT174">
            <v>1.6102119957699914</v>
          </cell>
          <cell r="AU174">
            <v>1.7014476793012303</v>
          </cell>
          <cell r="AV174">
            <v>2.4475448442766612</v>
          </cell>
          <cell r="AW174">
            <v>2.7642584104961641</v>
          </cell>
          <cell r="AX174">
            <v>2.4645092385842489</v>
          </cell>
          <cell r="AY174">
            <v>2.435211674558635</v>
          </cell>
          <cell r="AZ174">
            <v>2.3436666024455817</v>
          </cell>
          <cell r="BA174">
            <v>1.9970991421399598</v>
          </cell>
          <cell r="BB174">
            <v>2.0220850932468024</v>
          </cell>
          <cell r="BC174">
            <v>1.9074632582746243</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cell r="AJ175">
            <v>0.42474203674104466</v>
          </cell>
          <cell r="AK175">
            <v>0.86249938561661099</v>
          </cell>
          <cell r="AL175">
            <v>0.71243811393533818</v>
          </cell>
          <cell r="AM175">
            <v>0.43988135050703958</v>
          </cell>
          <cell r="AN175">
            <v>0.44879648252082133</v>
          </cell>
          <cell r="AO175">
            <v>0.41374173801952452</v>
          </cell>
          <cell r="AP175">
            <v>0.34301620014224921</v>
          </cell>
          <cell r="AQ175">
            <v>0.33946657261656726</v>
          </cell>
          <cell r="AR175">
            <v>0.32965754978673117</v>
          </cell>
          <cell r="AS175">
            <v>0.43689232903555525</v>
          </cell>
          <cell r="AT175">
            <v>0.51886957722704219</v>
          </cell>
          <cell r="AU175">
            <v>0.54817313334918127</v>
          </cell>
          <cell r="AV175">
            <v>0.77969532117377649</v>
          </cell>
          <cell r="AW175">
            <v>0.87858644381951334</v>
          </cell>
          <cell r="AX175">
            <v>0.78420074698109388</v>
          </cell>
          <cell r="AY175">
            <v>0.77728841592354081</v>
          </cell>
          <cell r="AZ175">
            <v>0.74886674252534069</v>
          </cell>
          <cell r="BA175">
            <v>0.63964179951326661</v>
          </cell>
          <cell r="BB175">
            <v>0.64714740319049269</v>
          </cell>
          <cell r="BC175">
            <v>0.61166389038687663</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cell r="AJ176">
            <v>0.50322888648933484</v>
          </cell>
          <cell r="AK176">
            <v>0.49337113702797691</v>
          </cell>
          <cell r="AL176">
            <v>1.1029723159217257</v>
          </cell>
          <cell r="AM176">
            <v>0.94992456965043459</v>
          </cell>
          <cell r="AN176">
            <v>0.71720701164062661</v>
          </cell>
          <cell r="AO176">
            <v>0.7442281187428561</v>
          </cell>
          <cell r="AP176">
            <v>0.85140099810585501</v>
          </cell>
          <cell r="AQ176">
            <v>0.99139466996200198</v>
          </cell>
          <cell r="AR176">
            <v>1.5014629353162949</v>
          </cell>
          <cell r="AS176">
            <v>1.8697826256608596</v>
          </cell>
          <cell r="AT176">
            <v>1.6452707482432332</v>
          </cell>
          <cell r="AU176">
            <v>1.6753181172445872</v>
          </cell>
          <cell r="AV176">
            <v>1.7943041099264481</v>
          </cell>
          <cell r="AW176">
            <v>1.8624299937819393</v>
          </cell>
          <cell r="AX176">
            <v>1.7489264522150836</v>
          </cell>
          <cell r="AY176">
            <v>1.7975598556031414</v>
          </cell>
          <cell r="AZ176">
            <v>1.6195220459723754</v>
          </cell>
          <cell r="BA176">
            <v>1.8221433074925411</v>
          </cell>
          <cell r="BB176">
            <v>1.6336676691608698</v>
          </cell>
          <cell r="BC176">
            <v>1.7826242149357872</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cell r="AJ177">
            <v>0.63957928675752418</v>
          </cell>
          <cell r="AK177">
            <v>0.2800209986196866</v>
          </cell>
          <cell r="AL177">
            <v>0.29719871383536939</v>
          </cell>
          <cell r="AM177">
            <v>0.58203115602335975</v>
          </cell>
          <cell r="AN177">
            <v>0.83189457735737737</v>
          </cell>
          <cell r="AO177">
            <v>0.66610454718876777</v>
          </cell>
          <cell r="AP177">
            <v>0.73648247778559484</v>
          </cell>
          <cell r="AQ177">
            <v>0.64334185638367225</v>
          </cell>
          <cell r="AR177">
            <v>0.97289424291238524</v>
          </cell>
          <cell r="AS177">
            <v>1.1820978013224126</v>
          </cell>
          <cell r="AT177">
            <v>1.1785313924254113</v>
          </cell>
          <cell r="AU177">
            <v>1.2952038876416079</v>
          </cell>
          <cell r="AV177">
            <v>1.3229243736280945</v>
          </cell>
          <cell r="AW177">
            <v>1.422909455419719</v>
          </cell>
          <cell r="AX177">
            <v>1.4430187909981058</v>
          </cell>
          <cell r="AY177">
            <v>1.2923971403480323</v>
          </cell>
          <cell r="AZ177">
            <v>1.1785050733908478</v>
          </cell>
          <cell r="BA177">
            <v>1.3433889489273994</v>
          </cell>
          <cell r="BB177">
            <v>1.2265545990556588</v>
          </cell>
          <cell r="BC177">
            <v>1.2571458643971927</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cell r="AJ178">
            <v>7.9301406957527112</v>
          </cell>
          <cell r="AK178">
            <v>7.6586609772993617</v>
          </cell>
          <cell r="AL178">
            <v>7.5774552212762423</v>
          </cell>
          <cell r="AM178">
            <v>5.6453939930651131</v>
          </cell>
          <cell r="AN178">
            <v>4.800793231843981</v>
          </cell>
          <cell r="AO178">
            <v>3.5881391412601156</v>
          </cell>
          <cell r="AP178">
            <v>3.1529819033971824</v>
          </cell>
          <cell r="AQ178">
            <v>4.0691744688008198</v>
          </cell>
          <cell r="AR178">
            <v>4.5400289951106014</v>
          </cell>
          <cell r="AS178">
            <v>4.8555474587969272</v>
          </cell>
          <cell r="AT178">
            <v>4.6966359797376018</v>
          </cell>
          <cell r="AU178">
            <v>4.8557170740974245</v>
          </cell>
          <cell r="AV178">
            <v>4.451750056135543</v>
          </cell>
          <cell r="AW178">
            <v>3.8657972013430704</v>
          </cell>
          <cell r="AX178">
            <v>3.9817445148405937</v>
          </cell>
          <cell r="AY178">
            <v>3.9951806948216846</v>
          </cell>
          <cell r="AZ178">
            <v>4.4738164673360306</v>
          </cell>
          <cell r="BA178">
            <v>4.2737219736102183</v>
          </cell>
          <cell r="BB178">
            <v>4.0870251812551333</v>
          </cell>
          <cell r="BC178">
            <v>4.137725578117939</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cell r="AJ179">
            <v>0.30110367185511056</v>
          </cell>
          <cell r="AK179">
            <v>0.38924897939746522</v>
          </cell>
          <cell r="AL179">
            <v>0.34341311895347121</v>
          </cell>
          <cell r="AM179">
            <v>0.29927348040561341</v>
          </cell>
          <cell r="AN179">
            <v>0.29688874456634085</v>
          </cell>
          <cell r="AO179">
            <v>0.29379933994281465</v>
          </cell>
          <cell r="AP179">
            <v>0.29041766271303127</v>
          </cell>
          <cell r="AQ179">
            <v>0.28614144770449462</v>
          </cell>
          <cell r="AR179">
            <v>0.28163861967746157</v>
          </cell>
          <cell r="AS179">
            <v>0.27688800876616482</v>
          </cell>
          <cell r="AT179">
            <v>0.27357754310134663</v>
          </cell>
          <cell r="AU179">
            <v>0.27063184585003941</v>
          </cell>
          <cell r="AV179">
            <v>0.26801411864303953</v>
          </cell>
          <cell r="AW179">
            <v>0.26660240614409092</v>
          </cell>
          <cell r="AX179">
            <v>0.25138198684402913</v>
          </cell>
          <cell r="AY179">
            <v>0.26455339135243683</v>
          </cell>
          <cell r="AZ179">
            <v>0.26299167309250365</v>
          </cell>
          <cell r="BA179">
            <v>0.26140909607327911</v>
          </cell>
          <cell r="BB179">
            <v>0.25947687815142023</v>
          </cell>
          <cell r="BC179">
            <v>0.25750619496776178</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cell r="AJ180">
            <v>0.1534457254274641</v>
          </cell>
          <cell r="AK180">
            <v>0.19765540078516197</v>
          </cell>
          <cell r="AL180">
            <v>0.18600542935034625</v>
          </cell>
          <cell r="AM180">
            <v>9.5760802585072302E-2</v>
          </cell>
          <cell r="AN180">
            <v>0.10062051473914659</v>
          </cell>
          <cell r="AO180">
            <v>8.5646792534183808E-2</v>
          </cell>
          <cell r="AP180">
            <v>6.5415041923045286E-2</v>
          </cell>
          <cell r="AQ180">
            <v>5.7242996146950373E-2</v>
          </cell>
          <cell r="AR180">
            <v>5.5087150941189433E-2</v>
          </cell>
          <cell r="AS180">
            <v>7.3916214299540497E-2</v>
          </cell>
          <cell r="AT180">
            <v>9.2056169088318471E-2</v>
          </cell>
          <cell r="AU180">
            <v>0.10393709432109566</v>
          </cell>
          <cell r="AV180">
            <v>0.15172170448022598</v>
          </cell>
          <cell r="AW180">
            <v>0.15706997726929292</v>
          </cell>
          <cell r="AX180">
            <v>0.14510580631504899</v>
          </cell>
          <cell r="AY180">
            <v>0.15272706829792246</v>
          </cell>
          <cell r="AZ180">
            <v>0.14104647748606622</v>
          </cell>
          <cell r="BA180">
            <v>0.11700741064540764</v>
          </cell>
          <cell r="BB180">
            <v>0.1200067315077773</v>
          </cell>
          <cell r="BC180">
            <v>0.11457442878633581</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cell r="AJ181">
            <v>0.65647802514629705</v>
          </cell>
          <cell r="AK181">
            <v>0.46894871790011039</v>
          </cell>
          <cell r="AL181">
            <v>0.47387410836125871</v>
          </cell>
          <cell r="AM181">
            <v>0.45144590813821411</v>
          </cell>
          <cell r="AN181">
            <v>0.4505136151455652</v>
          </cell>
          <cell r="AO181">
            <v>0.44778046039172248</v>
          </cell>
          <cell r="AP181">
            <v>0.44523396067124349</v>
          </cell>
          <cell r="AQ181">
            <v>0.44273536313864043</v>
          </cell>
          <cell r="AR181">
            <v>0.4399078135546039</v>
          </cell>
          <cell r="AS181">
            <v>0.43708606600163591</v>
          </cell>
          <cell r="AT181">
            <v>0.43513915585550955</v>
          </cell>
          <cell r="AU181">
            <v>0.43580404899906589</v>
          </cell>
          <cell r="AV181">
            <v>0.59161866303702282</v>
          </cell>
          <cell r="AW181">
            <v>0.66467702134516005</v>
          </cell>
          <cell r="AX181">
            <v>0.65353995366480533</v>
          </cell>
          <cell r="AY181">
            <v>0.676060915960916</v>
          </cell>
          <cell r="AZ181">
            <v>0.70559825286541389</v>
          </cell>
          <cell r="BA181">
            <v>0.63206878506691044</v>
          </cell>
          <cell r="BB181">
            <v>0.63726309269471215</v>
          </cell>
          <cell r="BC181">
            <v>0.5828366650853003</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cell r="AJ182">
            <v>1.4231904443967454</v>
          </cell>
          <cell r="AK182">
            <v>1.0326774321313152</v>
          </cell>
          <cell r="AL182">
            <v>1.0158776160943388</v>
          </cell>
          <cell r="AM182">
            <v>0.74304915446037911</v>
          </cell>
          <cell r="AN182">
            <v>0.76054102414226543</v>
          </cell>
          <cell r="AO182">
            <v>0.65616402459427536</v>
          </cell>
          <cell r="AP182">
            <v>0.62755023267601961</v>
          </cell>
          <cell r="AQ182">
            <v>0.61023293273354484</v>
          </cell>
          <cell r="AR182">
            <v>0.60571699788717037</v>
          </cell>
          <cell r="AS182">
            <v>0.65097903457434547</v>
          </cell>
          <cell r="AT182">
            <v>0.69319811486407867</v>
          </cell>
          <cell r="AU182">
            <v>0.78843795894088464</v>
          </cell>
          <cell r="AV182">
            <v>1.3645659476947984</v>
          </cell>
          <cell r="AW182">
            <v>1.6032227373726178</v>
          </cell>
          <cell r="AX182">
            <v>1.6412696995684901</v>
          </cell>
          <cell r="AY182">
            <v>1.670283030615213</v>
          </cell>
          <cell r="AZ182">
            <v>1.755661848186447</v>
          </cell>
          <cell r="BA182">
            <v>1.4871375295645746</v>
          </cell>
          <cell r="BB182">
            <v>1.4400033906080374</v>
          </cell>
          <cell r="BC182">
            <v>1.3499648074414823</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cell r="AJ183">
            <v>2.9843729551074403</v>
          </cell>
          <cell r="AK183">
            <v>4.1336070304911159</v>
          </cell>
          <cell r="AL183">
            <v>3.5601449453189118</v>
          </cell>
          <cell r="AM183">
            <v>3.2007770264658664</v>
          </cell>
          <cell r="AN183">
            <v>2.6531465767673241</v>
          </cell>
          <cell r="AO183">
            <v>1.8730082465149496</v>
          </cell>
          <cell r="AP183">
            <v>1.6467285324389391</v>
          </cell>
          <cell r="AQ183">
            <v>1.5196240263467067</v>
          </cell>
          <cell r="AR183">
            <v>1.3328145698119136</v>
          </cell>
          <cell r="AS183">
            <v>1.3372342578617185</v>
          </cell>
          <cell r="AT183">
            <v>1.4086686461757902</v>
          </cell>
          <cell r="AU183">
            <v>1.6725933548501446</v>
          </cell>
          <cell r="AV183">
            <v>2.0158466086985318</v>
          </cell>
          <cell r="AW183">
            <v>2.3033709594417431</v>
          </cell>
          <cell r="AX183">
            <v>2.063930246052466</v>
          </cell>
          <cell r="AY183">
            <v>1.9880083370090949</v>
          </cell>
          <cell r="AZ183">
            <v>1.9342270452860566</v>
          </cell>
          <cell r="BA183">
            <v>1.774507966199161</v>
          </cell>
          <cell r="BB183">
            <v>1.6723841845019074</v>
          </cell>
          <cell r="BC183">
            <v>1.5414284807799123</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cell r="AJ184">
            <v>2.9815730429100533</v>
          </cell>
          <cell r="AK184">
            <v>4.5029406937179912</v>
          </cell>
          <cell r="AL184">
            <v>4.0786070344439063</v>
          </cell>
          <cell r="AM184">
            <v>3.5919834720533679</v>
          </cell>
          <cell r="AN184">
            <v>3.0400934926407626</v>
          </cell>
          <cell r="AO184">
            <v>2.3018670718031324</v>
          </cell>
          <cell r="AP184">
            <v>2.1321468422073435</v>
          </cell>
          <cell r="AQ184">
            <v>1.9771504564110642</v>
          </cell>
          <cell r="AR184">
            <v>1.8096072137015302</v>
          </cell>
          <cell r="AS184">
            <v>1.9023478055732992</v>
          </cell>
          <cell r="AT184">
            <v>2.0129777404511922</v>
          </cell>
          <cell r="AU184">
            <v>2.304026079874093</v>
          </cell>
          <cell r="AV184">
            <v>2.7992417645016405</v>
          </cell>
          <cell r="AW184">
            <v>3.0682339807477179</v>
          </cell>
          <cell r="AX184">
            <v>2.7441690138981158</v>
          </cell>
          <cell r="AY184">
            <v>2.8046561391012603</v>
          </cell>
          <cell r="AZ184">
            <v>2.7282838662201567</v>
          </cell>
          <cell r="BA184">
            <v>2.4959637785038216</v>
          </cell>
          <cell r="BB184">
            <v>2.4392052334479857</v>
          </cell>
          <cell r="BC184">
            <v>2.3386950979959957</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cell r="AJ185">
            <v>4.2644375966469603</v>
          </cell>
          <cell r="AK185">
            <v>3.1854829351393543</v>
          </cell>
          <cell r="AL185">
            <v>3.1699057451518957</v>
          </cell>
          <cell r="AM185">
            <v>2.2628528186826316</v>
          </cell>
          <cell r="AN185">
            <v>2.6023617076700645</v>
          </cell>
          <cell r="AO185">
            <v>2.2919684786454506</v>
          </cell>
          <cell r="AP185">
            <v>2.1556450092355899</v>
          </cell>
          <cell r="AQ185">
            <v>1.4820394508668711</v>
          </cell>
          <cell r="AR185">
            <v>1.5603361472368396</v>
          </cell>
          <cell r="AS185">
            <v>2.3546097038898557</v>
          </cell>
          <cell r="AT185">
            <v>3.2740386396924066</v>
          </cell>
          <cell r="AU185">
            <v>3.6241751874536021</v>
          </cell>
          <cell r="AV185">
            <v>4.4420137300219826</v>
          </cell>
          <cell r="AW185">
            <v>5.8224273473135861</v>
          </cell>
          <cell r="AX185">
            <v>6.4604400946422142</v>
          </cell>
          <cell r="AY185">
            <v>6.9014803298142597</v>
          </cell>
          <cell r="AZ185">
            <v>6.748515751490312</v>
          </cell>
          <cell r="BA185">
            <v>6.4364694734288266</v>
          </cell>
          <cell r="BB185">
            <v>6.3053235195290611</v>
          </cell>
          <cell r="BC185">
            <v>6.2236620394663484</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cell r="AJ186">
            <v>9.3943869595092213</v>
          </cell>
          <cell r="AK186">
            <v>12.863107129152304</v>
          </cell>
          <cell r="AL186">
            <v>10.7220378193485</v>
          </cell>
          <cell r="AM186">
            <v>10.142128438066296</v>
          </cell>
          <cell r="AN186">
            <v>9.4611923499879236</v>
          </cell>
          <cell r="AO186">
            <v>7.3638556881373223</v>
          </cell>
          <cell r="AP186">
            <v>8.1591439254269407</v>
          </cell>
          <cell r="AQ186">
            <v>7.9603673258815011</v>
          </cell>
          <cell r="AR186">
            <v>8.6026166911432824</v>
          </cell>
          <cell r="AS186">
            <v>9.3207800366095146</v>
          </cell>
          <cell r="AT186">
            <v>9.0572786632714859</v>
          </cell>
          <cell r="AU186">
            <v>10.184423730877143</v>
          </cell>
          <cell r="AV186">
            <v>10.787657533789663</v>
          </cell>
          <cell r="AW186">
            <v>11.005378574708409</v>
          </cell>
          <cell r="AX186">
            <v>10.267063981307951</v>
          </cell>
          <cell r="AY186">
            <v>11.027475862918971</v>
          </cell>
          <cell r="AZ186">
            <v>9.9609233822623686</v>
          </cell>
          <cell r="BA186">
            <v>10.340047869658916</v>
          </cell>
          <cell r="BB186">
            <v>9.8383849729989699</v>
          </cell>
          <cell r="BC186">
            <v>9.3282989614436094</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3.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2"/>
  <dimension ref="B3:D22"/>
  <sheetViews>
    <sheetView tabSelected="1" workbookViewId="0">
      <selection activeCell="B21" sqref="B21"/>
    </sheetView>
  </sheetViews>
  <sheetFormatPr defaultRowHeight="12.75"/>
  <cols>
    <col min="1" max="1" width="9.140625" style="11"/>
    <col min="2" max="2" width="31" style="11" customWidth="1"/>
    <col min="3" max="3" width="62.7109375" style="12" customWidth="1"/>
    <col min="4" max="4" width="74.85546875" style="11" customWidth="1"/>
    <col min="5" max="5" width="28.85546875" style="11" customWidth="1"/>
    <col min="6" max="257" width="9.140625" style="11"/>
    <col min="258" max="258" width="26.7109375" style="11" customWidth="1"/>
    <col min="259" max="259" width="73.7109375" style="11" customWidth="1"/>
    <col min="260" max="260" width="58.42578125" style="11" customWidth="1"/>
    <col min="261" max="261" width="28.85546875" style="11" customWidth="1"/>
    <col min="262" max="513" width="9.140625" style="11"/>
    <col min="514" max="514" width="26.7109375" style="11" customWidth="1"/>
    <col min="515" max="515" width="73.7109375" style="11" customWidth="1"/>
    <col min="516" max="516" width="58.42578125" style="11" customWidth="1"/>
    <col min="517" max="517" width="28.85546875" style="11" customWidth="1"/>
    <col min="518" max="769" width="9.140625" style="11"/>
    <col min="770" max="770" width="26.7109375" style="11" customWidth="1"/>
    <col min="771" max="771" width="73.7109375" style="11" customWidth="1"/>
    <col min="772" max="772" width="58.42578125" style="11" customWidth="1"/>
    <col min="773" max="773" width="28.85546875" style="11" customWidth="1"/>
    <col min="774" max="1025" width="9.140625" style="11"/>
    <col min="1026" max="1026" width="26.7109375" style="11" customWidth="1"/>
    <col min="1027" max="1027" width="73.7109375" style="11" customWidth="1"/>
    <col min="1028" max="1028" width="58.42578125" style="11" customWidth="1"/>
    <col min="1029" max="1029" width="28.85546875" style="11" customWidth="1"/>
    <col min="1030" max="1281" width="9.140625" style="11"/>
    <col min="1282" max="1282" width="26.7109375" style="11" customWidth="1"/>
    <col min="1283" max="1283" width="73.7109375" style="11" customWidth="1"/>
    <col min="1284" max="1284" width="58.42578125" style="11" customWidth="1"/>
    <col min="1285" max="1285" width="28.85546875" style="11" customWidth="1"/>
    <col min="1286" max="1537" width="9.140625" style="11"/>
    <col min="1538" max="1538" width="26.7109375" style="11" customWidth="1"/>
    <col min="1539" max="1539" width="73.7109375" style="11" customWidth="1"/>
    <col min="1540" max="1540" width="58.42578125" style="11" customWidth="1"/>
    <col min="1541" max="1541" width="28.85546875" style="11" customWidth="1"/>
    <col min="1542" max="1793" width="9.140625" style="11"/>
    <col min="1794" max="1794" width="26.7109375" style="11" customWidth="1"/>
    <col min="1795" max="1795" width="73.7109375" style="11" customWidth="1"/>
    <col min="1796" max="1796" width="58.42578125" style="11" customWidth="1"/>
    <col min="1797" max="1797" width="28.85546875" style="11" customWidth="1"/>
    <col min="1798" max="2049" width="9.140625" style="11"/>
    <col min="2050" max="2050" width="26.7109375" style="11" customWidth="1"/>
    <col min="2051" max="2051" width="73.7109375" style="11" customWidth="1"/>
    <col min="2052" max="2052" width="58.42578125" style="11" customWidth="1"/>
    <col min="2053" max="2053" width="28.85546875" style="11" customWidth="1"/>
    <col min="2054" max="2305" width="9.140625" style="11"/>
    <col min="2306" max="2306" width="26.7109375" style="11" customWidth="1"/>
    <col min="2307" max="2307" width="73.7109375" style="11" customWidth="1"/>
    <col min="2308" max="2308" width="58.42578125" style="11" customWidth="1"/>
    <col min="2309" max="2309" width="28.85546875" style="11" customWidth="1"/>
    <col min="2310" max="2561" width="9.140625" style="11"/>
    <col min="2562" max="2562" width="26.7109375" style="11" customWidth="1"/>
    <col min="2563" max="2563" width="73.7109375" style="11" customWidth="1"/>
    <col min="2564" max="2564" width="58.42578125" style="11" customWidth="1"/>
    <col min="2565" max="2565" width="28.85546875" style="11" customWidth="1"/>
    <col min="2566" max="2817" width="9.140625" style="11"/>
    <col min="2818" max="2818" width="26.7109375" style="11" customWidth="1"/>
    <col min="2819" max="2819" width="73.7109375" style="11" customWidth="1"/>
    <col min="2820" max="2820" width="58.42578125" style="11" customWidth="1"/>
    <col min="2821" max="2821" width="28.85546875" style="11" customWidth="1"/>
    <col min="2822" max="3073" width="9.140625" style="11"/>
    <col min="3074" max="3074" width="26.7109375" style="11" customWidth="1"/>
    <col min="3075" max="3075" width="73.7109375" style="11" customWidth="1"/>
    <col min="3076" max="3076" width="58.42578125" style="11" customWidth="1"/>
    <col min="3077" max="3077" width="28.85546875" style="11" customWidth="1"/>
    <col min="3078" max="3329" width="9.140625" style="11"/>
    <col min="3330" max="3330" width="26.7109375" style="11" customWidth="1"/>
    <col min="3331" max="3331" width="73.7109375" style="11" customWidth="1"/>
    <col min="3332" max="3332" width="58.42578125" style="11" customWidth="1"/>
    <col min="3333" max="3333" width="28.85546875" style="11" customWidth="1"/>
    <col min="3334" max="3585" width="9.140625" style="11"/>
    <col min="3586" max="3586" width="26.7109375" style="11" customWidth="1"/>
    <col min="3587" max="3587" width="73.7109375" style="11" customWidth="1"/>
    <col min="3588" max="3588" width="58.42578125" style="11" customWidth="1"/>
    <col min="3589" max="3589" width="28.85546875" style="11" customWidth="1"/>
    <col min="3590" max="3841" width="9.140625" style="11"/>
    <col min="3842" max="3842" width="26.7109375" style="11" customWidth="1"/>
    <col min="3843" max="3843" width="73.7109375" style="11" customWidth="1"/>
    <col min="3844" max="3844" width="58.42578125" style="11" customWidth="1"/>
    <col min="3845" max="3845" width="28.85546875" style="11" customWidth="1"/>
    <col min="3846" max="4097" width="9.140625" style="11"/>
    <col min="4098" max="4098" width="26.7109375" style="11" customWidth="1"/>
    <col min="4099" max="4099" width="73.7109375" style="11" customWidth="1"/>
    <col min="4100" max="4100" width="58.42578125" style="11" customWidth="1"/>
    <col min="4101" max="4101" width="28.85546875" style="11" customWidth="1"/>
    <col min="4102" max="4353" width="9.140625" style="11"/>
    <col min="4354" max="4354" width="26.7109375" style="11" customWidth="1"/>
    <col min="4355" max="4355" width="73.7109375" style="11" customWidth="1"/>
    <col min="4356" max="4356" width="58.42578125" style="11" customWidth="1"/>
    <col min="4357" max="4357" width="28.85546875" style="11" customWidth="1"/>
    <col min="4358" max="4609" width="9.140625" style="11"/>
    <col min="4610" max="4610" width="26.7109375" style="11" customWidth="1"/>
    <col min="4611" max="4611" width="73.7109375" style="11" customWidth="1"/>
    <col min="4612" max="4612" width="58.42578125" style="11" customWidth="1"/>
    <col min="4613" max="4613" width="28.85546875" style="11" customWidth="1"/>
    <col min="4614" max="4865" width="9.140625" style="11"/>
    <col min="4866" max="4866" width="26.7109375" style="11" customWidth="1"/>
    <col min="4867" max="4867" width="73.7109375" style="11" customWidth="1"/>
    <col min="4868" max="4868" width="58.42578125" style="11" customWidth="1"/>
    <col min="4869" max="4869" width="28.85546875" style="11" customWidth="1"/>
    <col min="4870" max="5121" width="9.140625" style="11"/>
    <col min="5122" max="5122" width="26.7109375" style="11" customWidth="1"/>
    <col min="5123" max="5123" width="73.7109375" style="11" customWidth="1"/>
    <col min="5124" max="5124" width="58.42578125" style="11" customWidth="1"/>
    <col min="5125" max="5125" width="28.85546875" style="11" customWidth="1"/>
    <col min="5126" max="5377" width="9.140625" style="11"/>
    <col min="5378" max="5378" width="26.7109375" style="11" customWidth="1"/>
    <col min="5379" max="5379" width="73.7109375" style="11" customWidth="1"/>
    <col min="5380" max="5380" width="58.42578125" style="11" customWidth="1"/>
    <col min="5381" max="5381" width="28.85546875" style="11" customWidth="1"/>
    <col min="5382" max="5633" width="9.140625" style="11"/>
    <col min="5634" max="5634" width="26.7109375" style="11" customWidth="1"/>
    <col min="5635" max="5635" width="73.7109375" style="11" customWidth="1"/>
    <col min="5636" max="5636" width="58.42578125" style="11" customWidth="1"/>
    <col min="5637" max="5637" width="28.85546875" style="11" customWidth="1"/>
    <col min="5638" max="5889" width="9.140625" style="11"/>
    <col min="5890" max="5890" width="26.7109375" style="11" customWidth="1"/>
    <col min="5891" max="5891" width="73.7109375" style="11" customWidth="1"/>
    <col min="5892" max="5892" width="58.42578125" style="11" customWidth="1"/>
    <col min="5893" max="5893" width="28.85546875" style="11" customWidth="1"/>
    <col min="5894" max="6145" width="9.140625" style="11"/>
    <col min="6146" max="6146" width="26.7109375" style="11" customWidth="1"/>
    <col min="6147" max="6147" width="73.7109375" style="11" customWidth="1"/>
    <col min="6148" max="6148" width="58.42578125" style="11" customWidth="1"/>
    <col min="6149" max="6149" width="28.85546875" style="11" customWidth="1"/>
    <col min="6150" max="6401" width="9.140625" style="11"/>
    <col min="6402" max="6402" width="26.7109375" style="11" customWidth="1"/>
    <col min="6403" max="6403" width="73.7109375" style="11" customWidth="1"/>
    <col min="6404" max="6404" width="58.42578125" style="11" customWidth="1"/>
    <col min="6405" max="6405" width="28.85546875" style="11" customWidth="1"/>
    <col min="6406" max="6657" width="9.140625" style="11"/>
    <col min="6658" max="6658" width="26.7109375" style="11" customWidth="1"/>
    <col min="6659" max="6659" width="73.7109375" style="11" customWidth="1"/>
    <col min="6660" max="6660" width="58.42578125" style="11" customWidth="1"/>
    <col min="6661" max="6661" width="28.85546875" style="11" customWidth="1"/>
    <col min="6662" max="6913" width="9.140625" style="11"/>
    <col min="6914" max="6914" width="26.7109375" style="11" customWidth="1"/>
    <col min="6915" max="6915" width="73.7109375" style="11" customWidth="1"/>
    <col min="6916" max="6916" width="58.42578125" style="11" customWidth="1"/>
    <col min="6917" max="6917" width="28.85546875" style="11" customWidth="1"/>
    <col min="6918" max="7169" width="9.140625" style="11"/>
    <col min="7170" max="7170" width="26.7109375" style="11" customWidth="1"/>
    <col min="7171" max="7171" width="73.7109375" style="11" customWidth="1"/>
    <col min="7172" max="7172" width="58.42578125" style="11" customWidth="1"/>
    <col min="7173" max="7173" width="28.85546875" style="11" customWidth="1"/>
    <col min="7174" max="7425" width="9.140625" style="11"/>
    <col min="7426" max="7426" width="26.7109375" style="11" customWidth="1"/>
    <col min="7427" max="7427" width="73.7109375" style="11" customWidth="1"/>
    <col min="7428" max="7428" width="58.42578125" style="11" customWidth="1"/>
    <col min="7429" max="7429" width="28.85546875" style="11" customWidth="1"/>
    <col min="7430" max="7681" width="9.140625" style="11"/>
    <col min="7682" max="7682" width="26.7109375" style="11" customWidth="1"/>
    <col min="7683" max="7683" width="73.7109375" style="11" customWidth="1"/>
    <col min="7684" max="7684" width="58.42578125" style="11" customWidth="1"/>
    <col min="7685" max="7685" width="28.85546875" style="11" customWidth="1"/>
    <col min="7686" max="7937" width="9.140625" style="11"/>
    <col min="7938" max="7938" width="26.7109375" style="11" customWidth="1"/>
    <col min="7939" max="7939" width="73.7109375" style="11" customWidth="1"/>
    <col min="7940" max="7940" width="58.42578125" style="11" customWidth="1"/>
    <col min="7941" max="7941" width="28.85546875" style="11" customWidth="1"/>
    <col min="7942" max="8193" width="9.140625" style="11"/>
    <col min="8194" max="8194" width="26.7109375" style="11" customWidth="1"/>
    <col min="8195" max="8195" width="73.7109375" style="11" customWidth="1"/>
    <col min="8196" max="8196" width="58.42578125" style="11" customWidth="1"/>
    <col min="8197" max="8197" width="28.85546875" style="11" customWidth="1"/>
    <col min="8198" max="8449" width="9.140625" style="11"/>
    <col min="8450" max="8450" width="26.7109375" style="11" customWidth="1"/>
    <col min="8451" max="8451" width="73.7109375" style="11" customWidth="1"/>
    <col min="8452" max="8452" width="58.42578125" style="11" customWidth="1"/>
    <col min="8453" max="8453" width="28.85546875" style="11" customWidth="1"/>
    <col min="8454" max="8705" width="9.140625" style="11"/>
    <col min="8706" max="8706" width="26.7109375" style="11" customWidth="1"/>
    <col min="8707" max="8707" width="73.7109375" style="11" customWidth="1"/>
    <col min="8708" max="8708" width="58.42578125" style="11" customWidth="1"/>
    <col min="8709" max="8709" width="28.85546875" style="11" customWidth="1"/>
    <col min="8710" max="8961" width="9.140625" style="11"/>
    <col min="8962" max="8962" width="26.7109375" style="11" customWidth="1"/>
    <col min="8963" max="8963" width="73.7109375" style="11" customWidth="1"/>
    <col min="8964" max="8964" width="58.42578125" style="11" customWidth="1"/>
    <col min="8965" max="8965" width="28.85546875" style="11" customWidth="1"/>
    <col min="8966" max="9217" width="9.140625" style="11"/>
    <col min="9218" max="9218" width="26.7109375" style="11" customWidth="1"/>
    <col min="9219" max="9219" width="73.7109375" style="11" customWidth="1"/>
    <col min="9220" max="9220" width="58.42578125" style="11" customWidth="1"/>
    <col min="9221" max="9221" width="28.85546875" style="11" customWidth="1"/>
    <col min="9222" max="9473" width="9.140625" style="11"/>
    <col min="9474" max="9474" width="26.7109375" style="11" customWidth="1"/>
    <col min="9475" max="9475" width="73.7109375" style="11" customWidth="1"/>
    <col min="9476" max="9476" width="58.42578125" style="11" customWidth="1"/>
    <col min="9477" max="9477" width="28.85546875" style="11" customWidth="1"/>
    <col min="9478" max="9729" width="9.140625" style="11"/>
    <col min="9730" max="9730" width="26.7109375" style="11" customWidth="1"/>
    <col min="9731" max="9731" width="73.7109375" style="11" customWidth="1"/>
    <col min="9732" max="9732" width="58.42578125" style="11" customWidth="1"/>
    <col min="9733" max="9733" width="28.85546875" style="11" customWidth="1"/>
    <col min="9734" max="9985" width="9.140625" style="11"/>
    <col min="9986" max="9986" width="26.7109375" style="11" customWidth="1"/>
    <col min="9987" max="9987" width="73.7109375" style="11" customWidth="1"/>
    <col min="9988" max="9988" width="58.42578125" style="11" customWidth="1"/>
    <col min="9989" max="9989" width="28.85546875" style="11" customWidth="1"/>
    <col min="9990" max="10241" width="9.140625" style="11"/>
    <col min="10242" max="10242" width="26.7109375" style="11" customWidth="1"/>
    <col min="10243" max="10243" width="73.7109375" style="11" customWidth="1"/>
    <col min="10244" max="10244" width="58.42578125" style="11" customWidth="1"/>
    <col min="10245" max="10245" width="28.85546875" style="11" customWidth="1"/>
    <col min="10246" max="10497" width="9.140625" style="11"/>
    <col min="10498" max="10498" width="26.7109375" style="11" customWidth="1"/>
    <col min="10499" max="10499" width="73.7109375" style="11" customWidth="1"/>
    <col min="10500" max="10500" width="58.42578125" style="11" customWidth="1"/>
    <col min="10501" max="10501" width="28.85546875" style="11" customWidth="1"/>
    <col min="10502" max="10753" width="9.140625" style="11"/>
    <col min="10754" max="10754" width="26.7109375" style="11" customWidth="1"/>
    <col min="10755" max="10755" width="73.7109375" style="11" customWidth="1"/>
    <col min="10756" max="10756" width="58.42578125" style="11" customWidth="1"/>
    <col min="10757" max="10757" width="28.85546875" style="11" customWidth="1"/>
    <col min="10758" max="11009" width="9.140625" style="11"/>
    <col min="11010" max="11010" width="26.7109375" style="11" customWidth="1"/>
    <col min="11011" max="11011" width="73.7109375" style="11" customWidth="1"/>
    <col min="11012" max="11012" width="58.42578125" style="11" customWidth="1"/>
    <col min="11013" max="11013" width="28.85546875" style="11" customWidth="1"/>
    <col min="11014" max="11265" width="9.140625" style="11"/>
    <col min="11266" max="11266" width="26.7109375" style="11" customWidth="1"/>
    <col min="11267" max="11267" width="73.7109375" style="11" customWidth="1"/>
    <col min="11268" max="11268" width="58.42578125" style="11" customWidth="1"/>
    <col min="11269" max="11269" width="28.85546875" style="11" customWidth="1"/>
    <col min="11270" max="11521" width="9.140625" style="11"/>
    <col min="11522" max="11522" width="26.7109375" style="11" customWidth="1"/>
    <col min="11523" max="11523" width="73.7109375" style="11" customWidth="1"/>
    <col min="11524" max="11524" width="58.42578125" style="11" customWidth="1"/>
    <col min="11525" max="11525" width="28.85546875" style="11" customWidth="1"/>
    <col min="11526" max="11777" width="9.140625" style="11"/>
    <col min="11778" max="11778" width="26.7109375" style="11" customWidth="1"/>
    <col min="11779" max="11779" width="73.7109375" style="11" customWidth="1"/>
    <col min="11780" max="11780" width="58.42578125" style="11" customWidth="1"/>
    <col min="11781" max="11781" width="28.85546875" style="11" customWidth="1"/>
    <col min="11782" max="12033" width="9.140625" style="11"/>
    <col min="12034" max="12034" width="26.7109375" style="11" customWidth="1"/>
    <col min="12035" max="12035" width="73.7109375" style="11" customWidth="1"/>
    <col min="12036" max="12036" width="58.42578125" style="11" customWidth="1"/>
    <col min="12037" max="12037" width="28.85546875" style="11" customWidth="1"/>
    <col min="12038" max="12289" width="9.140625" style="11"/>
    <col min="12290" max="12290" width="26.7109375" style="11" customWidth="1"/>
    <col min="12291" max="12291" width="73.7109375" style="11" customWidth="1"/>
    <col min="12292" max="12292" width="58.42578125" style="11" customWidth="1"/>
    <col min="12293" max="12293" width="28.85546875" style="11" customWidth="1"/>
    <col min="12294" max="12545" width="9.140625" style="11"/>
    <col min="12546" max="12546" width="26.7109375" style="11" customWidth="1"/>
    <col min="12547" max="12547" width="73.7109375" style="11" customWidth="1"/>
    <col min="12548" max="12548" width="58.42578125" style="11" customWidth="1"/>
    <col min="12549" max="12549" width="28.85546875" style="11" customWidth="1"/>
    <col min="12550" max="12801" width="9.140625" style="11"/>
    <col min="12802" max="12802" width="26.7109375" style="11" customWidth="1"/>
    <col min="12803" max="12803" width="73.7109375" style="11" customWidth="1"/>
    <col min="12804" max="12804" width="58.42578125" style="11" customWidth="1"/>
    <col min="12805" max="12805" width="28.85546875" style="11" customWidth="1"/>
    <col min="12806" max="13057" width="9.140625" style="11"/>
    <col min="13058" max="13058" width="26.7109375" style="11" customWidth="1"/>
    <col min="13059" max="13059" width="73.7109375" style="11" customWidth="1"/>
    <col min="13060" max="13060" width="58.42578125" style="11" customWidth="1"/>
    <col min="13061" max="13061" width="28.85546875" style="11" customWidth="1"/>
    <col min="13062" max="13313" width="9.140625" style="11"/>
    <col min="13314" max="13314" width="26.7109375" style="11" customWidth="1"/>
    <col min="13315" max="13315" width="73.7109375" style="11" customWidth="1"/>
    <col min="13316" max="13316" width="58.42578125" style="11" customWidth="1"/>
    <col min="13317" max="13317" width="28.85546875" style="11" customWidth="1"/>
    <col min="13318" max="13569" width="9.140625" style="11"/>
    <col min="13570" max="13570" width="26.7109375" style="11" customWidth="1"/>
    <col min="13571" max="13571" width="73.7109375" style="11" customWidth="1"/>
    <col min="13572" max="13572" width="58.42578125" style="11" customWidth="1"/>
    <col min="13573" max="13573" width="28.85546875" style="11" customWidth="1"/>
    <col min="13574" max="13825" width="9.140625" style="11"/>
    <col min="13826" max="13826" width="26.7109375" style="11" customWidth="1"/>
    <col min="13827" max="13827" width="73.7109375" style="11" customWidth="1"/>
    <col min="13828" max="13828" width="58.42578125" style="11" customWidth="1"/>
    <col min="13829" max="13829" width="28.85546875" style="11" customWidth="1"/>
    <col min="13830" max="14081" width="9.140625" style="11"/>
    <col min="14082" max="14082" width="26.7109375" style="11" customWidth="1"/>
    <col min="14083" max="14083" width="73.7109375" style="11" customWidth="1"/>
    <col min="14084" max="14084" width="58.42578125" style="11" customWidth="1"/>
    <col min="14085" max="14085" width="28.85546875" style="11" customWidth="1"/>
    <col min="14086" max="14337" width="9.140625" style="11"/>
    <col min="14338" max="14338" width="26.7109375" style="11" customWidth="1"/>
    <col min="14339" max="14339" width="73.7109375" style="11" customWidth="1"/>
    <col min="14340" max="14340" width="58.42578125" style="11" customWidth="1"/>
    <col min="14341" max="14341" width="28.85546875" style="11" customWidth="1"/>
    <col min="14342" max="14593" width="9.140625" style="11"/>
    <col min="14594" max="14594" width="26.7109375" style="11" customWidth="1"/>
    <col min="14595" max="14595" width="73.7109375" style="11" customWidth="1"/>
    <col min="14596" max="14596" width="58.42578125" style="11" customWidth="1"/>
    <col min="14597" max="14597" width="28.85546875" style="11" customWidth="1"/>
    <col min="14598" max="14849" width="9.140625" style="11"/>
    <col min="14850" max="14850" width="26.7109375" style="11" customWidth="1"/>
    <col min="14851" max="14851" width="73.7109375" style="11" customWidth="1"/>
    <col min="14852" max="14852" width="58.42578125" style="11" customWidth="1"/>
    <col min="14853" max="14853" width="28.85546875" style="11" customWidth="1"/>
    <col min="14854" max="15105" width="9.140625" style="11"/>
    <col min="15106" max="15106" width="26.7109375" style="11" customWidth="1"/>
    <col min="15107" max="15107" width="73.7109375" style="11" customWidth="1"/>
    <col min="15108" max="15108" width="58.42578125" style="11" customWidth="1"/>
    <col min="15109" max="15109" width="28.85546875" style="11" customWidth="1"/>
    <col min="15110" max="15361" width="9.140625" style="11"/>
    <col min="15362" max="15362" width="26.7109375" style="11" customWidth="1"/>
    <col min="15363" max="15363" width="73.7109375" style="11" customWidth="1"/>
    <col min="15364" max="15364" width="58.42578125" style="11" customWidth="1"/>
    <col min="15365" max="15365" width="28.85546875" style="11" customWidth="1"/>
    <col min="15366" max="15617" width="9.140625" style="11"/>
    <col min="15618" max="15618" width="26.7109375" style="11" customWidth="1"/>
    <col min="15619" max="15619" width="73.7109375" style="11" customWidth="1"/>
    <col min="15620" max="15620" width="58.42578125" style="11" customWidth="1"/>
    <col min="15621" max="15621" width="28.85546875" style="11" customWidth="1"/>
    <col min="15622" max="15873" width="9.140625" style="11"/>
    <col min="15874" max="15874" width="26.7109375" style="11" customWidth="1"/>
    <col min="15875" max="15875" width="73.7109375" style="11" customWidth="1"/>
    <col min="15876" max="15876" width="58.42578125" style="11" customWidth="1"/>
    <col min="15877" max="15877" width="28.85546875" style="11" customWidth="1"/>
    <col min="15878" max="16129" width="9.140625" style="11"/>
    <col min="16130" max="16130" width="26.7109375" style="11" customWidth="1"/>
    <col min="16131" max="16131" width="73.7109375" style="11" customWidth="1"/>
    <col min="16132" max="16132" width="58.42578125" style="11" customWidth="1"/>
    <col min="16133" max="16133" width="28.85546875" style="11" customWidth="1"/>
    <col min="16134" max="16384" width="9.140625" style="11"/>
  </cols>
  <sheetData>
    <row r="3" spans="2:4" ht="15.75">
      <c r="B3" s="417" t="s">
        <v>442</v>
      </c>
      <c r="C3" s="418"/>
      <c r="D3" s="419"/>
    </row>
    <row r="4" spans="2:4">
      <c r="B4" s="420" t="s">
        <v>12</v>
      </c>
      <c r="C4" s="420" t="s">
        <v>13</v>
      </c>
      <c r="D4" s="420" t="s">
        <v>14</v>
      </c>
    </row>
    <row r="5" spans="2:4" ht="63.75">
      <c r="B5" s="421" t="s">
        <v>15</v>
      </c>
      <c r="C5" s="422" t="s">
        <v>982</v>
      </c>
      <c r="D5" s="423" t="s">
        <v>890</v>
      </c>
    </row>
    <row r="6" spans="2:4" ht="63.75">
      <c r="B6" s="421" t="s">
        <v>16</v>
      </c>
      <c r="C6" s="424" t="s">
        <v>433</v>
      </c>
      <c r="D6" s="425" t="s">
        <v>923</v>
      </c>
    </row>
    <row r="7" spans="2:4" ht="38.25">
      <c r="B7" s="421" t="s">
        <v>23</v>
      </c>
      <c r="C7" s="424" t="s">
        <v>431</v>
      </c>
      <c r="D7" s="425"/>
    </row>
    <row r="8" spans="2:4" ht="25.5">
      <c r="B8" s="421" t="s">
        <v>17</v>
      </c>
      <c r="C8" s="425" t="s">
        <v>975</v>
      </c>
      <c r="D8" s="424" t="s">
        <v>983</v>
      </c>
    </row>
    <row r="9" spans="2:4">
      <c r="B9" s="421" t="s">
        <v>26</v>
      </c>
      <c r="C9" s="425"/>
      <c r="D9" s="424"/>
    </row>
    <row r="10" spans="2:4" ht="38.25">
      <c r="B10" s="421" t="s">
        <v>18</v>
      </c>
      <c r="C10" s="425" t="s">
        <v>976</v>
      </c>
      <c r="D10" s="424" t="s">
        <v>909</v>
      </c>
    </row>
    <row r="11" spans="2:4" ht="38.25">
      <c r="B11" s="421" t="s">
        <v>19</v>
      </c>
      <c r="C11" s="424" t="s">
        <v>893</v>
      </c>
      <c r="D11" s="424"/>
    </row>
    <row r="12" spans="2:4" ht="38.25">
      <c r="B12" s="421" t="s">
        <v>20</v>
      </c>
      <c r="C12" s="426" t="s">
        <v>981</v>
      </c>
      <c r="D12" s="424"/>
    </row>
    <row r="13" spans="2:4">
      <c r="B13" s="421" t="s">
        <v>21</v>
      </c>
      <c r="C13" s="424" t="s">
        <v>974</v>
      </c>
      <c r="D13" s="424"/>
    </row>
    <row r="14" spans="2:4">
      <c r="B14" s="421" t="s">
        <v>24</v>
      </c>
      <c r="C14" s="424" t="s">
        <v>894</v>
      </c>
      <c r="D14" s="424"/>
    </row>
    <row r="15" spans="2:4">
      <c r="B15" s="421" t="s">
        <v>22</v>
      </c>
      <c r="C15" s="427" t="s">
        <v>920</v>
      </c>
      <c r="D15" s="424"/>
    </row>
    <row r="16" spans="2:4">
      <c r="B16" s="421" t="s">
        <v>25</v>
      </c>
      <c r="C16" s="424" t="s">
        <v>897</v>
      </c>
      <c r="D16" s="424"/>
    </row>
    <row r="21" spans="2:3">
      <c r="B21" s="433" t="s">
        <v>990</v>
      </c>
      <c r="C21" s="12" t="s">
        <v>991</v>
      </c>
    </row>
    <row r="22" spans="2:3">
      <c r="B22" s="433" t="s">
        <v>988</v>
      </c>
      <c r="C22" s="12" t="s">
        <v>989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15"/>
  <dimension ref="A1:BD46"/>
  <sheetViews>
    <sheetView workbookViewId="0">
      <selection activeCell="I2" sqref="I2"/>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8" width="11.85546875" customWidth="1"/>
    <col min="9" max="9" width="11.5703125" customWidth="1"/>
    <col min="10" max="10" width="39.7109375" customWidth="1"/>
  </cols>
  <sheetData>
    <row r="1" spans="1:56" ht="15.75" thickBot="1">
      <c r="A1" s="39" t="s">
        <v>911</v>
      </c>
      <c r="B1" s="39" t="s">
        <v>912</v>
      </c>
      <c r="C1" s="39" t="s">
        <v>913</v>
      </c>
      <c r="D1" s="39" t="s">
        <v>914</v>
      </c>
      <c r="E1" s="39" t="s">
        <v>182</v>
      </c>
      <c r="F1" s="39" t="s">
        <v>915</v>
      </c>
      <c r="G1" s="39" t="s">
        <v>916</v>
      </c>
      <c r="H1" s="39" t="s">
        <v>917</v>
      </c>
      <c r="I1" s="39" t="s">
        <v>44</v>
      </c>
      <c r="J1" s="39" t="s">
        <v>45</v>
      </c>
      <c r="K1" s="40">
        <v>2016</v>
      </c>
      <c r="L1" s="344">
        <v>2017</v>
      </c>
      <c r="M1" s="344">
        <v>2018</v>
      </c>
      <c r="N1" s="344">
        <v>2019</v>
      </c>
      <c r="O1" s="344">
        <v>2020</v>
      </c>
      <c r="P1" s="344">
        <v>2021</v>
      </c>
      <c r="Q1" s="344">
        <v>2022</v>
      </c>
      <c r="R1" s="344">
        <v>2023</v>
      </c>
      <c r="S1" s="344">
        <v>2024</v>
      </c>
      <c r="T1" s="344">
        <v>2025</v>
      </c>
      <c r="U1" s="344">
        <v>2026</v>
      </c>
      <c r="V1" s="344">
        <v>2027</v>
      </c>
      <c r="W1" s="344">
        <v>2028</v>
      </c>
      <c r="X1" s="344">
        <v>2029</v>
      </c>
      <c r="Y1" s="344">
        <v>2030</v>
      </c>
      <c r="Z1" s="344">
        <v>2031</v>
      </c>
      <c r="AA1" s="344">
        <v>2032</v>
      </c>
      <c r="AB1" s="344">
        <v>2033</v>
      </c>
      <c r="AC1" s="344">
        <v>2034</v>
      </c>
      <c r="AD1" s="344">
        <v>2035</v>
      </c>
      <c r="AE1" s="345" t="s">
        <v>38</v>
      </c>
      <c r="AF1" s="259" t="s">
        <v>786</v>
      </c>
      <c r="AG1" s="260"/>
      <c r="AH1" s="260"/>
      <c r="AI1" s="260"/>
      <c r="AJ1" s="260"/>
      <c r="AK1" s="260"/>
      <c r="AL1" s="260"/>
      <c r="AM1" s="260"/>
      <c r="AN1" s="260"/>
      <c r="AO1" s="260"/>
      <c r="AP1" s="260"/>
      <c r="AQ1" s="249"/>
      <c r="AR1" s="258"/>
      <c r="AS1" s="259" t="s">
        <v>787</v>
      </c>
      <c r="AT1" s="260"/>
      <c r="AU1" s="260"/>
      <c r="AV1" s="260"/>
      <c r="AW1" s="260"/>
      <c r="AX1" s="260"/>
      <c r="AY1" s="260"/>
      <c r="AZ1" s="260"/>
      <c r="BA1" s="260"/>
      <c r="BB1" s="260"/>
      <c r="BC1" s="260"/>
      <c r="BD1" s="249"/>
    </row>
    <row r="2" spans="1:56" ht="15">
      <c r="A2" s="39"/>
      <c r="B2" s="39"/>
      <c r="C2" s="39"/>
      <c r="D2" s="39"/>
      <c r="E2" s="39"/>
      <c r="F2" s="39" t="s">
        <v>783</v>
      </c>
      <c r="G2" s="39" t="s">
        <v>782</v>
      </c>
      <c r="H2" s="39" t="s">
        <v>43</v>
      </c>
      <c r="I2" s="39"/>
      <c r="J2" s="39"/>
      <c r="K2" s="41" t="str">
        <f t="shared" ref="K2:AD2" si="0">CONCATENATE("aMW_",K$1)</f>
        <v>aMW_2016</v>
      </c>
      <c r="L2" s="346" t="str">
        <f t="shared" si="0"/>
        <v>aMW_2017</v>
      </c>
      <c r="M2" s="346" t="str">
        <f t="shared" si="0"/>
        <v>aMW_2018</v>
      </c>
      <c r="N2" s="346" t="str">
        <f t="shared" si="0"/>
        <v>aMW_2019</v>
      </c>
      <c r="O2" s="346" t="str">
        <f t="shared" si="0"/>
        <v>aMW_2020</v>
      </c>
      <c r="P2" s="346" t="str">
        <f t="shared" si="0"/>
        <v>aMW_2021</v>
      </c>
      <c r="Q2" s="346" t="str">
        <f t="shared" si="0"/>
        <v>aMW_2022</v>
      </c>
      <c r="R2" s="346" t="str">
        <f t="shared" si="0"/>
        <v>aMW_2023</v>
      </c>
      <c r="S2" s="346" t="str">
        <f t="shared" si="0"/>
        <v>aMW_2024</v>
      </c>
      <c r="T2" s="346" t="str">
        <f t="shared" si="0"/>
        <v>aMW_2025</v>
      </c>
      <c r="U2" s="346" t="str">
        <f t="shared" si="0"/>
        <v>aMW_2026</v>
      </c>
      <c r="V2" s="346" t="str">
        <f t="shared" si="0"/>
        <v>aMW_2027</v>
      </c>
      <c r="W2" s="346" t="str">
        <f t="shared" si="0"/>
        <v>aMW_2028</v>
      </c>
      <c r="X2" s="346" t="str">
        <f t="shared" si="0"/>
        <v>aMW_2029</v>
      </c>
      <c r="Y2" s="346" t="str">
        <f t="shared" si="0"/>
        <v>aMW_2030</v>
      </c>
      <c r="Z2" s="346" t="str">
        <f t="shared" si="0"/>
        <v>aMW_2031</v>
      </c>
      <c r="AA2" s="346" t="str">
        <f t="shared" si="0"/>
        <v>aMW_2032</v>
      </c>
      <c r="AB2" s="346" t="str">
        <f t="shared" si="0"/>
        <v>aMW_2033</v>
      </c>
      <c r="AC2" s="346" t="str">
        <f t="shared" si="0"/>
        <v>aMW_2034</v>
      </c>
      <c r="AD2" s="346" t="str">
        <f t="shared" si="0"/>
        <v>aMW_2035</v>
      </c>
      <c r="AE2" s="347" t="s">
        <v>38</v>
      </c>
      <c r="AF2" s="362" t="s">
        <v>766</v>
      </c>
      <c r="AG2" s="361" t="s">
        <v>767</v>
      </c>
      <c r="AH2" s="361" t="s">
        <v>768</v>
      </c>
      <c r="AI2" s="361" t="s">
        <v>769</v>
      </c>
      <c r="AJ2" s="361" t="s">
        <v>770</v>
      </c>
      <c r="AK2" s="361" t="s">
        <v>771</v>
      </c>
      <c r="AL2" s="361" t="s">
        <v>772</v>
      </c>
      <c r="AM2" s="361" t="s">
        <v>773</v>
      </c>
      <c r="AN2" s="361" t="s">
        <v>774</v>
      </c>
      <c r="AO2" s="361" t="s">
        <v>775</v>
      </c>
      <c r="AP2" s="361" t="s">
        <v>776</v>
      </c>
      <c r="AQ2" s="361" t="s">
        <v>777</v>
      </c>
      <c r="AR2" s="242"/>
      <c r="AS2" s="242" t="s">
        <v>766</v>
      </c>
      <c r="AT2" s="242" t="s">
        <v>767</v>
      </c>
      <c r="AU2" s="242" t="s">
        <v>768</v>
      </c>
      <c r="AV2" s="242" t="s">
        <v>769</v>
      </c>
      <c r="AW2" s="242" t="s">
        <v>770</v>
      </c>
      <c r="AX2" s="242" t="s">
        <v>771</v>
      </c>
      <c r="AY2" s="242" t="s">
        <v>772</v>
      </c>
      <c r="AZ2" s="242" t="s">
        <v>773</v>
      </c>
      <c r="BA2" s="242" t="s">
        <v>774</v>
      </c>
      <c r="BB2" s="242" t="s">
        <v>775</v>
      </c>
      <c r="BC2" s="242" t="s">
        <v>776</v>
      </c>
      <c r="BD2" s="242" t="s">
        <v>777</v>
      </c>
    </row>
    <row r="3" spans="1:56" ht="15">
      <c r="A3" s="39" t="str">
        <f>VLOOKUP(CONCATENATE($C3,"-",$B3),[1]ACHIEV!$B$19:$C$100,2,FALSE)</f>
        <v>RetroEven20</v>
      </c>
      <c r="B3" s="39" t="str">
        <f>'SC Retro'!$C$7</f>
        <v>Retro</v>
      </c>
      <c r="C3" s="39" t="str">
        <f>'7PSourceSummary'!$B$3</f>
        <v>Commercial EM</v>
      </c>
      <c r="D3" s="39" t="s">
        <v>918</v>
      </c>
      <c r="E3" s="363" t="str">
        <f>'SC Retro'!$A$9</f>
        <v>HVAC</v>
      </c>
      <c r="F3" s="364">
        <f t="shared" ref="F3:F20" si="1">VLOOKUP(J3,MeasureOutput,14,FALSE)</f>
        <v>0.13638573696630285</v>
      </c>
      <c r="G3" s="365">
        <f>INDEX('SC Retro'!$A$60:$D$77,MATCH($J3,'SC Retro'!$D$60:$D$77,0),1)</f>
        <v>725.50864856337955</v>
      </c>
      <c r="H3" s="365">
        <f>INDEX('SC Retro'!$A$60:$D$77,MATCH($J3,'SC Retro'!$D$60:$D$77,0),2)</f>
        <v>39.162427820666892</v>
      </c>
      <c r="I3" s="18" t="str">
        <f>'SC Retro'!C60</f>
        <v>Large Off</v>
      </c>
      <c r="J3" s="27" t="str">
        <f>'SC Retro'!D60</f>
        <v>Commercial EM-Retro-Large Off</v>
      </c>
      <c r="K3" s="42">
        <f t="shared" ref="K3:T12" si="2">VLOOKUP($J3,SCRetro,COLUMN()-9,FALSE)</f>
        <v>1.089288703132028</v>
      </c>
      <c r="L3" s="42">
        <f t="shared" si="2"/>
        <v>1.0860208370226319</v>
      </c>
      <c r="M3" s="42">
        <f t="shared" si="2"/>
        <v>1.0827627745115638</v>
      </c>
      <c r="N3" s="42">
        <f t="shared" si="2"/>
        <v>1.1017218835820022</v>
      </c>
      <c r="O3" s="42">
        <f t="shared" si="2"/>
        <v>1.1208563030730165</v>
      </c>
      <c r="P3" s="42">
        <f t="shared" si="2"/>
        <v>1.1346786195382712</v>
      </c>
      <c r="Q3" s="42">
        <f t="shared" si="2"/>
        <v>1.1483421208341282</v>
      </c>
      <c r="R3" s="42">
        <f t="shared" si="2"/>
        <v>1.1648830695709227</v>
      </c>
      <c r="S3" s="42">
        <f t="shared" si="2"/>
        <v>1.1807156006044897</v>
      </c>
      <c r="T3" s="42">
        <f t="shared" si="2"/>
        <v>1.1931106567642069</v>
      </c>
      <c r="U3" s="42">
        <f t="shared" ref="U3:AE12" si="3">VLOOKUP($J3,SCRetro,COLUMN()-9,FALSE)</f>
        <v>1.2097724459220272</v>
      </c>
      <c r="V3" s="42">
        <f t="shared" si="3"/>
        <v>1.2239128631611647</v>
      </c>
      <c r="W3" s="42">
        <f t="shared" si="3"/>
        <v>1.2375510535214154</v>
      </c>
      <c r="X3" s="42">
        <f t="shared" si="3"/>
        <v>1.2533275965520734</v>
      </c>
      <c r="Y3" s="42">
        <f t="shared" si="3"/>
        <v>1.2691231978145239</v>
      </c>
      <c r="Z3" s="42">
        <f t="shared" si="3"/>
        <v>1.286703462286173</v>
      </c>
      <c r="AA3" s="42">
        <f t="shared" si="3"/>
        <v>1.3063121839279979</v>
      </c>
      <c r="AB3" s="42">
        <f t="shared" si="3"/>
        <v>1.3240012487103081</v>
      </c>
      <c r="AC3" s="42">
        <f t="shared" si="3"/>
        <v>1.3435716236339461</v>
      </c>
      <c r="AD3" s="42">
        <f t="shared" si="3"/>
        <v>1.3627217378460632</v>
      </c>
      <c r="AE3" s="42">
        <f t="shared" si="3"/>
        <v>27.254434756921263</v>
      </c>
      <c r="AF3" s="348">
        <f t="shared" ref="AF3:AQ12" si="4">VLOOKUP($J3,MeasureOutput,COLUMN()-17,FALSE)</f>
        <v>45.49311703756532</v>
      </c>
      <c r="AG3" s="348">
        <f t="shared" si="4"/>
        <v>40.905691843972178</v>
      </c>
      <c r="AH3" s="348">
        <f t="shared" si="4"/>
        <v>47.071935463762948</v>
      </c>
      <c r="AI3" s="348">
        <f t="shared" si="4"/>
        <v>43.792008246766201</v>
      </c>
      <c r="AJ3" s="348">
        <f t="shared" si="4"/>
        <v>44.709046797035434</v>
      </c>
      <c r="AK3" s="348">
        <f t="shared" si="4"/>
        <v>44.255904268524567</v>
      </c>
      <c r="AL3" s="348">
        <f t="shared" si="4"/>
        <v>42.043864510987241</v>
      </c>
      <c r="AM3" s="348">
        <f t="shared" si="4"/>
        <v>43.808110254080241</v>
      </c>
      <c r="AN3" s="348">
        <f t="shared" si="4"/>
        <v>40.930778289515608</v>
      </c>
      <c r="AO3" s="348">
        <f t="shared" si="4"/>
        <v>46.668864905600934</v>
      </c>
      <c r="AP3" s="348">
        <f t="shared" si="4"/>
        <v>41.299408097798903</v>
      </c>
      <c r="AQ3" s="348">
        <f t="shared" si="4"/>
        <v>44.964259135436045</v>
      </c>
      <c r="AR3" s="348"/>
      <c r="AS3" s="348">
        <f t="shared" ref="AS3:BD12" si="5">VLOOKUP($J3,MeasureOutput,COLUMN()-17,FALSE)</f>
        <v>19.314543168225171</v>
      </c>
      <c r="AT3" s="348">
        <f t="shared" si="5"/>
        <v>16.594488598439092</v>
      </c>
      <c r="AU3" s="348">
        <f t="shared" si="5"/>
        <v>15.917608284724611</v>
      </c>
      <c r="AV3" s="348">
        <f t="shared" si="5"/>
        <v>16.62063680479109</v>
      </c>
      <c r="AW3" s="348">
        <f t="shared" si="5"/>
        <v>16.307073151761461</v>
      </c>
      <c r="AX3" s="348">
        <f t="shared" si="5"/>
        <v>14.309004474516398</v>
      </c>
      <c r="AY3" s="348">
        <f t="shared" si="5"/>
        <v>16.800590154534618</v>
      </c>
      <c r="AZ3" s="348">
        <f t="shared" si="5"/>
        <v>13.778183305184831</v>
      </c>
      <c r="BA3" s="348">
        <f t="shared" si="5"/>
        <v>16.962438182503028</v>
      </c>
      <c r="BB3" s="348">
        <f t="shared" si="5"/>
        <v>15.234915504147224</v>
      </c>
      <c r="BC3" s="348">
        <f t="shared" si="5"/>
        <v>18.278767990712538</v>
      </c>
      <c r="BD3" s="348">
        <f t="shared" si="5"/>
        <v>19.447410092793817</v>
      </c>
    </row>
    <row r="4" spans="1:56" ht="15">
      <c r="A4" s="39" t="str">
        <f>VLOOKUP(CONCATENATE($C4,"-",$B4),[1]ACHIEV!$B$19:$C$100,2,FALSE)</f>
        <v>RetroEven20</v>
      </c>
      <c r="B4" s="39" t="str">
        <f>'SC Retro'!$C$7</f>
        <v>Retro</v>
      </c>
      <c r="C4" s="39" t="str">
        <f>'7PSourceSummary'!$B$3</f>
        <v>Commercial EM</v>
      </c>
      <c r="D4" s="39" t="s">
        <v>918</v>
      </c>
      <c r="E4" s="363" t="str">
        <f>'SC Retro'!$A$9</f>
        <v>HVAC</v>
      </c>
      <c r="F4" s="364">
        <f t="shared" si="1"/>
        <v>1.6958468666944754E-2</v>
      </c>
      <c r="G4" s="365">
        <f>INDEX('SC Retro'!$A$60:$D$77,MATCH($J4,'SC Retro'!$D$60:$D$77,0),1)</f>
        <v>90.211161063706868</v>
      </c>
      <c r="H4" s="365">
        <f>INDEX('SC Retro'!$A$60:$D$77,MATCH($J4,'SC Retro'!$D$60:$D$77,0),2)</f>
        <v>49.619656481615465</v>
      </c>
      <c r="I4" s="18" t="str">
        <f>'SC Retro'!C61</f>
        <v>Medium Off</v>
      </c>
      <c r="J4" s="27" t="str">
        <f>'SC Retro'!D61</f>
        <v>Commercial EM-Retro-Medium Off</v>
      </c>
      <c r="K4" s="42">
        <f t="shared" si="2"/>
        <v>6.7968995104035215E-2</v>
      </c>
      <c r="L4" s="42">
        <f t="shared" si="2"/>
        <v>6.7765088118723116E-2</v>
      </c>
      <c r="M4" s="42">
        <f t="shared" si="2"/>
        <v>6.7561792854366948E-2</v>
      </c>
      <c r="N4" s="42">
        <f t="shared" si="2"/>
        <v>6.9495528106891732E-2</v>
      </c>
      <c r="O4" s="42">
        <f t="shared" si="2"/>
        <v>7.154938893811634E-2</v>
      </c>
      <c r="P4" s="42">
        <f t="shared" si="2"/>
        <v>7.2995874722063259E-2</v>
      </c>
      <c r="Q4" s="42">
        <f t="shared" si="2"/>
        <v>7.4468225941618657E-2</v>
      </c>
      <c r="R4" s="42">
        <f t="shared" si="2"/>
        <v>7.6247901822830838E-2</v>
      </c>
      <c r="S4" s="42">
        <f t="shared" si="2"/>
        <v>7.7933445729970255E-2</v>
      </c>
      <c r="T4" s="42">
        <f t="shared" si="2"/>
        <v>7.9193801987787749E-2</v>
      </c>
      <c r="U4" s="42">
        <f t="shared" si="3"/>
        <v>8.099682389143506E-2</v>
      </c>
      <c r="V4" s="42">
        <f t="shared" si="3"/>
        <v>8.2542514191489239E-2</v>
      </c>
      <c r="W4" s="42">
        <f t="shared" si="3"/>
        <v>8.4001901009259111E-2</v>
      </c>
      <c r="X4" s="42">
        <f t="shared" si="3"/>
        <v>8.5715275436957658E-2</v>
      </c>
      <c r="Y4" s="42">
        <f t="shared" si="3"/>
        <v>8.7423905330286406E-2</v>
      </c>
      <c r="Z4" s="42">
        <f t="shared" si="3"/>
        <v>8.9265613596962973E-2</v>
      </c>
      <c r="AA4" s="42">
        <f t="shared" si="3"/>
        <v>9.1267376161109678E-2</v>
      </c>
      <c r="AB4" s="42">
        <f t="shared" si="3"/>
        <v>9.3140003287201067E-2</v>
      </c>
      <c r="AC4" s="42">
        <f t="shared" si="3"/>
        <v>9.5238717466531536E-2</v>
      </c>
      <c r="AD4" s="42">
        <f t="shared" si="3"/>
        <v>9.7222036962468547E-2</v>
      </c>
      <c r="AE4" s="42">
        <f t="shared" si="3"/>
        <v>1.9444407392493706</v>
      </c>
      <c r="AF4" s="348">
        <f t="shared" si="4"/>
        <v>5.6567029441928875</v>
      </c>
      <c r="AG4" s="348">
        <f t="shared" si="4"/>
        <v>5.0862935440756054</v>
      </c>
      <c r="AH4" s="348">
        <f t="shared" si="4"/>
        <v>5.85301630809019</v>
      </c>
      <c r="AI4" s="348">
        <f t="shared" si="4"/>
        <v>5.4451837577330986</v>
      </c>
      <c r="AJ4" s="348">
        <f t="shared" si="4"/>
        <v>5.5592101205115148</v>
      </c>
      <c r="AK4" s="348">
        <f t="shared" si="4"/>
        <v>5.5028654942892699</v>
      </c>
      <c r="AL4" s="348">
        <f t="shared" si="4"/>
        <v>5.2278161544341701</v>
      </c>
      <c r="AM4" s="348">
        <f t="shared" si="4"/>
        <v>5.447185912742734</v>
      </c>
      <c r="AN4" s="348">
        <f t="shared" si="4"/>
        <v>5.0894128416662197</v>
      </c>
      <c r="AO4" s="348">
        <f t="shared" si="4"/>
        <v>5.8028977283676832</v>
      </c>
      <c r="AP4" s="348">
        <f t="shared" si="4"/>
        <v>5.1352489913437971</v>
      </c>
      <c r="AQ4" s="348">
        <f t="shared" si="4"/>
        <v>5.5909437206698192</v>
      </c>
      <c r="AR4" s="348"/>
      <c r="AS4" s="348">
        <f t="shared" si="5"/>
        <v>2.4016079864394162</v>
      </c>
      <c r="AT4" s="348">
        <f t="shared" si="5"/>
        <v>2.0633910935285829</v>
      </c>
      <c r="AU4" s="348">
        <f t="shared" si="5"/>
        <v>1.9792264745095511</v>
      </c>
      <c r="AV4" s="348">
        <f t="shared" si="5"/>
        <v>2.0666424125299732</v>
      </c>
      <c r="AW4" s="348">
        <f t="shared" si="5"/>
        <v>2.0276532960484639</v>
      </c>
      <c r="AX4" s="348">
        <f t="shared" si="5"/>
        <v>1.7792095378434836</v>
      </c>
      <c r="AY4" s="348">
        <f t="shared" si="5"/>
        <v>2.0890181631841003</v>
      </c>
      <c r="AZ4" s="348">
        <f t="shared" si="5"/>
        <v>1.7132061978455155</v>
      </c>
      <c r="BA4" s="348">
        <f t="shared" si="5"/>
        <v>2.1091426627993881</v>
      </c>
      <c r="BB4" s="348">
        <f t="shared" si="5"/>
        <v>1.8943391220187884</v>
      </c>
      <c r="BC4" s="348">
        <f t="shared" si="5"/>
        <v>2.2728176797361059</v>
      </c>
      <c r="BD4" s="348">
        <f t="shared" si="5"/>
        <v>2.4181289191064983</v>
      </c>
    </row>
    <row r="5" spans="1:56" ht="15">
      <c r="A5" s="39" t="str">
        <f>VLOOKUP(CONCATENATE($C5,"-",$B5),[1]ACHIEV!$B$19:$C$100,2,FALSE)</f>
        <v>RetroEven20</v>
      </c>
      <c r="B5" s="39" t="str">
        <f>'SC Retro'!$C$7</f>
        <v>Retro</v>
      </c>
      <c r="C5" s="39" t="str">
        <f>'7PSourceSummary'!$B$3</f>
        <v>Commercial EM</v>
      </c>
      <c r="D5" s="39" t="s">
        <v>918</v>
      </c>
      <c r="E5" s="363" t="str">
        <f>'SC Retro'!$A$9</f>
        <v>HVAC</v>
      </c>
      <c r="F5" s="364">
        <f t="shared" si="1"/>
        <v>4.6433905419675766E-3</v>
      </c>
      <c r="G5" s="365">
        <f>INDEX('SC Retro'!$A$60:$D$77,MATCH($J5,'SC Retro'!$D$60:$D$77,0),1)</f>
        <v>24.700676711430738</v>
      </c>
      <c r="H5" s="365">
        <f>INDEX('SC Retro'!$A$60:$D$77,MATCH($J5,'SC Retro'!$D$60:$D$77,0),2)</f>
        <v>158.76451573600036</v>
      </c>
      <c r="I5" s="18" t="str">
        <f>'SC Retro'!C62</f>
        <v>Small Off</v>
      </c>
      <c r="J5" s="27" t="str">
        <f>'SC Retro'!D62</f>
        <v>Commercial EM-Retro-Small Off</v>
      </c>
      <c r="K5" s="42">
        <f t="shared" si="2"/>
        <v>1.796214381455194E-2</v>
      </c>
      <c r="L5" s="42">
        <f t="shared" si="2"/>
        <v>1.7908257383108292E-2</v>
      </c>
      <c r="M5" s="42">
        <f t="shared" si="2"/>
        <v>1.7854532610958967E-2</v>
      </c>
      <c r="N5" s="42">
        <f t="shared" si="2"/>
        <v>1.795437782559646E-2</v>
      </c>
      <c r="O5" s="42">
        <f t="shared" si="2"/>
        <v>1.8063151097735163E-2</v>
      </c>
      <c r="P5" s="42">
        <f t="shared" si="2"/>
        <v>1.8128659819460033E-2</v>
      </c>
      <c r="Q5" s="42">
        <f t="shared" si="2"/>
        <v>1.8196998579095625E-2</v>
      </c>
      <c r="R5" s="42">
        <f t="shared" si="2"/>
        <v>1.8286394156972485E-2</v>
      </c>
      <c r="S5" s="42">
        <f t="shared" si="2"/>
        <v>1.8370269582768793E-2</v>
      </c>
      <c r="T5" s="42">
        <f t="shared" si="2"/>
        <v>1.8422920793038935E-2</v>
      </c>
      <c r="U5" s="42">
        <f t="shared" si="3"/>
        <v>1.8514370767089717E-2</v>
      </c>
      <c r="V5" s="42">
        <f t="shared" si="3"/>
        <v>1.8587911494997309E-2</v>
      </c>
      <c r="W5" s="42">
        <f t="shared" si="3"/>
        <v>1.865519797454632E-2</v>
      </c>
      <c r="X5" s="42">
        <f t="shared" si="3"/>
        <v>1.8739941843623129E-2</v>
      </c>
      <c r="Y5" s="42">
        <f t="shared" si="3"/>
        <v>1.8824635499243778E-2</v>
      </c>
      <c r="Z5" s="42">
        <f t="shared" si="3"/>
        <v>1.891928994385628E-2</v>
      </c>
      <c r="AA5" s="42">
        <f t="shared" si="3"/>
        <v>1.9025822799394975E-2</v>
      </c>
      <c r="AB5" s="42">
        <f t="shared" si="3"/>
        <v>1.9122651886209065E-2</v>
      </c>
      <c r="AC5" s="42">
        <f t="shared" si="3"/>
        <v>1.9236255015801017E-2</v>
      </c>
      <c r="AD5" s="42">
        <f t="shared" si="3"/>
        <v>1.9341050741921866E-2</v>
      </c>
      <c r="AE5" s="42">
        <f t="shared" si="3"/>
        <v>0.38682101483843734</v>
      </c>
      <c r="AF5" s="348">
        <f t="shared" si="4"/>
        <v>1.5488592434636106</v>
      </c>
      <c r="AG5" s="348">
        <f t="shared" si="4"/>
        <v>1.3926757067556841</v>
      </c>
      <c r="AH5" s="348">
        <f t="shared" si="4"/>
        <v>1.6026117157584336</v>
      </c>
      <c r="AI5" s="348">
        <f t="shared" si="4"/>
        <v>1.4909432718543059</v>
      </c>
      <c r="AJ5" s="348">
        <f t="shared" si="4"/>
        <v>1.5221647780444427</v>
      </c>
      <c r="AK5" s="348">
        <f t="shared" si="4"/>
        <v>1.5067370817335703</v>
      </c>
      <c r="AL5" s="348">
        <f t="shared" si="4"/>
        <v>1.43142594790773</v>
      </c>
      <c r="AM5" s="348">
        <f t="shared" si="4"/>
        <v>1.4914914810008908</v>
      </c>
      <c r="AN5" s="348">
        <f t="shared" si="4"/>
        <v>1.39352980020093</v>
      </c>
      <c r="AO5" s="348">
        <f t="shared" si="4"/>
        <v>1.5888887703893186</v>
      </c>
      <c r="AP5" s="348">
        <f t="shared" si="4"/>
        <v>1.4060801753599754</v>
      </c>
      <c r="AQ5" s="348">
        <f t="shared" si="4"/>
        <v>1.5308537405758809</v>
      </c>
      <c r="AR5" s="348"/>
      <c r="AS5" s="348">
        <f t="shared" si="5"/>
        <v>0.65758318329078591</v>
      </c>
      <c r="AT5" s="348">
        <f t="shared" si="5"/>
        <v>0.56497617068138839</v>
      </c>
      <c r="AU5" s="348">
        <f t="shared" si="5"/>
        <v>0.54193109487905278</v>
      </c>
      <c r="AV5" s="348">
        <f t="shared" si="5"/>
        <v>0.56586641284867811</v>
      </c>
      <c r="AW5" s="348">
        <f t="shared" si="5"/>
        <v>0.55519082071441905</v>
      </c>
      <c r="AX5" s="348">
        <f t="shared" si="5"/>
        <v>0.48716454901994061</v>
      </c>
      <c r="AY5" s="348">
        <f t="shared" si="5"/>
        <v>0.5719931068914792</v>
      </c>
      <c r="AZ5" s="348">
        <f t="shared" si="5"/>
        <v>0.46909220471197721</v>
      </c>
      <c r="BA5" s="348">
        <f t="shared" si="5"/>
        <v>0.5775033869179772</v>
      </c>
      <c r="BB5" s="348">
        <f t="shared" si="5"/>
        <v>0.51868812775569584</v>
      </c>
      <c r="BC5" s="348">
        <f t="shared" si="5"/>
        <v>0.62231916837363044</v>
      </c>
      <c r="BD5" s="348">
        <f t="shared" si="5"/>
        <v>0.66210677230093873</v>
      </c>
    </row>
    <row r="6" spans="1:56" ht="15">
      <c r="A6" s="39" t="str">
        <f>VLOOKUP(CONCATENATE($C6,"-",$B6),[1]ACHIEV!$B$19:$C$100,2,FALSE)</f>
        <v>RetroEven20</v>
      </c>
      <c r="B6" s="39" t="str">
        <f>'SC Retro'!$C$7</f>
        <v>Retro</v>
      </c>
      <c r="C6" s="39" t="str">
        <f>'7PSourceSummary'!$B$3</f>
        <v>Commercial EM</v>
      </c>
      <c r="D6" s="39" t="s">
        <v>918</v>
      </c>
      <c r="E6" s="363" t="str">
        <f>'SC Retro'!$A$9</f>
        <v>HVAC</v>
      </c>
      <c r="F6" s="364">
        <f t="shared" si="1"/>
        <v>6.2942083331581616E-3</v>
      </c>
      <c r="G6" s="365">
        <f>INDEX('SC Retro'!$A$60:$D$77,MATCH($J6,'SC Retro'!$D$60:$D$77,0),1)</f>
        <v>33.48225909205005</v>
      </c>
      <c r="H6" s="365">
        <f>INDEX('SC Retro'!$A$60:$D$77,MATCH($J6,'SC Retro'!$D$60:$D$77,0),2)</f>
        <v>46.488987183778313</v>
      </c>
      <c r="I6" s="18" t="str">
        <f>'SC Retro'!C63</f>
        <v>XLarge Ret</v>
      </c>
      <c r="J6" s="27" t="str">
        <f>'SC Retro'!D63</f>
        <v>Commercial EM-Retro-XLarge Ret</v>
      </c>
      <c r="K6" s="42">
        <f t="shared" si="2"/>
        <v>1.8299232726818857E-2</v>
      </c>
      <c r="L6" s="42">
        <f t="shared" si="2"/>
        <v>1.8215056256275487E-2</v>
      </c>
      <c r="M6" s="42">
        <f t="shared" si="2"/>
        <v>1.8131266997496617E-2</v>
      </c>
      <c r="N6" s="42">
        <f t="shared" si="2"/>
        <v>1.8165636234071539E-2</v>
      </c>
      <c r="O6" s="42">
        <f t="shared" si="2"/>
        <v>1.8320608292163771E-2</v>
      </c>
      <c r="P6" s="42">
        <f t="shared" si="2"/>
        <v>1.8434476969736914E-2</v>
      </c>
      <c r="Q6" s="42">
        <f t="shared" si="2"/>
        <v>1.8470981441762558E-2</v>
      </c>
      <c r="R6" s="42">
        <f t="shared" si="2"/>
        <v>1.8509725647418023E-2</v>
      </c>
      <c r="S6" s="42">
        <f t="shared" si="2"/>
        <v>1.8540809983836077E-2</v>
      </c>
      <c r="T6" s="42">
        <f t="shared" si="2"/>
        <v>1.8556502539750271E-2</v>
      </c>
      <c r="U6" s="42">
        <f t="shared" si="3"/>
        <v>1.8572864353057827E-2</v>
      </c>
      <c r="V6" s="42">
        <f t="shared" si="3"/>
        <v>1.8586837127114238E-2</v>
      </c>
      <c r="W6" s="42">
        <f t="shared" si="3"/>
        <v>1.8625138325142641E-2</v>
      </c>
      <c r="X6" s="42">
        <f t="shared" si="3"/>
        <v>1.8681996704233268E-2</v>
      </c>
      <c r="Y6" s="42">
        <f t="shared" si="3"/>
        <v>1.8747719996002488E-2</v>
      </c>
      <c r="Z6" s="42">
        <f t="shared" si="3"/>
        <v>1.8882708902757846E-2</v>
      </c>
      <c r="AA6" s="42">
        <f t="shared" si="3"/>
        <v>1.9045388465098085E-2</v>
      </c>
      <c r="AB6" s="42">
        <f t="shared" si="3"/>
        <v>1.9182351266619598E-2</v>
      </c>
      <c r="AC6" s="42">
        <f t="shared" si="3"/>
        <v>1.9315745192416977E-2</v>
      </c>
      <c r="AD6" s="42">
        <f t="shared" si="3"/>
        <v>1.9441866659984944E-2</v>
      </c>
      <c r="AE6" s="42">
        <f t="shared" si="3"/>
        <v>0.38883733319969888</v>
      </c>
      <c r="AF6" s="348">
        <f t="shared" si="4"/>
        <v>2.0995095435084292</v>
      </c>
      <c r="AG6" s="348">
        <f t="shared" si="4"/>
        <v>1.8877996497650118</v>
      </c>
      <c r="AH6" s="348">
        <f t="shared" si="4"/>
        <v>2.172372089957638</v>
      </c>
      <c r="AI6" s="348">
        <f t="shared" si="4"/>
        <v>2.0210032908399276</v>
      </c>
      <c r="AJ6" s="348">
        <f t="shared" si="4"/>
        <v>2.0633246641251559</v>
      </c>
      <c r="AK6" s="348">
        <f t="shared" si="4"/>
        <v>2.0424121145983225</v>
      </c>
      <c r="AL6" s="348">
        <f t="shared" si="4"/>
        <v>1.9403263731940832</v>
      </c>
      <c r="AM6" s="348">
        <f t="shared" si="4"/>
        <v>2.0217463992533942</v>
      </c>
      <c r="AN6" s="348">
        <f t="shared" si="4"/>
        <v>1.888957390435708</v>
      </c>
      <c r="AO6" s="348">
        <f t="shared" si="4"/>
        <v>2.153770364275275</v>
      </c>
      <c r="AP6" s="348">
        <f t="shared" si="4"/>
        <v>1.9059696738515355</v>
      </c>
      <c r="AQ6" s="348">
        <f t="shared" si="4"/>
        <v>2.0751027258405301</v>
      </c>
      <c r="AR6" s="348"/>
      <c r="AS6" s="348">
        <f t="shared" si="5"/>
        <v>0.89136709794384483</v>
      </c>
      <c r="AT6" s="348">
        <f t="shared" si="5"/>
        <v>0.76583644847408006</v>
      </c>
      <c r="AU6" s="348">
        <f t="shared" si="5"/>
        <v>0.73459838937861166</v>
      </c>
      <c r="AV6" s="348">
        <f t="shared" si="5"/>
        <v>0.76704318945725614</v>
      </c>
      <c r="AW6" s="348">
        <f t="shared" si="5"/>
        <v>0.7525722117599164</v>
      </c>
      <c r="AX6" s="348">
        <f t="shared" si="5"/>
        <v>0.66036124602201496</v>
      </c>
      <c r="AY6" s="348">
        <f t="shared" si="5"/>
        <v>0.77534804521952172</v>
      </c>
      <c r="AZ6" s="348">
        <f t="shared" si="5"/>
        <v>0.63586382347812398</v>
      </c>
      <c r="BA6" s="348">
        <f t="shared" si="5"/>
        <v>0.78281733950940546</v>
      </c>
      <c r="BB6" s="348">
        <f t="shared" si="5"/>
        <v>0.70309208465732853</v>
      </c>
      <c r="BC6" s="348">
        <f t="shared" si="5"/>
        <v>0.8435660235896465</v>
      </c>
      <c r="BD6" s="348">
        <f t="shared" si="5"/>
        <v>0.89749891291528627</v>
      </c>
    </row>
    <row r="7" spans="1:56" ht="15">
      <c r="A7" s="39" t="str">
        <f>VLOOKUP(CONCATENATE($C7,"-",$B7),[1]ACHIEV!$B$19:$C$100,2,FALSE)</f>
        <v>RetroEven20</v>
      </c>
      <c r="B7" s="39" t="str">
        <f>'SC Retro'!$C$7</f>
        <v>Retro</v>
      </c>
      <c r="C7" s="39" t="str">
        <f>'7PSourceSummary'!$B$3</f>
        <v>Commercial EM</v>
      </c>
      <c r="D7" s="39" t="s">
        <v>918</v>
      </c>
      <c r="E7" s="363" t="str">
        <f>'SC Retro'!$A$9</f>
        <v>HVAC</v>
      </c>
      <c r="F7" s="364">
        <f t="shared" si="1"/>
        <v>4.4502100490486855E-2</v>
      </c>
      <c r="G7" s="365">
        <f>INDEX('SC Retro'!$A$60:$D$77,MATCH($J7,'SC Retro'!$D$60:$D$77,0),1)</f>
        <v>236.73046392719183</v>
      </c>
      <c r="H7" s="365">
        <f>INDEX('SC Retro'!$A$60:$D$77,MATCH($J7,'SC Retro'!$D$60:$D$77,0),2)</f>
        <v>131.20556367350659</v>
      </c>
      <c r="I7" s="18" t="str">
        <f>'SC Retro'!C64</f>
        <v>Large Ret</v>
      </c>
      <c r="J7" s="27" t="str">
        <f>'SC Retro'!D64</f>
        <v>Commercial EM-Retro-Large Ret</v>
      </c>
      <c r="K7" s="42">
        <f t="shared" si="2"/>
        <v>0.19540151784530729</v>
      </c>
      <c r="L7" s="42">
        <f t="shared" si="2"/>
        <v>0.1945026708632189</v>
      </c>
      <c r="M7" s="42">
        <f t="shared" si="2"/>
        <v>0.19360795857724805</v>
      </c>
      <c r="N7" s="42">
        <f t="shared" si="2"/>
        <v>0.19305092505040192</v>
      </c>
      <c r="O7" s="42">
        <f t="shared" si="2"/>
        <v>0.19283734575540074</v>
      </c>
      <c r="P7" s="42">
        <f t="shared" si="2"/>
        <v>0.19251270623798983</v>
      </c>
      <c r="Q7" s="42">
        <f t="shared" si="2"/>
        <v>0.19197671018184609</v>
      </c>
      <c r="R7" s="42">
        <f t="shared" si="2"/>
        <v>0.19145135513822095</v>
      </c>
      <c r="S7" s="42">
        <f t="shared" si="2"/>
        <v>0.19090371572530673</v>
      </c>
      <c r="T7" s="42">
        <f t="shared" si="2"/>
        <v>0.19031128180223625</v>
      </c>
      <c r="U7" s="42">
        <f t="shared" si="3"/>
        <v>0.18972367500543758</v>
      </c>
      <c r="V7" s="42">
        <f t="shared" si="3"/>
        <v>0.18913105776727235</v>
      </c>
      <c r="W7" s="42">
        <f t="shared" si="3"/>
        <v>0.18861756521204445</v>
      </c>
      <c r="X7" s="42">
        <f t="shared" si="3"/>
        <v>0.18816589798842917</v>
      </c>
      <c r="Y7" s="42">
        <f t="shared" si="3"/>
        <v>0.18773974200721838</v>
      </c>
      <c r="Z7" s="42">
        <f t="shared" si="3"/>
        <v>0.18750691292039645</v>
      </c>
      <c r="AA7" s="42">
        <f t="shared" si="3"/>
        <v>0.18735407901396714</v>
      </c>
      <c r="AB7" s="42">
        <f t="shared" si="3"/>
        <v>0.18713222890322481</v>
      </c>
      <c r="AC7" s="42">
        <f t="shared" si="3"/>
        <v>0.18690528103423584</v>
      </c>
      <c r="AD7" s="42">
        <f t="shared" si="3"/>
        <v>0.18665946376669984</v>
      </c>
      <c r="AE7" s="42">
        <f t="shared" si="3"/>
        <v>3.7331892753339964</v>
      </c>
      <c r="AF7" s="348">
        <f t="shared" si="4"/>
        <v>14.844215466104197</v>
      </c>
      <c r="AG7" s="348">
        <f t="shared" si="4"/>
        <v>13.347357645785983</v>
      </c>
      <c r="AH7" s="348">
        <f t="shared" si="4"/>
        <v>15.359377372486231</v>
      </c>
      <c r="AI7" s="348">
        <f t="shared" si="4"/>
        <v>14.289150720792177</v>
      </c>
      <c r="AJ7" s="348">
        <f t="shared" si="4"/>
        <v>14.588376597526009</v>
      </c>
      <c r="AK7" s="348">
        <f t="shared" si="4"/>
        <v>14.440518069289391</v>
      </c>
      <c r="AL7" s="348">
        <f t="shared" si="4"/>
        <v>13.718738667949205</v>
      </c>
      <c r="AM7" s="348">
        <f t="shared" si="4"/>
        <v>14.294404739016713</v>
      </c>
      <c r="AN7" s="348">
        <f t="shared" si="4"/>
        <v>13.355543248953554</v>
      </c>
      <c r="AO7" s="348">
        <f t="shared" si="4"/>
        <v>15.22785712056638</v>
      </c>
      <c r="AP7" s="348">
        <f t="shared" si="4"/>
        <v>13.475825626985982</v>
      </c>
      <c r="AQ7" s="348">
        <f t="shared" si="4"/>
        <v>14.671651325386462</v>
      </c>
      <c r="AR7" s="348"/>
      <c r="AS7" s="348">
        <f t="shared" si="5"/>
        <v>6.3022553539639627</v>
      </c>
      <c r="AT7" s="348">
        <f t="shared" si="5"/>
        <v>5.4147128257145773</v>
      </c>
      <c r="AU7" s="348">
        <f t="shared" si="5"/>
        <v>5.1938495858261096</v>
      </c>
      <c r="AV7" s="348">
        <f t="shared" si="5"/>
        <v>5.4232448770317196</v>
      </c>
      <c r="AW7" s="348">
        <f t="shared" si="5"/>
        <v>5.3209303571436433</v>
      </c>
      <c r="AX7" s="348">
        <f t="shared" si="5"/>
        <v>4.6689688321373781</v>
      </c>
      <c r="AY7" s="348">
        <f t="shared" si="5"/>
        <v>5.4819629089316733</v>
      </c>
      <c r="AZ7" s="348">
        <f t="shared" si="5"/>
        <v>4.4957640854716221</v>
      </c>
      <c r="BA7" s="348">
        <f t="shared" si="5"/>
        <v>5.5347732494045703</v>
      </c>
      <c r="BB7" s="348">
        <f t="shared" si="5"/>
        <v>4.9710897620998855</v>
      </c>
      <c r="BC7" s="348">
        <f t="shared" si="5"/>
        <v>5.9642862080656087</v>
      </c>
      <c r="BD7" s="348">
        <f t="shared" si="5"/>
        <v>6.3456092805587705</v>
      </c>
    </row>
    <row r="8" spans="1:56" ht="15">
      <c r="A8" s="39" t="str">
        <f>VLOOKUP(CONCATENATE($C8,"-",$B8),[1]ACHIEV!$B$19:$C$100,2,FALSE)</f>
        <v>RetroEven20</v>
      </c>
      <c r="B8" s="39" t="str">
        <f>'SC Retro'!$C$7</f>
        <v>Retro</v>
      </c>
      <c r="C8" s="39" t="str">
        <f>'7PSourceSummary'!$B$3</f>
        <v>Commercial EM</v>
      </c>
      <c r="D8" s="39" t="s">
        <v>918</v>
      </c>
      <c r="E8" s="363" t="str">
        <f>'SC Retro'!$A$9</f>
        <v>HVAC</v>
      </c>
      <c r="F8" s="364">
        <f t="shared" si="1"/>
        <v>7.0418455762124117E-3</v>
      </c>
      <c r="G8" s="365">
        <f>INDEX('SC Retro'!$A$60:$D$77,MATCH($J8,'SC Retro'!$D$60:$D$77,0),1)</f>
        <v>37.459341284727984</v>
      </c>
      <c r="H8" s="365">
        <f>INDEX('SC Retro'!$A$60:$D$77,MATCH($J8,'SC Retro'!$D$60:$D$77,0),2)</f>
        <v>87.875319189015713</v>
      </c>
      <c r="I8" s="18" t="str">
        <f>'SC Retro'!C65</f>
        <v>Medium Ret</v>
      </c>
      <c r="J8" s="27" t="str">
        <f>'SC Retro'!D65</f>
        <v>Commercial EM-Retro-Medium Ret</v>
      </c>
      <c r="K8" s="42">
        <f t="shared" si="2"/>
        <v>1.4370287527948078E-2</v>
      </c>
      <c r="L8" s="42">
        <f t="shared" si="2"/>
        <v>1.4304184205319519E-2</v>
      </c>
      <c r="M8" s="42">
        <f t="shared" si="2"/>
        <v>1.4238384957975046E-2</v>
      </c>
      <c r="N8" s="42">
        <f t="shared" si="2"/>
        <v>1.4371649387203702E-2</v>
      </c>
      <c r="O8" s="42">
        <f t="shared" si="2"/>
        <v>1.4710057800825441E-2</v>
      </c>
      <c r="P8" s="42">
        <f t="shared" si="2"/>
        <v>1.497738355987757E-2</v>
      </c>
      <c r="Q8" s="42">
        <f t="shared" si="2"/>
        <v>1.5117675239545198E-2</v>
      </c>
      <c r="R8" s="42">
        <f t="shared" si="2"/>
        <v>1.5262655508427057E-2</v>
      </c>
      <c r="S8" s="42">
        <f t="shared" si="2"/>
        <v>1.5391738323879339E-2</v>
      </c>
      <c r="T8" s="42">
        <f t="shared" si="2"/>
        <v>1.5491321342090972E-2</v>
      </c>
      <c r="U8" s="42">
        <f t="shared" si="3"/>
        <v>1.5589669432506057E-2</v>
      </c>
      <c r="V8" s="42">
        <f t="shared" si="3"/>
        <v>1.5683423492779201E-2</v>
      </c>
      <c r="W8" s="42">
        <f t="shared" si="3"/>
        <v>1.5823122943639502E-2</v>
      </c>
      <c r="X8" s="42">
        <f t="shared" si="3"/>
        <v>1.5998841985214018E-2</v>
      </c>
      <c r="Y8" s="42">
        <f t="shared" si="3"/>
        <v>1.6188348953538784E-2</v>
      </c>
      <c r="Z8" s="42">
        <f t="shared" si="3"/>
        <v>1.6488542910537547E-2</v>
      </c>
      <c r="AA8" s="42">
        <f t="shared" si="3"/>
        <v>1.6835886298923186E-2</v>
      </c>
      <c r="AB8" s="42">
        <f t="shared" si="3"/>
        <v>1.7139159315242233E-2</v>
      </c>
      <c r="AC8" s="42">
        <f t="shared" si="3"/>
        <v>1.7438379598334299E-2</v>
      </c>
      <c r="AD8" s="42">
        <f t="shared" si="3"/>
        <v>1.7724335034586057E-2</v>
      </c>
      <c r="AE8" s="42">
        <f t="shared" si="3"/>
        <v>0.35448670069172117</v>
      </c>
      <c r="AF8" s="348">
        <f t="shared" si="4"/>
        <v>2.3488930153909262</v>
      </c>
      <c r="AG8" s="348">
        <f t="shared" si="4"/>
        <v>2.1120358445146885</v>
      </c>
      <c r="AH8" s="348">
        <f t="shared" si="4"/>
        <v>2.4304103044965264</v>
      </c>
      <c r="AI8" s="348">
        <f t="shared" si="4"/>
        <v>2.261061650619224</v>
      </c>
      <c r="AJ8" s="348">
        <f t="shared" si="4"/>
        <v>2.3084100317774761</v>
      </c>
      <c r="AK8" s="348">
        <f t="shared" si="4"/>
        <v>2.285013452481385</v>
      </c>
      <c r="AL8" s="348">
        <f t="shared" si="4"/>
        <v>2.1708017854295085</v>
      </c>
      <c r="AM8" s="348">
        <f t="shared" si="4"/>
        <v>2.2618930267696529</v>
      </c>
      <c r="AN8" s="348">
        <f t="shared" si="4"/>
        <v>2.1133311036781635</v>
      </c>
      <c r="AO8" s="348">
        <f t="shared" si="4"/>
        <v>2.4095990328047079</v>
      </c>
      <c r="AP8" s="348">
        <f t="shared" si="4"/>
        <v>2.1323641363284995</v>
      </c>
      <c r="AQ8" s="348">
        <f t="shared" si="4"/>
        <v>2.3215871125788592</v>
      </c>
      <c r="AR8" s="348"/>
      <c r="AS8" s="348">
        <f t="shared" si="5"/>
        <v>0.99724526472540465</v>
      </c>
      <c r="AT8" s="348">
        <f t="shared" si="5"/>
        <v>0.85680386179456192</v>
      </c>
      <c r="AU8" s="348">
        <f t="shared" si="5"/>
        <v>0.82185529056725504</v>
      </c>
      <c r="AV8" s="348">
        <f t="shared" si="5"/>
        <v>0.85815394161464753</v>
      </c>
      <c r="AW8" s="348">
        <f t="shared" si="5"/>
        <v>0.84196407548888652</v>
      </c>
      <c r="AX8" s="348">
        <f t="shared" si="5"/>
        <v>0.73880012749260104</v>
      </c>
      <c r="AY8" s="348">
        <f t="shared" si="5"/>
        <v>0.8674452628921</v>
      </c>
      <c r="AZ8" s="348">
        <f t="shared" si="5"/>
        <v>0.71139285759647597</v>
      </c>
      <c r="BA8" s="348">
        <f t="shared" si="5"/>
        <v>0.87580177322169317</v>
      </c>
      <c r="BB8" s="348">
        <f t="shared" si="5"/>
        <v>0.7866066110223493</v>
      </c>
      <c r="BC8" s="348">
        <f t="shared" si="5"/>
        <v>0.94376629387436872</v>
      </c>
      <c r="BD8" s="348">
        <f t="shared" si="5"/>
        <v>1.0041054275680177</v>
      </c>
    </row>
    <row r="9" spans="1:56" ht="15">
      <c r="A9" s="39" t="str">
        <f>VLOOKUP(CONCATENATE($C9,"-",$B9),[1]ACHIEV!$B$19:$C$100,2,FALSE)</f>
        <v>RetroEven20</v>
      </c>
      <c r="B9" s="39" t="str">
        <f>'SC Retro'!$C$7</f>
        <v>Retro</v>
      </c>
      <c r="C9" s="39" t="str">
        <f>'7PSourceSummary'!$B$3</f>
        <v>Commercial EM</v>
      </c>
      <c r="D9" s="39" t="s">
        <v>918</v>
      </c>
      <c r="E9" s="363" t="str">
        <f>'SC Retro'!$A$9</f>
        <v>HVAC</v>
      </c>
      <c r="F9" s="364">
        <f t="shared" si="1"/>
        <v>2.9202688880123919E-2</v>
      </c>
      <c r="G9" s="365">
        <f>INDEX('SC Retro'!$A$60:$D$77,MATCH($J9,'SC Retro'!$D$60:$D$77,0),1)</f>
        <v>155.34471430154173</v>
      </c>
      <c r="H9" s="365">
        <f>INDEX('SC Retro'!$A$60:$D$77,MATCH($J9,'SC Retro'!$D$60:$D$77,0),2)</f>
        <v>25.945111299992629</v>
      </c>
      <c r="I9" s="18" t="str">
        <f>'SC Retro'!C66</f>
        <v>Small Ret</v>
      </c>
      <c r="J9" s="27" t="str">
        <f>'SC Retro'!D66</f>
        <v>Commercial EM-Retro-Small Ret</v>
      </c>
      <c r="K9" s="42">
        <f t="shared" si="2"/>
        <v>6.7180904434502031E-2</v>
      </c>
      <c r="L9" s="42">
        <f t="shared" si="2"/>
        <v>6.6871872274103294E-2</v>
      </c>
      <c r="M9" s="42">
        <f t="shared" si="2"/>
        <v>6.6564261661642435E-2</v>
      </c>
      <c r="N9" s="42">
        <f t="shared" si="2"/>
        <v>6.6518704006069101E-2</v>
      </c>
      <c r="O9" s="42">
        <f t="shared" si="2"/>
        <v>6.6743179491334723E-2</v>
      </c>
      <c r="P9" s="42">
        <f t="shared" si="2"/>
        <v>6.6876973665390596E-2</v>
      </c>
      <c r="Q9" s="42">
        <f t="shared" si="2"/>
        <v>6.6844912163230311E-2</v>
      </c>
      <c r="R9" s="42">
        <f t="shared" si="2"/>
        <v>6.6819710478578709E-2</v>
      </c>
      <c r="S9" s="42">
        <f t="shared" si="2"/>
        <v>6.6774380624508453E-2</v>
      </c>
      <c r="T9" s="42">
        <f t="shared" si="2"/>
        <v>6.668702727810516E-2</v>
      </c>
      <c r="U9" s="42">
        <f t="shared" si="3"/>
        <v>6.6598865814087846E-2</v>
      </c>
      <c r="V9" s="42">
        <f t="shared" si="3"/>
        <v>6.650604892593398E-2</v>
      </c>
      <c r="W9" s="42">
        <f t="shared" si="3"/>
        <v>6.6480392890872889E-2</v>
      </c>
      <c r="X9" s="42">
        <f t="shared" si="3"/>
        <v>6.6506392477992476E-2</v>
      </c>
      <c r="Y9" s="42">
        <f t="shared" si="3"/>
        <v>6.6551718880818289E-2</v>
      </c>
      <c r="Z9" s="42">
        <f t="shared" si="3"/>
        <v>6.6740454993730589E-2</v>
      </c>
      <c r="AA9" s="42">
        <f t="shared" si="3"/>
        <v>6.6991207167068467E-2</v>
      </c>
      <c r="AB9" s="42">
        <f t="shared" si="3"/>
        <v>6.7185367226680753E-2</v>
      </c>
      <c r="AC9" s="42">
        <f t="shared" si="3"/>
        <v>6.7376606071019626E-2</v>
      </c>
      <c r="AD9" s="42">
        <f t="shared" si="3"/>
        <v>6.7551718671408786E-2</v>
      </c>
      <c r="AE9" s="42">
        <f t="shared" si="3"/>
        <v>1.3510343734281758</v>
      </c>
      <c r="AF9" s="348">
        <f t="shared" si="4"/>
        <v>9.7409111288765171</v>
      </c>
      <c r="AG9" s="348">
        <f t="shared" si="4"/>
        <v>8.7586592184554011</v>
      </c>
      <c r="AH9" s="348">
        <f t="shared" si="4"/>
        <v>10.07896512428696</v>
      </c>
      <c r="AI9" s="348">
        <f t="shared" si="4"/>
        <v>9.3766725224508018</v>
      </c>
      <c r="AJ9" s="348">
        <f t="shared" si="4"/>
        <v>9.5730273031652153</v>
      </c>
      <c r="AK9" s="348">
        <f t="shared" si="4"/>
        <v>9.4760011729201956</v>
      </c>
      <c r="AL9" s="348">
        <f t="shared" si="4"/>
        <v>9.0023628712421591</v>
      </c>
      <c r="AM9" s="348">
        <f t="shared" si="4"/>
        <v>9.3801202576788132</v>
      </c>
      <c r="AN9" s="348">
        <f t="shared" si="4"/>
        <v>8.7640306867673257</v>
      </c>
      <c r="AO9" s="348">
        <f t="shared" si="4"/>
        <v>9.9926603216839478</v>
      </c>
      <c r="AP9" s="348">
        <f t="shared" si="4"/>
        <v>8.8429610928544129</v>
      </c>
      <c r="AQ9" s="348">
        <f t="shared" si="4"/>
        <v>9.6276729478085645</v>
      </c>
      <c r="AR9" s="348"/>
      <c r="AS9" s="348">
        <f t="shared" si="5"/>
        <v>4.1355981024816444</v>
      </c>
      <c r="AT9" s="348">
        <f t="shared" si="5"/>
        <v>3.5531845077371447</v>
      </c>
      <c r="AU9" s="348">
        <f t="shared" si="5"/>
        <v>3.4082520122272331</v>
      </c>
      <c r="AV9" s="348">
        <f t="shared" si="5"/>
        <v>3.5587833185208506</v>
      </c>
      <c r="AW9" s="348">
        <f t="shared" si="5"/>
        <v>3.4916435867041598</v>
      </c>
      <c r="AX9" s="348">
        <f t="shared" si="5"/>
        <v>3.0638204195563747</v>
      </c>
      <c r="AY9" s="348">
        <f t="shared" si="5"/>
        <v>3.597314632735876</v>
      </c>
      <c r="AZ9" s="348">
        <f t="shared" si="5"/>
        <v>2.9501618669556491</v>
      </c>
      <c r="BA9" s="348">
        <f t="shared" si="5"/>
        <v>3.631969265337164</v>
      </c>
      <c r="BB9" s="348">
        <f t="shared" si="5"/>
        <v>3.2620749609067281</v>
      </c>
      <c r="BC9" s="348">
        <f t="shared" si="5"/>
        <v>3.9138196311292486</v>
      </c>
      <c r="BD9" s="348">
        <f t="shared" si="5"/>
        <v>4.1640473490593539</v>
      </c>
    </row>
    <row r="10" spans="1:56" ht="15">
      <c r="A10" s="39" t="str">
        <f>VLOOKUP(CONCATENATE($C10,"-",$B10),[1]ACHIEV!$B$19:$C$100,2,FALSE)</f>
        <v>RetroEven20</v>
      </c>
      <c r="B10" s="39" t="str">
        <f>'SC Retro'!$C$7</f>
        <v>Retro</v>
      </c>
      <c r="C10" s="39" t="str">
        <f>'7PSourceSummary'!$B$3</f>
        <v>Commercial EM</v>
      </c>
      <c r="D10" s="39" t="s">
        <v>918</v>
      </c>
      <c r="E10" s="363" t="str">
        <f>'SC Retro'!$A$9</f>
        <v>HVAC</v>
      </c>
      <c r="F10" s="364">
        <f t="shared" si="1"/>
        <v>3.7439621451377587E-2</v>
      </c>
      <c r="G10" s="365">
        <f>INDEX('SC Retro'!$A$60:$D$77,MATCH($J10,'SC Retro'!$D$60:$D$77,0),1)</f>
        <v>199.16136222239018</v>
      </c>
      <c r="H10" s="365">
        <f>INDEX('SC Retro'!$A$60:$D$77,MATCH($J10,'SC Retro'!$D$60:$D$77,0),2)</f>
        <v>74.993771804073788</v>
      </c>
      <c r="I10" s="18" t="str">
        <f>'SC Retro'!C67</f>
        <v>School K-12</v>
      </c>
      <c r="J10" s="27" t="str">
        <f>'SC Retro'!D67</f>
        <v>Commercial EM-Retro-School K-12</v>
      </c>
      <c r="K10" s="42">
        <f t="shared" si="2"/>
        <v>0.18969242730920205</v>
      </c>
      <c r="L10" s="42">
        <f t="shared" si="2"/>
        <v>0.18891468835723432</v>
      </c>
      <c r="M10" s="42">
        <f t="shared" si="2"/>
        <v>0.18814013813496969</v>
      </c>
      <c r="N10" s="42">
        <f t="shared" si="2"/>
        <v>0.18776466454486179</v>
      </c>
      <c r="O10" s="42">
        <f t="shared" si="2"/>
        <v>0.18738459828719331</v>
      </c>
      <c r="P10" s="42">
        <f t="shared" si="2"/>
        <v>0.1874872680423961</v>
      </c>
      <c r="Q10" s="42">
        <f t="shared" si="2"/>
        <v>0.18747266860284081</v>
      </c>
      <c r="R10" s="42">
        <f t="shared" si="2"/>
        <v>0.18727810915532933</v>
      </c>
      <c r="S10" s="42">
        <f t="shared" si="2"/>
        <v>0.18710791887989858</v>
      </c>
      <c r="T10" s="42">
        <f t="shared" si="2"/>
        <v>0.18702514214229185</v>
      </c>
      <c r="U10" s="42">
        <f t="shared" si="3"/>
        <v>0.18705558706191927</v>
      </c>
      <c r="V10" s="42">
        <f t="shared" si="3"/>
        <v>0.18749038662100187</v>
      </c>
      <c r="W10" s="42">
        <f t="shared" si="3"/>
        <v>0.18821801157108295</v>
      </c>
      <c r="X10" s="42">
        <f t="shared" si="3"/>
        <v>0.18877205603400912</v>
      </c>
      <c r="Y10" s="42">
        <f t="shared" si="3"/>
        <v>0.18935277474172227</v>
      </c>
      <c r="Z10" s="42">
        <f t="shared" si="3"/>
        <v>0.19003012517533738</v>
      </c>
      <c r="AA10" s="42">
        <f t="shared" si="3"/>
        <v>0.19076408220072918</v>
      </c>
      <c r="AB10" s="42">
        <f t="shared" si="3"/>
        <v>0.19141174170380557</v>
      </c>
      <c r="AC10" s="42">
        <f t="shared" si="3"/>
        <v>0.19210064801004786</v>
      </c>
      <c r="AD10" s="42">
        <f t="shared" si="3"/>
        <v>0.19265246176440054</v>
      </c>
      <c r="AE10" s="42">
        <f t="shared" si="3"/>
        <v>3.8530492352880099</v>
      </c>
      <c r="AF10" s="348">
        <f t="shared" si="4"/>
        <v>12.488439908862953</v>
      </c>
      <c r="AG10" s="348">
        <f t="shared" si="4"/>
        <v>11.229133279702202</v>
      </c>
      <c r="AH10" s="348">
        <f t="shared" si="4"/>
        <v>12.92184567058057</v>
      </c>
      <c r="AI10" s="348">
        <f t="shared" si="4"/>
        <v>12.021463884890116</v>
      </c>
      <c r="AJ10" s="348">
        <f t="shared" si="4"/>
        <v>12.273202643957591</v>
      </c>
      <c r="AK10" s="348">
        <f t="shared" si="4"/>
        <v>12.148809249836335</v>
      </c>
      <c r="AL10" s="348">
        <f t="shared" si="4"/>
        <v>11.541576169605545</v>
      </c>
      <c r="AM10" s="348">
        <f t="shared" si="4"/>
        <v>12.025884090931115</v>
      </c>
      <c r="AN10" s="348">
        <f t="shared" si="4"/>
        <v>11.236019828439616</v>
      </c>
      <c r="AO10" s="348">
        <f t="shared" si="4"/>
        <v>12.8111976699065</v>
      </c>
      <c r="AP10" s="348">
        <f t="shared" si="4"/>
        <v>11.337213404724139</v>
      </c>
      <c r="AQ10" s="348">
        <f t="shared" si="4"/>
        <v>12.343261680569316</v>
      </c>
      <c r="AR10" s="348"/>
      <c r="AS10" s="348">
        <f t="shared" si="5"/>
        <v>5.3020880394795737</v>
      </c>
      <c r="AT10" s="348">
        <f t="shared" si="5"/>
        <v>4.5553984245307486</v>
      </c>
      <c r="AU10" s="348">
        <f t="shared" si="5"/>
        <v>4.3695861594284153</v>
      </c>
      <c r="AV10" s="348">
        <f t="shared" si="5"/>
        <v>4.5625764401299396</v>
      </c>
      <c r="AW10" s="348">
        <f t="shared" si="5"/>
        <v>4.4764992246419224</v>
      </c>
      <c r="AX10" s="348">
        <f t="shared" si="5"/>
        <v>3.9280039305306871</v>
      </c>
      <c r="AY10" s="348">
        <f t="shared" si="5"/>
        <v>4.6119759260525015</v>
      </c>
      <c r="AZ10" s="348">
        <f t="shared" si="5"/>
        <v>3.782286760390956</v>
      </c>
      <c r="BA10" s="348">
        <f t="shared" si="5"/>
        <v>4.6564052706054913</v>
      </c>
      <c r="BB10" s="348">
        <f t="shared" si="5"/>
        <v>4.182178298159748</v>
      </c>
      <c r="BC10" s="348">
        <f t="shared" si="5"/>
        <v>5.0177545643128312</v>
      </c>
      <c r="BD10" s="348">
        <f t="shared" si="5"/>
        <v>5.338561702121349</v>
      </c>
    </row>
    <row r="11" spans="1:56" ht="15">
      <c r="A11" s="39" t="str">
        <f>VLOOKUP(CONCATENATE($C11,"-",$B11),[1]ACHIEV!$B$19:$C$100,2,FALSE)</f>
        <v>RetroEven20</v>
      </c>
      <c r="B11" s="39" t="str">
        <f>'SC Retro'!$C$7</f>
        <v>Retro</v>
      </c>
      <c r="C11" s="39" t="str">
        <f>'7PSourceSummary'!$B$3</f>
        <v>Commercial EM</v>
      </c>
      <c r="D11" s="39" t="s">
        <v>918</v>
      </c>
      <c r="E11" s="363" t="str">
        <f>'SC Retro'!$A$9</f>
        <v>HVAC</v>
      </c>
      <c r="F11" s="364">
        <f t="shared" si="1"/>
        <v>0.16474287734666271</v>
      </c>
      <c r="G11" s="365">
        <f>INDEX('SC Retro'!$A$60:$D$77,MATCH($J11,'SC Retro'!$D$60:$D$77,0),1)</f>
        <v>876.35543835313615</v>
      </c>
      <c r="H11" s="365">
        <f>INDEX('SC Retro'!$A$60:$D$77,MATCH($J11,'SC Retro'!$D$60:$D$77,0),2)</f>
        <v>41.490514765217398</v>
      </c>
      <c r="I11" s="18" t="str">
        <f>'SC Retro'!C68</f>
        <v>University</v>
      </c>
      <c r="J11" s="27" t="str">
        <f>'SC Retro'!D68</f>
        <v>Commercial EM-Retro-University</v>
      </c>
      <c r="K11" s="42">
        <f t="shared" si="2"/>
        <v>0.42286504795096524</v>
      </c>
      <c r="L11" s="42">
        <f t="shared" si="2"/>
        <v>0.42113130125436621</v>
      </c>
      <c r="M11" s="42">
        <f t="shared" si="2"/>
        <v>0.4194046629192234</v>
      </c>
      <c r="N11" s="42">
        <f t="shared" si="2"/>
        <v>0.41989916998259552</v>
      </c>
      <c r="O11" s="42">
        <f t="shared" si="2"/>
        <v>0.41915602488092718</v>
      </c>
      <c r="P11" s="42">
        <f t="shared" si="2"/>
        <v>0.41847936609094011</v>
      </c>
      <c r="Q11" s="42">
        <f t="shared" si="2"/>
        <v>0.41879571965841156</v>
      </c>
      <c r="R11" s="42">
        <f t="shared" si="2"/>
        <v>0.41998400276479625</v>
      </c>
      <c r="S11" s="42">
        <f t="shared" si="2"/>
        <v>0.42060529684243131</v>
      </c>
      <c r="T11" s="42">
        <f t="shared" si="2"/>
        <v>0.42147712884953076</v>
      </c>
      <c r="U11" s="42">
        <f t="shared" si="3"/>
        <v>0.42203340945965306</v>
      </c>
      <c r="V11" s="42">
        <f t="shared" si="3"/>
        <v>0.42373736969972364</v>
      </c>
      <c r="W11" s="42">
        <f t="shared" si="3"/>
        <v>0.42617236344118159</v>
      </c>
      <c r="X11" s="42">
        <f t="shared" si="3"/>
        <v>0.42860180541843684</v>
      </c>
      <c r="Y11" s="42">
        <f t="shared" si="3"/>
        <v>0.43144190528736026</v>
      </c>
      <c r="Z11" s="42">
        <f t="shared" si="3"/>
        <v>0.43438470532814505</v>
      </c>
      <c r="AA11" s="42">
        <f t="shared" si="3"/>
        <v>0.43768034016890267</v>
      </c>
      <c r="AB11" s="42">
        <f t="shared" si="3"/>
        <v>0.44105227210703363</v>
      </c>
      <c r="AC11" s="42">
        <f t="shared" si="3"/>
        <v>0.44390944505835866</v>
      </c>
      <c r="AD11" s="42">
        <f t="shared" si="3"/>
        <v>0.44637898051760422</v>
      </c>
      <c r="AE11" s="42">
        <f t="shared" si="3"/>
        <v>8.927579610352085</v>
      </c>
      <c r="AF11" s="348">
        <f t="shared" si="4"/>
        <v>54.951985207138776</v>
      </c>
      <c r="AG11" s="348">
        <f t="shared" si="4"/>
        <v>49.410748690655907</v>
      </c>
      <c r="AH11" s="348">
        <f t="shared" si="4"/>
        <v>56.859069453081531</v>
      </c>
      <c r="AI11" s="348">
        <f t="shared" si="4"/>
        <v>52.89718414722158</v>
      </c>
      <c r="AJ11" s="348">
        <f t="shared" si="4"/>
        <v>54.004892128786331</v>
      </c>
      <c r="AK11" s="348">
        <f t="shared" si="4"/>
        <v>53.457532810608747</v>
      </c>
      <c r="AL11" s="348">
        <f t="shared" si="4"/>
        <v>50.785568699347237</v>
      </c>
      <c r="AM11" s="348">
        <f t="shared" si="4"/>
        <v>52.916634062403141</v>
      </c>
      <c r="AN11" s="348">
        <f t="shared" si="4"/>
        <v>49.44105107647097</v>
      </c>
      <c r="AO11" s="348">
        <f t="shared" si="4"/>
        <v>56.372193002490931</v>
      </c>
      <c r="AP11" s="348">
        <f t="shared" si="4"/>
        <v>49.886325902440078</v>
      </c>
      <c r="AQ11" s="348">
        <f t="shared" si="4"/>
        <v>54.313167875926034</v>
      </c>
      <c r="AR11" s="348"/>
      <c r="AS11" s="348">
        <f t="shared" si="5"/>
        <v>23.330397202428209</v>
      </c>
      <c r="AT11" s="348">
        <f t="shared" si="5"/>
        <v>20.044792517260777</v>
      </c>
      <c r="AU11" s="348">
        <f t="shared" si="5"/>
        <v>19.227176152228513</v>
      </c>
      <c r="AV11" s="348">
        <f t="shared" si="5"/>
        <v>20.076377423774474</v>
      </c>
      <c r="AW11" s="348">
        <f t="shared" si="5"/>
        <v>19.697618034556267</v>
      </c>
      <c r="AX11" s="348">
        <f t="shared" si="5"/>
        <v>17.284113584989665</v>
      </c>
      <c r="AY11" s="348">
        <f t="shared" si="5"/>
        <v>20.293746433792315</v>
      </c>
      <c r="AZ11" s="348">
        <f t="shared" si="5"/>
        <v>16.642924786678535</v>
      </c>
      <c r="BA11" s="348">
        <f t="shared" si="5"/>
        <v>20.489245687698808</v>
      </c>
      <c r="BB11" s="348">
        <f t="shared" si="5"/>
        <v>18.40253879998177</v>
      </c>
      <c r="BC11" s="348">
        <f t="shared" si="5"/>
        <v>22.079265032574984</v>
      </c>
      <c r="BD11" s="348">
        <f t="shared" si="5"/>
        <v>23.490889640600454</v>
      </c>
    </row>
    <row r="12" spans="1:56" ht="15">
      <c r="A12" s="39" t="str">
        <f>VLOOKUP(CONCATENATE($C12,"-",$B12),[1]ACHIEV!$B$19:$C$100,2,FALSE)</f>
        <v>RetroEven20</v>
      </c>
      <c r="B12" s="39" t="str">
        <f>'SC Retro'!$C$7</f>
        <v>Retro</v>
      </c>
      <c r="C12" s="39" t="str">
        <f>'7PSourceSummary'!$B$3</f>
        <v>Commercial EM</v>
      </c>
      <c r="D12" s="39" t="s">
        <v>918</v>
      </c>
      <c r="E12" s="363" t="str">
        <f>'SC Retro'!$A$9</f>
        <v>HVAC</v>
      </c>
      <c r="F12" s="364">
        <f t="shared" si="1"/>
        <v>5.4563646249340203E-3</v>
      </c>
      <c r="G12" s="365">
        <f>INDEX('SC Retro'!$A$60:$D$77,MATCH($J12,'SC Retro'!$D$60:$D$77,0),1)</f>
        <v>29.02532048555036</v>
      </c>
      <c r="H12" s="365">
        <f>INDEX('SC Retro'!$A$60:$D$77,MATCH($J12,'SC Retro'!$D$60:$D$77,0),2)</f>
        <v>71.290774467423859</v>
      </c>
      <c r="I12" s="18" t="str">
        <f>'SC Retro'!C69</f>
        <v>Warehouse</v>
      </c>
      <c r="J12" s="27" t="str">
        <f>'SC Retro'!D69</f>
        <v>Commercial EM-Retro-Warehouse</v>
      </c>
      <c r="K12" s="42">
        <f t="shared" si="2"/>
        <v>5.1445496848780407E-2</v>
      </c>
      <c r="L12" s="42">
        <f t="shared" si="2"/>
        <v>5.1255148510439927E-2</v>
      </c>
      <c r="M12" s="42">
        <f t="shared" si="2"/>
        <v>5.1065504460951282E-2</v>
      </c>
      <c r="N12" s="42">
        <f t="shared" si="2"/>
        <v>5.1785792264951211E-2</v>
      </c>
      <c r="O12" s="42">
        <f t="shared" si="2"/>
        <v>5.2475652652386739E-2</v>
      </c>
      <c r="P12" s="42">
        <f t="shared" si="2"/>
        <v>5.315689889513682E-2</v>
      </c>
      <c r="Q12" s="42">
        <f t="shared" si="2"/>
        <v>5.361731860788619E-2</v>
      </c>
      <c r="R12" s="42">
        <f t="shared" si="2"/>
        <v>5.3981591987745353E-2</v>
      </c>
      <c r="S12" s="42">
        <f t="shared" si="2"/>
        <v>5.4207517327370773E-2</v>
      </c>
      <c r="T12" s="42">
        <f t="shared" si="2"/>
        <v>5.4384235968980787E-2</v>
      </c>
      <c r="U12" s="42">
        <f t="shared" si="3"/>
        <v>5.4666684366238165E-2</v>
      </c>
      <c r="V12" s="42">
        <f t="shared" si="3"/>
        <v>5.5003799762775737E-2</v>
      </c>
      <c r="W12" s="42">
        <f t="shared" si="3"/>
        <v>5.5377769584140348E-2</v>
      </c>
      <c r="X12" s="42">
        <f t="shared" si="3"/>
        <v>5.573419556084401E-2</v>
      </c>
      <c r="Y12" s="42">
        <f t="shared" si="3"/>
        <v>5.6109534625192088E-2</v>
      </c>
      <c r="Z12" s="42">
        <f t="shared" si="3"/>
        <v>5.6439228011251126E-2</v>
      </c>
      <c r="AA12" s="42">
        <f t="shared" si="3"/>
        <v>5.6702407652174186E-2</v>
      </c>
      <c r="AB12" s="42">
        <f t="shared" si="3"/>
        <v>5.6979547427851329E-2</v>
      </c>
      <c r="AC12" s="42">
        <f t="shared" si="3"/>
        <v>5.7258891460774217E-2</v>
      </c>
      <c r="AD12" s="42">
        <f t="shared" si="3"/>
        <v>5.759377474790605E-2</v>
      </c>
      <c r="AE12" s="42">
        <f t="shared" si="3"/>
        <v>1.1518754949581209</v>
      </c>
      <c r="AF12" s="348">
        <f t="shared" si="4"/>
        <v>1.8200366108890449</v>
      </c>
      <c r="AG12" s="348">
        <f t="shared" si="4"/>
        <v>1.6365081488766495</v>
      </c>
      <c r="AH12" s="348">
        <f t="shared" si="4"/>
        <v>1.8832001733077988</v>
      </c>
      <c r="AI12" s="348">
        <f t="shared" si="4"/>
        <v>1.7519805953866772</v>
      </c>
      <c r="AJ12" s="348">
        <f t="shared" si="4"/>
        <v>1.7886684251897753</v>
      </c>
      <c r="AK12" s="348">
        <f t="shared" si="4"/>
        <v>1.7705396170195284</v>
      </c>
      <c r="AL12" s="348">
        <f t="shared" si="4"/>
        <v>1.682042859583988</v>
      </c>
      <c r="AM12" s="348">
        <f t="shared" si="4"/>
        <v>1.7526247860847148</v>
      </c>
      <c r="AN12" s="348">
        <f t="shared" si="4"/>
        <v>1.6375117787068147</v>
      </c>
      <c r="AO12" s="348">
        <f t="shared" si="4"/>
        <v>1.8670745872763868</v>
      </c>
      <c r="AP12" s="348">
        <f t="shared" si="4"/>
        <v>1.6522594985956636</v>
      </c>
      <c r="AQ12" s="348">
        <f t="shared" si="4"/>
        <v>1.7988786686219007</v>
      </c>
      <c r="AR12" s="348"/>
      <c r="AS12" s="348">
        <f t="shared" si="5"/>
        <v>0.77271415936919541</v>
      </c>
      <c r="AT12" s="348">
        <f t="shared" si="5"/>
        <v>0.66389332617504804</v>
      </c>
      <c r="AU12" s="348">
        <f t="shared" si="5"/>
        <v>0.63681347250986275</v>
      </c>
      <c r="AV12" s="348">
        <f t="shared" si="5"/>
        <v>0.6649394337176554</v>
      </c>
      <c r="AW12" s="348">
        <f t="shared" si="5"/>
        <v>0.65239473760710331</v>
      </c>
      <c r="AX12" s="348">
        <f t="shared" si="5"/>
        <v>0.5724582905033837</v>
      </c>
      <c r="AY12" s="348">
        <f t="shared" si="5"/>
        <v>0.67213880158059813</v>
      </c>
      <c r="AZ12" s="348">
        <f t="shared" si="5"/>
        <v>0.55122180408675459</v>
      </c>
      <c r="BA12" s="348">
        <f t="shared" si="5"/>
        <v>0.67861383243107742</v>
      </c>
      <c r="BB12" s="348">
        <f t="shared" si="5"/>
        <v>0.60950108031623729</v>
      </c>
      <c r="BC12" s="348">
        <f t="shared" si="5"/>
        <v>0.73127605034346166</v>
      </c>
      <c r="BD12" s="348">
        <f t="shared" si="5"/>
        <v>0.77802974737103481</v>
      </c>
    </row>
    <row r="13" spans="1:56" ht="15">
      <c r="A13" s="39" t="str">
        <f>VLOOKUP(CONCATENATE($C13,"-",$B13),[1]ACHIEV!$B$19:$C$100,2,FALSE)</f>
        <v>RetroEven20</v>
      </c>
      <c r="B13" s="39" t="str">
        <f>'SC Retro'!$C$7</f>
        <v>Retro</v>
      </c>
      <c r="C13" s="39" t="str">
        <f>'7PSourceSummary'!$B$3</f>
        <v>Commercial EM</v>
      </c>
      <c r="D13" s="39" t="s">
        <v>918</v>
      </c>
      <c r="E13" s="363" t="str">
        <f>'SC Retro'!$A$9</f>
        <v>HVAC</v>
      </c>
      <c r="F13" s="364">
        <f t="shared" si="1"/>
        <v>1.2477761154569573E-2</v>
      </c>
      <c r="G13" s="365">
        <f>INDEX('SC Retro'!$A$60:$D$77,MATCH($J13,'SC Retro'!$D$60:$D$77,0),1)</f>
        <v>66.375882359202151</v>
      </c>
      <c r="H13" s="365">
        <f>INDEX('SC Retro'!$A$60:$D$77,MATCH($J13,'SC Retro'!$D$60:$D$77,0),2)</f>
        <v>26.894991456271843</v>
      </c>
      <c r="I13" s="18" t="str">
        <f>'SC Retro'!C70</f>
        <v>Supermarket</v>
      </c>
      <c r="J13" s="27" t="str">
        <f>'SC Retro'!D70</f>
        <v>Commercial EM-Retro-Supermarket</v>
      </c>
      <c r="K13" s="42">
        <f t="shared" ref="K13:T20" si="6">VLOOKUP($J13,SCRetro,COLUMN()-9,FALSE)</f>
        <v>1.4085420888842185E-2</v>
      </c>
      <c r="L13" s="42">
        <f t="shared" si="6"/>
        <v>1.3958652100842604E-2</v>
      </c>
      <c r="M13" s="42">
        <f t="shared" si="6"/>
        <v>1.3833024231935023E-2</v>
      </c>
      <c r="N13" s="42">
        <f t="shared" si="6"/>
        <v>1.3787475222620497E-2</v>
      </c>
      <c r="O13" s="42">
        <f t="shared" si="6"/>
        <v>1.3766158044232405E-2</v>
      </c>
      <c r="P13" s="42">
        <f t="shared" si="6"/>
        <v>1.3733933272635649E-2</v>
      </c>
      <c r="Q13" s="42">
        <f t="shared" si="6"/>
        <v>1.3691235657081724E-2</v>
      </c>
      <c r="R13" s="42">
        <f t="shared" si="6"/>
        <v>1.3649003266686083E-2</v>
      </c>
      <c r="S13" s="42">
        <f t="shared" si="6"/>
        <v>1.3607041525598582E-2</v>
      </c>
      <c r="T13" s="42">
        <f t="shared" si="6"/>
        <v>1.3565264074969031E-2</v>
      </c>
      <c r="U13" s="42">
        <f t="shared" ref="U13:AE20" si="7">VLOOKUP($J13,SCRetro,COLUMN()-9,FALSE)</f>
        <v>1.3523426731902205E-2</v>
      </c>
      <c r="V13" s="42">
        <f t="shared" si="7"/>
        <v>1.3481460527518023E-2</v>
      </c>
      <c r="W13" s="42">
        <f t="shared" si="7"/>
        <v>1.3439291028246605E-2</v>
      </c>
      <c r="X13" s="42">
        <f t="shared" si="7"/>
        <v>1.3397286453885588E-2</v>
      </c>
      <c r="Y13" s="42">
        <f t="shared" si="7"/>
        <v>1.3355533149045874E-2</v>
      </c>
      <c r="Z13" s="42">
        <f t="shared" si="7"/>
        <v>1.3314107893615647E-2</v>
      </c>
      <c r="AA13" s="42">
        <f t="shared" si="7"/>
        <v>1.3273317770283682E-2</v>
      </c>
      <c r="AB13" s="42">
        <f t="shared" si="7"/>
        <v>1.3229533142467647E-2</v>
      </c>
      <c r="AC13" s="42">
        <f t="shared" si="7"/>
        <v>1.3190189269600866E-2</v>
      </c>
      <c r="AD13" s="42">
        <f t="shared" si="7"/>
        <v>1.3151414298960785E-2</v>
      </c>
      <c r="AE13" s="42">
        <f t="shared" si="7"/>
        <v>0.26302828597921563</v>
      </c>
      <c r="AF13" s="348">
        <f t="shared" ref="AF13:AQ20" si="8">VLOOKUP($J13,MeasureOutput,COLUMN()-17,FALSE)</f>
        <v>4.1621085987303124</v>
      </c>
      <c r="AG13" s="348">
        <f t="shared" si="8"/>
        <v>3.742410783157025</v>
      </c>
      <c r="AH13" s="348">
        <f t="shared" si="8"/>
        <v>4.3065527295223385</v>
      </c>
      <c r="AI13" s="348">
        <f t="shared" si="8"/>
        <v>4.0064762748402103</v>
      </c>
      <c r="AJ13" s="348">
        <f t="shared" si="8"/>
        <v>4.0903749892829042</v>
      </c>
      <c r="AK13" s="348">
        <f t="shared" si="8"/>
        <v>4.048917543911374</v>
      </c>
      <c r="AL13" s="348">
        <f t="shared" si="8"/>
        <v>3.8465407824338724</v>
      </c>
      <c r="AM13" s="348">
        <f t="shared" si="8"/>
        <v>4.0079494274281764</v>
      </c>
      <c r="AN13" s="348">
        <f t="shared" si="8"/>
        <v>3.7447059108050529</v>
      </c>
      <c r="AO13" s="348">
        <f t="shared" si="8"/>
        <v>4.2696763063342802</v>
      </c>
      <c r="AP13" s="348">
        <f t="shared" si="8"/>
        <v>3.7784313926958037</v>
      </c>
      <c r="AQ13" s="348">
        <f t="shared" si="8"/>
        <v>4.113724048158824</v>
      </c>
      <c r="AR13" s="348"/>
      <c r="AS13" s="348">
        <f t="shared" ref="AS13:BD20" si="9">VLOOKUP($J13,MeasureOutput,COLUMN()-17,FALSE)</f>
        <v>1.7670634908273597</v>
      </c>
      <c r="AT13" s="348">
        <f t="shared" si="9"/>
        <v>1.5182090871035165</v>
      </c>
      <c r="AU13" s="348">
        <f t="shared" si="9"/>
        <v>1.4562821505144938</v>
      </c>
      <c r="AV13" s="348">
        <f t="shared" si="9"/>
        <v>1.5206013539250922</v>
      </c>
      <c r="AW13" s="348">
        <f t="shared" si="9"/>
        <v>1.4919138059725909</v>
      </c>
      <c r="AX13" s="348">
        <f t="shared" si="9"/>
        <v>1.3091129920484008</v>
      </c>
      <c r="AY13" s="348">
        <f t="shared" si="9"/>
        <v>1.5370650616925641</v>
      </c>
      <c r="AZ13" s="348">
        <f t="shared" si="9"/>
        <v>1.2605488246065732</v>
      </c>
      <c r="BA13" s="348">
        <f t="shared" si="9"/>
        <v>1.5518723361279172</v>
      </c>
      <c r="BB13" s="348">
        <f t="shared" si="9"/>
        <v>1.3938234385738284</v>
      </c>
      <c r="BC13" s="348">
        <f t="shared" si="9"/>
        <v>1.6723017102899436</v>
      </c>
      <c r="BD13" s="348">
        <f t="shared" si="9"/>
        <v>1.7792193202196911</v>
      </c>
    </row>
    <row r="14" spans="1:56" ht="15">
      <c r="A14" s="39" t="str">
        <f>VLOOKUP(CONCATENATE($C14,"-",$B14),[1]ACHIEV!$B$19:$C$100,2,FALSE)</f>
        <v>RetroEven20</v>
      </c>
      <c r="B14" s="39" t="str">
        <f>'SC Retro'!$C$7</f>
        <v>Retro</v>
      </c>
      <c r="C14" s="39" t="str">
        <f>'7PSourceSummary'!$B$3</f>
        <v>Commercial EM</v>
      </c>
      <c r="D14" s="39" t="s">
        <v>918</v>
      </c>
      <c r="E14" s="363" t="str">
        <f>'SC Retro'!$A$9</f>
        <v>HVAC</v>
      </c>
      <c r="F14" s="364">
        <f t="shared" si="1"/>
        <v>0</v>
      </c>
      <c r="G14" s="365">
        <f>INDEX('SC Retro'!$A$60:$D$77,MATCH($J14,'SC Retro'!$D$60:$D$77,0),1)</f>
        <v>0</v>
      </c>
      <c r="H14" s="365">
        <f>INDEX('SC Retro'!$A$60:$D$77,MATCH($J14,'SC Retro'!$D$60:$D$77,0),2)</f>
        <v>9999</v>
      </c>
      <c r="I14" s="18" t="str">
        <f>'SC Retro'!C71</f>
        <v>MiniMart</v>
      </c>
      <c r="J14" s="27" t="str">
        <f>'SC Retro'!D71</f>
        <v>Commercial EM-Retro-MiniMart</v>
      </c>
      <c r="K14" s="42">
        <f t="shared" si="6"/>
        <v>0</v>
      </c>
      <c r="L14" s="42">
        <f t="shared" si="6"/>
        <v>0</v>
      </c>
      <c r="M14" s="42">
        <f t="shared" si="6"/>
        <v>0</v>
      </c>
      <c r="N14" s="42">
        <f t="shared" si="6"/>
        <v>0</v>
      </c>
      <c r="O14" s="42">
        <f t="shared" si="6"/>
        <v>0</v>
      </c>
      <c r="P14" s="42">
        <f t="shared" si="6"/>
        <v>0</v>
      </c>
      <c r="Q14" s="42">
        <f t="shared" si="6"/>
        <v>0</v>
      </c>
      <c r="R14" s="42">
        <f t="shared" si="6"/>
        <v>0</v>
      </c>
      <c r="S14" s="42">
        <f t="shared" si="6"/>
        <v>0</v>
      </c>
      <c r="T14" s="42">
        <f t="shared" si="6"/>
        <v>0</v>
      </c>
      <c r="U14" s="42">
        <f t="shared" si="7"/>
        <v>0</v>
      </c>
      <c r="V14" s="42">
        <f t="shared" si="7"/>
        <v>0</v>
      </c>
      <c r="W14" s="42">
        <f t="shared" si="7"/>
        <v>0</v>
      </c>
      <c r="X14" s="42">
        <f t="shared" si="7"/>
        <v>0</v>
      </c>
      <c r="Y14" s="42">
        <f t="shared" si="7"/>
        <v>0</v>
      </c>
      <c r="Z14" s="42">
        <f t="shared" si="7"/>
        <v>0</v>
      </c>
      <c r="AA14" s="42">
        <f t="shared" si="7"/>
        <v>0</v>
      </c>
      <c r="AB14" s="42">
        <f t="shared" si="7"/>
        <v>0</v>
      </c>
      <c r="AC14" s="42">
        <f t="shared" si="7"/>
        <v>0</v>
      </c>
      <c r="AD14" s="42">
        <f t="shared" si="7"/>
        <v>0</v>
      </c>
      <c r="AE14" s="42">
        <f t="shared" si="7"/>
        <v>0</v>
      </c>
      <c r="AF14" s="348">
        <f t="shared" si="8"/>
        <v>0</v>
      </c>
      <c r="AG14" s="348">
        <f t="shared" si="8"/>
        <v>0</v>
      </c>
      <c r="AH14" s="348">
        <f t="shared" si="8"/>
        <v>0</v>
      </c>
      <c r="AI14" s="348">
        <f t="shared" si="8"/>
        <v>0</v>
      </c>
      <c r="AJ14" s="348">
        <f t="shared" si="8"/>
        <v>0</v>
      </c>
      <c r="AK14" s="348">
        <f t="shared" si="8"/>
        <v>0</v>
      </c>
      <c r="AL14" s="348">
        <f t="shared" si="8"/>
        <v>0</v>
      </c>
      <c r="AM14" s="348">
        <f t="shared" si="8"/>
        <v>0</v>
      </c>
      <c r="AN14" s="348">
        <f t="shared" si="8"/>
        <v>0</v>
      </c>
      <c r="AO14" s="348">
        <f t="shared" si="8"/>
        <v>0</v>
      </c>
      <c r="AP14" s="348">
        <f t="shared" si="8"/>
        <v>0</v>
      </c>
      <c r="AQ14" s="348">
        <f t="shared" si="8"/>
        <v>0</v>
      </c>
      <c r="AR14" s="348"/>
      <c r="AS14" s="348">
        <f t="shared" si="9"/>
        <v>0</v>
      </c>
      <c r="AT14" s="348">
        <f t="shared" si="9"/>
        <v>0</v>
      </c>
      <c r="AU14" s="348">
        <f t="shared" si="9"/>
        <v>0</v>
      </c>
      <c r="AV14" s="348">
        <f t="shared" si="9"/>
        <v>0</v>
      </c>
      <c r="AW14" s="348">
        <f t="shared" si="9"/>
        <v>0</v>
      </c>
      <c r="AX14" s="348">
        <f t="shared" si="9"/>
        <v>0</v>
      </c>
      <c r="AY14" s="348">
        <f t="shared" si="9"/>
        <v>0</v>
      </c>
      <c r="AZ14" s="348">
        <f t="shared" si="9"/>
        <v>0</v>
      </c>
      <c r="BA14" s="348">
        <f t="shared" si="9"/>
        <v>0</v>
      </c>
      <c r="BB14" s="348">
        <f t="shared" si="9"/>
        <v>0</v>
      </c>
      <c r="BC14" s="348">
        <f t="shared" si="9"/>
        <v>0</v>
      </c>
      <c r="BD14" s="348">
        <f t="shared" si="9"/>
        <v>0</v>
      </c>
    </row>
    <row r="15" spans="1:56" ht="15">
      <c r="A15" s="39" t="str">
        <f>VLOOKUP(CONCATENATE($C15,"-",$B15),[1]ACHIEV!$B$19:$C$100,2,FALSE)</f>
        <v>RetroEven20</v>
      </c>
      <c r="B15" s="39" t="str">
        <f>'SC Retro'!$C$7</f>
        <v>Retro</v>
      </c>
      <c r="C15" s="39" t="str">
        <f>'7PSourceSummary'!$B$3</f>
        <v>Commercial EM</v>
      </c>
      <c r="D15" s="39" t="s">
        <v>918</v>
      </c>
      <c r="E15" s="363" t="str">
        <f>'SC Retro'!$A$9</f>
        <v>HVAC</v>
      </c>
      <c r="F15" s="364">
        <f t="shared" si="1"/>
        <v>9.2599310120404718E-3</v>
      </c>
      <c r="G15" s="365">
        <f>INDEX('SC Retro'!$A$60:$D$77,MATCH($J15,'SC Retro'!$D$60:$D$77,0),1)</f>
        <v>49.258523536046013</v>
      </c>
      <c r="H15" s="365">
        <f>INDEX('SC Retro'!$A$60:$D$77,MATCH($J15,'SC Retro'!$D$60:$D$77,0),2)</f>
        <v>47.765199650670738</v>
      </c>
      <c r="I15" s="18" t="str">
        <f>'SC Retro'!C72</f>
        <v>Restaurant</v>
      </c>
      <c r="J15" s="27" t="str">
        <f>'SC Retro'!D72</f>
        <v>Commercial EM-Retro-Restaurant</v>
      </c>
      <c r="K15" s="42">
        <f t="shared" si="6"/>
        <v>1.0030745311743566E-2</v>
      </c>
      <c r="L15" s="42">
        <f t="shared" si="6"/>
        <v>9.9834001938721353E-3</v>
      </c>
      <c r="M15" s="42">
        <f t="shared" si="6"/>
        <v>9.9362785449570602E-3</v>
      </c>
      <c r="N15" s="42">
        <f t="shared" si="6"/>
        <v>1.0017116543503707E-2</v>
      </c>
      <c r="O15" s="42">
        <f t="shared" si="6"/>
        <v>1.0061686528349831E-2</v>
      </c>
      <c r="P15" s="42">
        <f t="shared" si="6"/>
        <v>1.0107435213262791E-2</v>
      </c>
      <c r="Q15" s="42">
        <f t="shared" si="6"/>
        <v>1.0149039107528041E-2</v>
      </c>
      <c r="R15" s="42">
        <f t="shared" si="6"/>
        <v>1.0190679841233091E-2</v>
      </c>
      <c r="S15" s="42">
        <f t="shared" si="6"/>
        <v>1.0232005973297324E-2</v>
      </c>
      <c r="T15" s="42">
        <f t="shared" si="6"/>
        <v>1.0273052797730409E-2</v>
      </c>
      <c r="U15" s="42">
        <f t="shared" si="7"/>
        <v>1.0313828614907662E-2</v>
      </c>
      <c r="V15" s="42">
        <f t="shared" si="7"/>
        <v>1.0354268401872608E-2</v>
      </c>
      <c r="W15" s="42">
        <f t="shared" si="7"/>
        <v>1.0394372276778748E-2</v>
      </c>
      <c r="X15" s="42">
        <f t="shared" si="7"/>
        <v>1.0434309459108684E-2</v>
      </c>
      <c r="Y15" s="42">
        <f t="shared" si="7"/>
        <v>1.0474587151224775E-2</v>
      </c>
      <c r="Z15" s="42">
        <f t="shared" si="7"/>
        <v>1.0545393327611429E-2</v>
      </c>
      <c r="AA15" s="42">
        <f t="shared" si="7"/>
        <v>1.0630624317058147E-2</v>
      </c>
      <c r="AB15" s="42">
        <f t="shared" si="7"/>
        <v>1.0713896419858903E-2</v>
      </c>
      <c r="AC15" s="42">
        <f t="shared" si="7"/>
        <v>1.0801757819599252E-2</v>
      </c>
      <c r="AD15" s="42">
        <f t="shared" si="7"/>
        <v>1.0895572781786851E-2</v>
      </c>
      <c r="AE15" s="42">
        <f t="shared" si="7"/>
        <v>0.21791145563573702</v>
      </c>
      <c r="AF15" s="348">
        <f t="shared" si="8"/>
        <v>3.0887623197330401</v>
      </c>
      <c r="AG15" s="348">
        <f t="shared" si="8"/>
        <v>2.7772983663867725</v>
      </c>
      <c r="AH15" s="348">
        <f t="shared" si="8"/>
        <v>3.1959564445170749</v>
      </c>
      <c r="AI15" s="348">
        <f t="shared" si="8"/>
        <v>2.9732652714554235</v>
      </c>
      <c r="AJ15" s="348">
        <f t="shared" si="8"/>
        <v>3.0355277477213454</v>
      </c>
      <c r="AK15" s="348">
        <f t="shared" si="8"/>
        <v>3.0047615646440859</v>
      </c>
      <c r="AL15" s="348">
        <f t="shared" si="8"/>
        <v>2.8545747782080002</v>
      </c>
      <c r="AM15" s="348">
        <f t="shared" si="8"/>
        <v>2.9743585197686264</v>
      </c>
      <c r="AN15" s="348">
        <f t="shared" si="8"/>
        <v>2.7790016145433363</v>
      </c>
      <c r="AO15" s="348">
        <f t="shared" si="8"/>
        <v>3.1685899057236013</v>
      </c>
      <c r="AP15" s="348">
        <f t="shared" si="8"/>
        <v>2.8040297932195895</v>
      </c>
      <c r="AQ15" s="348">
        <f t="shared" si="8"/>
        <v>3.0528554294832224</v>
      </c>
      <c r="AR15" s="348"/>
      <c r="AS15" s="348">
        <f t="shared" si="9"/>
        <v>1.311363939112137</v>
      </c>
      <c r="AT15" s="348">
        <f t="shared" si="9"/>
        <v>1.1266854072842254</v>
      </c>
      <c r="AU15" s="348">
        <f t="shared" si="9"/>
        <v>1.08072851217317</v>
      </c>
      <c r="AV15" s="348">
        <f t="shared" si="9"/>
        <v>1.1284607438574914</v>
      </c>
      <c r="AW15" s="348">
        <f t="shared" si="9"/>
        <v>1.1071712904327893</v>
      </c>
      <c r="AX15" s="348">
        <f t="shared" si="9"/>
        <v>0.9715121040680188</v>
      </c>
      <c r="AY15" s="348">
        <f t="shared" si="9"/>
        <v>1.1406787047753721</v>
      </c>
      <c r="AZ15" s="348">
        <f t="shared" si="9"/>
        <v>0.93547191748343927</v>
      </c>
      <c r="BA15" s="348">
        <f t="shared" si="9"/>
        <v>1.1516674020303688</v>
      </c>
      <c r="BB15" s="348">
        <f t="shared" si="9"/>
        <v>1.0343769787124049</v>
      </c>
      <c r="BC15" s="348">
        <f t="shared" si="9"/>
        <v>1.2410398209081881</v>
      </c>
      <c r="BD15" s="348">
        <f t="shared" si="9"/>
        <v>1.3203849598042905</v>
      </c>
    </row>
    <row r="16" spans="1:56" ht="15">
      <c r="A16" s="39" t="str">
        <f>VLOOKUP(CONCATENATE($C16,"-",$B16),[1]ACHIEV!$B$19:$C$100,2,FALSE)</f>
        <v>RetroEven20</v>
      </c>
      <c r="B16" s="39" t="str">
        <f>'SC Retro'!$C$7</f>
        <v>Retro</v>
      </c>
      <c r="C16" s="39" t="str">
        <f>'7PSourceSummary'!$B$3</f>
        <v>Commercial EM</v>
      </c>
      <c r="D16" s="39" t="s">
        <v>918</v>
      </c>
      <c r="E16" s="363" t="str">
        <f>'SC Retro'!$A$9</f>
        <v>HVAC</v>
      </c>
      <c r="F16" s="364">
        <f t="shared" si="1"/>
        <v>2.1960185489162003E-2</v>
      </c>
      <c r="G16" s="365">
        <f>INDEX('SC Retro'!$A$60:$D$77,MATCH($J16,'SC Retro'!$D$60:$D$77,0),1)</f>
        <v>116.81796682580887</v>
      </c>
      <c r="H16" s="365">
        <f>INDEX('SC Retro'!$A$60:$D$77,MATCH($J16,'SC Retro'!$D$60:$D$77,0),2)</f>
        <v>31.737029906803112</v>
      </c>
      <c r="I16" s="18" t="str">
        <f>'SC Retro'!C73</f>
        <v>Lodging</v>
      </c>
      <c r="J16" s="27" t="str">
        <f>'SC Retro'!D73</f>
        <v>Commercial EM-Retro-Lodging</v>
      </c>
      <c r="K16" s="42">
        <f t="shared" si="6"/>
        <v>7.8516757752855257E-2</v>
      </c>
      <c r="L16" s="42">
        <f t="shared" si="6"/>
        <v>7.8328317534248404E-2</v>
      </c>
      <c r="M16" s="42">
        <f t="shared" si="6"/>
        <v>7.8140329572166212E-2</v>
      </c>
      <c r="N16" s="42">
        <f t="shared" si="6"/>
        <v>7.8609525395155727E-2</v>
      </c>
      <c r="O16" s="42">
        <f t="shared" si="6"/>
        <v>7.8898968697340047E-2</v>
      </c>
      <c r="P16" s="42">
        <f t="shared" si="6"/>
        <v>7.9181108716170456E-2</v>
      </c>
      <c r="Q16" s="42">
        <f t="shared" si="6"/>
        <v>7.9337799706647116E-2</v>
      </c>
      <c r="R16" s="42">
        <f t="shared" si="6"/>
        <v>7.9503009192825172E-2</v>
      </c>
      <c r="S16" s="42">
        <f t="shared" si="6"/>
        <v>7.9620499594084154E-2</v>
      </c>
      <c r="T16" s="42">
        <f t="shared" si="6"/>
        <v>7.972523084635047E-2</v>
      </c>
      <c r="U16" s="42">
        <f t="shared" si="7"/>
        <v>7.9822414659515506E-2</v>
      </c>
      <c r="V16" s="42">
        <f t="shared" si="7"/>
        <v>7.9917957171196402E-2</v>
      </c>
      <c r="W16" s="42">
        <f t="shared" si="7"/>
        <v>8.0034827412548831E-2</v>
      </c>
      <c r="X16" s="42">
        <f t="shared" si="7"/>
        <v>8.0171620148740214E-2</v>
      </c>
      <c r="Y16" s="42">
        <f t="shared" si="7"/>
        <v>8.0352800805656127E-2</v>
      </c>
      <c r="Z16" s="42">
        <f t="shared" si="7"/>
        <v>8.0800274630534644E-2</v>
      </c>
      <c r="AA16" s="42">
        <f t="shared" si="7"/>
        <v>8.1358314158493011E-2</v>
      </c>
      <c r="AB16" s="42">
        <f t="shared" si="7"/>
        <v>8.1934346740129949E-2</v>
      </c>
      <c r="AC16" s="42">
        <f t="shared" si="7"/>
        <v>8.2524202750580394E-2</v>
      </c>
      <c r="AD16" s="42">
        <f t="shared" si="7"/>
        <v>8.3153891053912771E-2</v>
      </c>
      <c r="AE16" s="42">
        <f t="shared" si="7"/>
        <v>1.6630778210782555</v>
      </c>
      <c r="AF16" s="348">
        <f t="shared" si="8"/>
        <v>7.3250862652296629</v>
      </c>
      <c r="AG16" s="348">
        <f t="shared" si="8"/>
        <v>6.586440785065923</v>
      </c>
      <c r="AH16" s="348">
        <f t="shared" si="8"/>
        <v>7.5793001314609478</v>
      </c>
      <c r="AI16" s="348">
        <f t="shared" si="8"/>
        <v>7.0511817836164399</v>
      </c>
      <c r="AJ16" s="348">
        <f t="shared" si="8"/>
        <v>7.1988389881934856</v>
      </c>
      <c r="AK16" s="348">
        <f t="shared" si="8"/>
        <v>7.125876124183848</v>
      </c>
      <c r="AL16" s="348">
        <f t="shared" si="8"/>
        <v>6.7697039579043006</v>
      </c>
      <c r="AM16" s="348">
        <f t="shared" si="8"/>
        <v>7.0537744525804333</v>
      </c>
      <c r="AN16" s="348">
        <f t="shared" si="8"/>
        <v>6.590480085726325</v>
      </c>
      <c r="AO16" s="348">
        <f t="shared" si="8"/>
        <v>7.5143996189928082</v>
      </c>
      <c r="AP16" s="348">
        <f t="shared" si="8"/>
        <v>6.6498351117488452</v>
      </c>
      <c r="AQ16" s="348">
        <f t="shared" si="8"/>
        <v>7.2399320703226291</v>
      </c>
      <c r="AR16" s="348"/>
      <c r="AS16" s="348">
        <f t="shared" si="9"/>
        <v>3.1099362737428144</v>
      </c>
      <c r="AT16" s="348">
        <f t="shared" si="9"/>
        <v>2.6719659681829051</v>
      </c>
      <c r="AU16" s="348">
        <f t="shared" si="9"/>
        <v>2.5629779055469659</v>
      </c>
      <c r="AV16" s="348">
        <f t="shared" si="9"/>
        <v>2.6761762285405597</v>
      </c>
      <c r="AW16" s="348">
        <f t="shared" si="9"/>
        <v>2.6256876940621252</v>
      </c>
      <c r="AX16" s="348">
        <f t="shared" si="9"/>
        <v>2.3039681378358958</v>
      </c>
      <c r="AY16" s="348">
        <f t="shared" si="9"/>
        <v>2.7051514647174946</v>
      </c>
      <c r="AZ16" s="348">
        <f t="shared" si="9"/>
        <v>2.2184978269413258</v>
      </c>
      <c r="BA16" s="348">
        <f t="shared" si="9"/>
        <v>2.7312114677229378</v>
      </c>
      <c r="BB16" s="348">
        <f t="shared" si="9"/>
        <v>2.4530539470226569</v>
      </c>
      <c r="BC16" s="348">
        <f t="shared" si="9"/>
        <v>2.9431606597439184</v>
      </c>
      <c r="BD16" s="348">
        <f t="shared" si="9"/>
        <v>3.1313298767236217</v>
      </c>
    </row>
    <row r="17" spans="1:56" ht="15">
      <c r="A17" s="39" t="str">
        <f>VLOOKUP(CONCATENATE($C17,"-",$B17),[1]ACHIEV!$B$19:$C$100,2,FALSE)</f>
        <v>RetroEven20</v>
      </c>
      <c r="B17" s="39" t="str">
        <f>'SC Retro'!$C$7</f>
        <v>Retro</v>
      </c>
      <c r="C17" s="39" t="str">
        <f>'7PSourceSummary'!$B$3</f>
        <v>Commercial EM</v>
      </c>
      <c r="D17" s="39" t="s">
        <v>918</v>
      </c>
      <c r="E17" s="363" t="str">
        <f>'SC Retro'!$A$9</f>
        <v>HVAC</v>
      </c>
      <c r="F17" s="364">
        <f t="shared" si="1"/>
        <v>0.30852084582295208</v>
      </c>
      <c r="G17" s="365">
        <f>INDEX('SC Retro'!$A$60:$D$77,MATCH($J17,'SC Retro'!$D$60:$D$77,0),1)</f>
        <v>1641.1873183039959</v>
      </c>
      <c r="H17" s="365">
        <f>INDEX('SC Retro'!$A$60:$D$77,MATCH($J17,'SC Retro'!$D$60:$D$77,0),2)</f>
        <v>11.652235462638782</v>
      </c>
      <c r="I17" s="18" t="str">
        <f>'SC Retro'!C74</f>
        <v>Hospital</v>
      </c>
      <c r="J17" s="27" t="str">
        <f>'SC Retro'!D74</f>
        <v>Commercial EM-Retro-Hospital</v>
      </c>
      <c r="K17" s="42">
        <f t="shared" si="6"/>
        <v>0.68090306288300484</v>
      </c>
      <c r="L17" s="42">
        <f t="shared" si="6"/>
        <v>0.67947316645095057</v>
      </c>
      <c r="M17" s="42">
        <f t="shared" si="6"/>
        <v>0.67804627280140362</v>
      </c>
      <c r="N17" s="42">
        <f t="shared" si="6"/>
        <v>0.69596997874830058</v>
      </c>
      <c r="O17" s="42">
        <f t="shared" si="6"/>
        <v>0.72134712598464179</v>
      </c>
      <c r="P17" s="42">
        <f t="shared" si="6"/>
        <v>0.74300951909658208</v>
      </c>
      <c r="Q17" s="42">
        <f t="shared" si="6"/>
        <v>0.76234511807499239</v>
      </c>
      <c r="R17" s="42">
        <f t="shared" si="6"/>
        <v>0.7781334161516763</v>
      </c>
      <c r="S17" s="42">
        <f t="shared" si="6"/>
        <v>0.78886706525551098</v>
      </c>
      <c r="T17" s="42">
        <f t="shared" si="6"/>
        <v>0.79813670846909135</v>
      </c>
      <c r="U17" s="42">
        <f t="shared" si="7"/>
        <v>0.806585289569274</v>
      </c>
      <c r="V17" s="42">
        <f t="shared" si="7"/>
        <v>0.81382573689713178</v>
      </c>
      <c r="W17" s="42">
        <f t="shared" si="7"/>
        <v>0.82109777725079924</v>
      </c>
      <c r="X17" s="42">
        <f t="shared" si="7"/>
        <v>0.82883585880947652</v>
      </c>
      <c r="Y17" s="42">
        <f t="shared" si="7"/>
        <v>0.83828788456315428</v>
      </c>
      <c r="Z17" s="42">
        <f t="shared" si="7"/>
        <v>0.84996813301555663</v>
      </c>
      <c r="AA17" s="42">
        <f t="shared" si="7"/>
        <v>0.86351530917190467</v>
      </c>
      <c r="AB17" s="42">
        <f t="shared" si="7"/>
        <v>0.8755131077160101</v>
      </c>
      <c r="AC17" s="42">
        <f t="shared" si="7"/>
        <v>0.88702161019326564</v>
      </c>
      <c r="AD17" s="42">
        <f t="shared" si="7"/>
        <v>0.89818434748491538</v>
      </c>
      <c r="AE17" s="42">
        <f t="shared" si="7"/>
        <v>17.963686949698307</v>
      </c>
      <c r="AF17" s="348">
        <f t="shared" si="8"/>
        <v>102.91087073877826</v>
      </c>
      <c r="AG17" s="348">
        <f t="shared" si="8"/>
        <v>92.53356639333515</v>
      </c>
      <c r="AH17" s="348">
        <f t="shared" si="8"/>
        <v>106.48234681161499</v>
      </c>
      <c r="AI17" s="348">
        <f t="shared" si="8"/>
        <v>99.062759237911621</v>
      </c>
      <c r="AJ17" s="348">
        <f t="shared" si="8"/>
        <v>101.13721009673728</v>
      </c>
      <c r="AK17" s="348">
        <f t="shared" si="8"/>
        <v>100.1121475111308</v>
      </c>
      <c r="AL17" s="348">
        <f t="shared" si="8"/>
        <v>95.10824906713124</v>
      </c>
      <c r="AM17" s="348">
        <f t="shared" si="8"/>
        <v>99.09918390391023</v>
      </c>
      <c r="AN17" s="348">
        <f t="shared" si="8"/>
        <v>92.590314932954527</v>
      </c>
      <c r="AO17" s="348">
        <f t="shared" si="8"/>
        <v>105.57055301046995</v>
      </c>
      <c r="AP17" s="348">
        <f t="shared" si="8"/>
        <v>93.424199639499861</v>
      </c>
      <c r="AQ17" s="348">
        <f t="shared" si="8"/>
        <v>101.71453092411429</v>
      </c>
      <c r="AR17" s="348"/>
      <c r="AS17" s="348">
        <f t="shared" si="9"/>
        <v>43.691806251096764</v>
      </c>
      <c r="AT17" s="348">
        <f t="shared" si="9"/>
        <v>37.53871755412893</v>
      </c>
      <c r="AU17" s="348">
        <f t="shared" si="9"/>
        <v>36.007533344157665</v>
      </c>
      <c r="AV17" s="348">
        <f t="shared" si="9"/>
        <v>37.597867923661077</v>
      </c>
      <c r="AW17" s="348">
        <f t="shared" si="9"/>
        <v>36.888549445029128</v>
      </c>
      <c r="AX17" s="348">
        <f t="shared" si="9"/>
        <v>32.368679170996721</v>
      </c>
      <c r="AY17" s="348">
        <f t="shared" si="9"/>
        <v>38.004943919336959</v>
      </c>
      <c r="AZ17" s="348">
        <f t="shared" si="9"/>
        <v>31.167898211156576</v>
      </c>
      <c r="BA17" s="348">
        <f t="shared" si="9"/>
        <v>38.371063512149867</v>
      </c>
      <c r="BB17" s="348">
        <f t="shared" si="9"/>
        <v>34.4632006390963</v>
      </c>
      <c r="BC17" s="348">
        <f t="shared" si="9"/>
        <v>41.348758943095859</v>
      </c>
      <c r="BD17" s="348">
        <f t="shared" si="9"/>
        <v>43.992367122501825</v>
      </c>
    </row>
    <row r="18" spans="1:56" ht="15">
      <c r="A18" s="39" t="str">
        <f>VLOOKUP(CONCATENATE($C18,"-",$B18),[1]ACHIEV!$B$19:$C$100,2,FALSE)</f>
        <v>RetroEven20</v>
      </c>
      <c r="B18" s="39" t="str">
        <f>'SC Retro'!$C$7</f>
        <v>Retro</v>
      </c>
      <c r="C18" s="39" t="str">
        <f>'7PSourceSummary'!$B$3</f>
        <v>Commercial EM</v>
      </c>
      <c r="D18" s="39" t="s">
        <v>918</v>
      </c>
      <c r="E18" s="363" t="str">
        <f>'SC Retro'!$A$9</f>
        <v>HVAC</v>
      </c>
      <c r="F18" s="364">
        <f t="shared" si="1"/>
        <v>2.865072134396783E-2</v>
      </c>
      <c r="G18" s="365">
        <f>INDEX('SC Retro'!$A$60:$D$77,MATCH($J18,'SC Retro'!$D$60:$D$77,0),1)</f>
        <v>152.4085038874982</v>
      </c>
      <c r="H18" s="365">
        <f>INDEX('SC Retro'!$A$60:$D$77,MATCH($J18,'SC Retro'!$D$60:$D$77,0),2)</f>
        <v>19.770557184294496</v>
      </c>
      <c r="I18" s="18" t="str">
        <f>'SC Retro'!C75</f>
        <v>Residential Care</v>
      </c>
      <c r="J18" s="27" t="str">
        <f>'SC Retro'!D75</f>
        <v>Commercial EM-Retro-Residential Care</v>
      </c>
      <c r="K18" s="42">
        <f t="shared" si="6"/>
        <v>7.7511531642592293E-2</v>
      </c>
      <c r="L18" s="42">
        <f t="shared" si="6"/>
        <v>7.7325503966650055E-2</v>
      </c>
      <c r="M18" s="42">
        <f t="shared" si="6"/>
        <v>7.7139922757130094E-2</v>
      </c>
      <c r="N18" s="42">
        <f t="shared" si="6"/>
        <v>7.8749812246127773E-2</v>
      </c>
      <c r="O18" s="42">
        <f t="shared" si="6"/>
        <v>8.1276069766453143E-2</v>
      </c>
      <c r="P18" s="42">
        <f t="shared" si="6"/>
        <v>8.3547304842640405E-2</v>
      </c>
      <c r="Q18" s="42">
        <f t="shared" si="6"/>
        <v>8.552601541704738E-2</v>
      </c>
      <c r="R18" s="42">
        <f t="shared" si="6"/>
        <v>8.7172907455082799E-2</v>
      </c>
      <c r="S18" s="42">
        <f t="shared" si="6"/>
        <v>8.837579796502093E-2</v>
      </c>
      <c r="T18" s="42">
        <f t="shared" si="6"/>
        <v>8.9476949180511939E-2</v>
      </c>
      <c r="U18" s="42">
        <f t="shared" si="7"/>
        <v>9.0485224386231619E-2</v>
      </c>
      <c r="V18" s="42">
        <f t="shared" si="7"/>
        <v>9.1393068825244075E-2</v>
      </c>
      <c r="W18" s="42">
        <f t="shared" si="7"/>
        <v>9.2357182647439043E-2</v>
      </c>
      <c r="X18" s="42">
        <f t="shared" si="7"/>
        <v>9.3388334901214148E-2</v>
      </c>
      <c r="Y18" s="42">
        <f t="shared" si="7"/>
        <v>9.4595143582929114E-2</v>
      </c>
      <c r="Z18" s="42">
        <f t="shared" si="7"/>
        <v>9.610052449626616E-2</v>
      </c>
      <c r="AA18" s="42">
        <f t="shared" si="7"/>
        <v>9.7768281096404841E-2</v>
      </c>
      <c r="AB18" s="42">
        <f t="shared" si="7"/>
        <v>9.9241368385971918E-2</v>
      </c>
      <c r="AC18" s="42">
        <f t="shared" si="7"/>
        <v>0.10075130095278609</v>
      </c>
      <c r="AD18" s="42">
        <f t="shared" si="7"/>
        <v>0.10221568297646011</v>
      </c>
      <c r="AE18" s="42">
        <f t="shared" si="7"/>
        <v>2.0443136595292022</v>
      </c>
      <c r="AF18" s="348">
        <f t="shared" si="8"/>
        <v>9.5567956613662322</v>
      </c>
      <c r="AG18" s="348">
        <f t="shared" si="8"/>
        <v>8.5931095470300374</v>
      </c>
      <c r="AH18" s="348">
        <f t="shared" si="8"/>
        <v>9.8884600112306646</v>
      </c>
      <c r="AI18" s="348">
        <f t="shared" si="8"/>
        <v>9.1994416225564315</v>
      </c>
      <c r="AJ18" s="348">
        <f t="shared" si="8"/>
        <v>9.3920850510399507</v>
      </c>
      <c r="AK18" s="348">
        <f t="shared" si="8"/>
        <v>9.2968928366467889</v>
      </c>
      <c r="AL18" s="348">
        <f t="shared" si="8"/>
        <v>8.8322068943723497</v>
      </c>
      <c r="AM18" s="348">
        <f t="shared" si="8"/>
        <v>9.2028241912538231</v>
      </c>
      <c r="AN18" s="348">
        <f t="shared" si="8"/>
        <v>8.5983794878373594</v>
      </c>
      <c r="AO18" s="348">
        <f t="shared" si="8"/>
        <v>9.8037864779072308</v>
      </c>
      <c r="AP18" s="348">
        <f t="shared" si="8"/>
        <v>8.6758180100107936</v>
      </c>
      <c r="AQ18" s="348">
        <f t="shared" si="8"/>
        <v>9.4456978242939815</v>
      </c>
      <c r="AR18" s="348"/>
      <c r="AS18" s="348">
        <f t="shared" si="9"/>
        <v>4.0574300986882585</v>
      </c>
      <c r="AT18" s="348">
        <f t="shared" si="9"/>
        <v>3.4860248531486753</v>
      </c>
      <c r="AU18" s="348">
        <f t="shared" si="9"/>
        <v>3.343831764026441</v>
      </c>
      <c r="AV18" s="348">
        <f t="shared" si="9"/>
        <v>3.4915178393692266</v>
      </c>
      <c r="AW18" s="348">
        <f t="shared" si="9"/>
        <v>3.4256471328981521</v>
      </c>
      <c r="AX18" s="348">
        <f t="shared" si="9"/>
        <v>3.0059103615083207</v>
      </c>
      <c r="AY18" s="348">
        <f t="shared" si="9"/>
        <v>3.5293208633004554</v>
      </c>
      <c r="AZ18" s="348">
        <f t="shared" si="9"/>
        <v>2.894400098453795</v>
      </c>
      <c r="BA18" s="348">
        <f t="shared" si="9"/>
        <v>3.5633204797745694</v>
      </c>
      <c r="BB18" s="348">
        <f t="shared" si="9"/>
        <v>3.2004176427632043</v>
      </c>
      <c r="BC18" s="348">
        <f t="shared" si="9"/>
        <v>3.8398435192848321</v>
      </c>
      <c r="BD18" s="348">
        <f t="shared" si="9"/>
        <v>4.0853416187366243</v>
      </c>
    </row>
    <row r="19" spans="1:56" ht="15">
      <c r="A19" s="39" t="str">
        <f>VLOOKUP(CONCATENATE($C19,"-",$B19),[1]ACHIEV!$B$19:$C$100,2,FALSE)</f>
        <v>RetroEven20</v>
      </c>
      <c r="B19" s="39" t="str">
        <f>'SC Retro'!$C$7</f>
        <v>Retro</v>
      </c>
      <c r="C19" s="39" t="str">
        <f>'7PSourceSummary'!$B$3</f>
        <v>Commercial EM</v>
      </c>
      <c r="D19" s="39" t="s">
        <v>918</v>
      </c>
      <c r="E19" s="363" t="str">
        <f>'SC Retro'!$A$9</f>
        <v>HVAC</v>
      </c>
      <c r="F19" s="364">
        <f t="shared" si="1"/>
        <v>3.290686346163884E-2</v>
      </c>
      <c r="G19" s="365">
        <f>INDEX('SC Retro'!$A$60:$D$77,MATCH($J19,'SC Retro'!$D$60:$D$77,0),1)</f>
        <v>175.0491992019071</v>
      </c>
      <c r="H19" s="365">
        <f>INDEX('SC Retro'!$A$60:$D$77,MATCH($J19,'SC Retro'!$D$60:$D$77,0),2)</f>
        <v>33.256908653882199</v>
      </c>
      <c r="I19" s="18" t="str">
        <f>'SC Retro'!C76</f>
        <v>Assembly</v>
      </c>
      <c r="J19" s="27" t="str">
        <f>'SC Retro'!D76</f>
        <v>Commercial EM-Retro-Assembly</v>
      </c>
      <c r="K19" s="42">
        <f t="shared" si="6"/>
        <v>0.25992674864469145</v>
      </c>
      <c r="L19" s="42">
        <f t="shared" si="6"/>
        <v>0.2587605439657723</v>
      </c>
      <c r="M19" s="42">
        <f t="shared" si="6"/>
        <v>0.25759957165851255</v>
      </c>
      <c r="N19" s="42">
        <f t="shared" si="6"/>
        <v>0.25939255729605731</v>
      </c>
      <c r="O19" s="42">
        <f t="shared" si="6"/>
        <v>0.26044465902758124</v>
      </c>
      <c r="P19" s="42">
        <f t="shared" si="6"/>
        <v>0.26149115179184107</v>
      </c>
      <c r="Q19" s="42">
        <f t="shared" si="6"/>
        <v>0.26191557985681946</v>
      </c>
      <c r="R19" s="42">
        <f t="shared" si="6"/>
        <v>0.26257988563758983</v>
      </c>
      <c r="S19" s="42">
        <f t="shared" si="6"/>
        <v>0.26303465556089667</v>
      </c>
      <c r="T19" s="42">
        <f t="shared" si="6"/>
        <v>0.26340023154285747</v>
      </c>
      <c r="U19" s="42">
        <f t="shared" si="7"/>
        <v>0.26330507407272552</v>
      </c>
      <c r="V19" s="42">
        <f t="shared" si="7"/>
        <v>0.26326908159766149</v>
      </c>
      <c r="W19" s="42">
        <f t="shared" si="7"/>
        <v>0.26378731117905402</v>
      </c>
      <c r="X19" s="42">
        <f t="shared" si="7"/>
        <v>0.26494628210283616</v>
      </c>
      <c r="Y19" s="42">
        <f t="shared" si="7"/>
        <v>0.26635232096427713</v>
      </c>
      <c r="Z19" s="42">
        <f t="shared" si="7"/>
        <v>0.26832880943530868</v>
      </c>
      <c r="AA19" s="42">
        <f t="shared" si="7"/>
        <v>0.27126473158522768</v>
      </c>
      <c r="AB19" s="42">
        <f t="shared" si="7"/>
        <v>0.27464671424042275</v>
      </c>
      <c r="AC19" s="42">
        <f t="shared" si="7"/>
        <v>0.27833853402411179</v>
      </c>
      <c r="AD19" s="42">
        <f t="shared" si="7"/>
        <v>0.28192943002094806</v>
      </c>
      <c r="AE19" s="42">
        <f t="shared" si="7"/>
        <v>5.6385886004189611</v>
      </c>
      <c r="AF19" s="348">
        <f t="shared" si="8"/>
        <v>10.976483495260165</v>
      </c>
      <c r="AG19" s="348">
        <f t="shared" si="8"/>
        <v>9.8696392031524862</v>
      </c>
      <c r="AH19" s="348">
        <f t="shared" si="8"/>
        <v>11.357417481007088</v>
      </c>
      <c r="AI19" s="348">
        <f t="shared" si="8"/>
        <v>10.566043547818664</v>
      </c>
      <c r="AJ19" s="348">
        <f t="shared" si="8"/>
        <v>10.787304678447189</v>
      </c>
      <c r="AK19" s="348">
        <f t="shared" si="8"/>
        <v>10.677971403237823</v>
      </c>
      <c r="AL19" s="348">
        <f t="shared" si="8"/>
        <v>10.144255107882229</v>
      </c>
      <c r="AM19" s="348">
        <f t="shared" si="8"/>
        <v>10.569928606241392</v>
      </c>
      <c r="AN19" s="348">
        <f t="shared" si="8"/>
        <v>9.8756920079149033</v>
      </c>
      <c r="AO19" s="348">
        <f t="shared" si="8"/>
        <v>11.260165465379377</v>
      </c>
      <c r="AP19" s="348">
        <f t="shared" si="8"/>
        <v>9.964634231925217</v>
      </c>
      <c r="AQ19" s="348">
        <f t="shared" si="8"/>
        <v>10.848881774119219</v>
      </c>
      <c r="AR19" s="348"/>
      <c r="AS19" s="348">
        <f t="shared" si="9"/>
        <v>4.6601723097903527</v>
      </c>
      <c r="AT19" s="348">
        <f t="shared" si="9"/>
        <v>4.0038832701360638</v>
      </c>
      <c r="AU19" s="348">
        <f t="shared" si="9"/>
        <v>3.8405670131818859</v>
      </c>
      <c r="AV19" s="348">
        <f t="shared" si="9"/>
        <v>4.010192254310887</v>
      </c>
      <c r="AW19" s="348">
        <f t="shared" si="9"/>
        <v>3.9345362763010443</v>
      </c>
      <c r="AX19" s="348">
        <f t="shared" si="9"/>
        <v>3.4524464726925799</v>
      </c>
      <c r="AY19" s="348">
        <f t="shared" si="9"/>
        <v>4.053611019653907</v>
      </c>
      <c r="AZ19" s="348">
        <f t="shared" si="9"/>
        <v>3.324371058574628</v>
      </c>
      <c r="BA19" s="348">
        <f t="shared" si="9"/>
        <v>4.0926613710789095</v>
      </c>
      <c r="BB19" s="348">
        <f t="shared" si="9"/>
        <v>3.675848336460894</v>
      </c>
      <c r="BC19" s="348">
        <f t="shared" si="9"/>
        <v>4.4102626557347806</v>
      </c>
      <c r="BD19" s="348">
        <f t="shared" si="9"/>
        <v>4.6922301616053739</v>
      </c>
    </row>
    <row r="20" spans="1:56" ht="15">
      <c r="A20" s="366" t="str">
        <f>VLOOKUP(CONCATENATE($C20,"-",$B20),[1]ACHIEV!$B$19:$C$100,2,FALSE)</f>
        <v>RetroEven20</v>
      </c>
      <c r="B20" s="366" t="str">
        <f>'SC Retro'!$C$7</f>
        <v>Retro</v>
      </c>
      <c r="C20" s="366" t="str">
        <f>'7PSourceSummary'!$B$3</f>
        <v>Commercial EM</v>
      </c>
      <c r="D20" s="366" t="s">
        <v>918</v>
      </c>
      <c r="E20" s="367" t="str">
        <f>'SC Retro'!$A$9</f>
        <v>HVAC</v>
      </c>
      <c r="F20" s="364">
        <f t="shared" si="1"/>
        <v>4.08374215491858E-2</v>
      </c>
      <c r="G20" s="365">
        <f>INDEX('SC Retro'!$A$60:$D$77,MATCH($J20,'SC Retro'!$D$60:$D$77,0),1)</f>
        <v>217.23607745202173</v>
      </c>
      <c r="H20" s="365">
        <f>INDEX('SC Retro'!$A$60:$D$77,MATCH($J20,'SC Retro'!$D$60:$D$77,0),2)</f>
        <v>23.292130073677438</v>
      </c>
      <c r="I20" s="18" t="str">
        <f>'SC Retro'!C77</f>
        <v>Other</v>
      </c>
      <c r="J20" s="27" t="str">
        <f>'SC Retro'!D77</f>
        <v>Commercial EM-Retro-Other</v>
      </c>
      <c r="K20" s="42">
        <f t="shared" si="6"/>
        <v>0.29403461639762118</v>
      </c>
      <c r="L20" s="42">
        <f t="shared" si="6"/>
        <v>0.29138830485004263</v>
      </c>
      <c r="M20" s="42">
        <f t="shared" si="6"/>
        <v>0.28876581010639224</v>
      </c>
      <c r="N20" s="42">
        <f t="shared" si="6"/>
        <v>0.29422842637139401</v>
      </c>
      <c r="O20" s="42">
        <f t="shared" si="6"/>
        <v>0.30269100979187946</v>
      </c>
      <c r="P20" s="42">
        <f t="shared" si="6"/>
        <v>0.30933947897056269</v>
      </c>
      <c r="Q20" s="42">
        <f t="shared" si="6"/>
        <v>0.31551328738735468</v>
      </c>
      <c r="R20" s="42">
        <f t="shared" si="6"/>
        <v>0.32112553529639226</v>
      </c>
      <c r="S20" s="42">
        <f t="shared" si="6"/>
        <v>0.3249605765792159</v>
      </c>
      <c r="T20" s="42">
        <f t="shared" si="6"/>
        <v>0.32950042662415119</v>
      </c>
      <c r="U20" s="42">
        <f t="shared" si="7"/>
        <v>0.33389185760146278</v>
      </c>
      <c r="V20" s="42">
        <f t="shared" si="7"/>
        <v>0.3388563710675962</v>
      </c>
      <c r="W20" s="42">
        <f t="shared" si="7"/>
        <v>0.34445891270388296</v>
      </c>
      <c r="X20" s="42">
        <f t="shared" si="7"/>
        <v>0.34985690085002424</v>
      </c>
      <c r="Y20" s="42">
        <f t="shared" si="7"/>
        <v>0.3562434825580712</v>
      </c>
      <c r="Z20" s="42">
        <f t="shared" si="7"/>
        <v>0.36316888693516619</v>
      </c>
      <c r="AA20" s="42">
        <f t="shared" si="7"/>
        <v>0.37030210730142943</v>
      </c>
      <c r="AB20" s="42">
        <f t="shared" si="7"/>
        <v>0.37682256177396078</v>
      </c>
      <c r="AC20" s="42">
        <f t="shared" si="7"/>
        <v>0.38401614990405653</v>
      </c>
      <c r="AD20" s="42">
        <f t="shared" si="7"/>
        <v>0.39031493209099266</v>
      </c>
      <c r="AE20" s="42">
        <f t="shared" si="7"/>
        <v>7.8062986418198523</v>
      </c>
      <c r="AF20" s="348">
        <f t="shared" si="8"/>
        <v>13.621817349628856</v>
      </c>
      <c r="AG20" s="348">
        <f t="shared" si="8"/>
        <v>12.248223448806188</v>
      </c>
      <c r="AH20" s="348">
        <f t="shared" si="8"/>
        <v>14.094556472167636</v>
      </c>
      <c r="AI20" s="348">
        <f t="shared" si="8"/>
        <v>13.112461325046512</v>
      </c>
      <c r="AJ20" s="348">
        <f t="shared" si="8"/>
        <v>13.387046415006848</v>
      </c>
      <c r="AK20" s="348">
        <f t="shared" si="8"/>
        <v>13.251363807204285</v>
      </c>
      <c r="AL20" s="348">
        <f t="shared" si="8"/>
        <v>12.589021819900807</v>
      </c>
      <c r="AM20" s="348">
        <f t="shared" si="8"/>
        <v>13.117282683020578</v>
      </c>
      <c r="AN20" s="348">
        <f t="shared" si="8"/>
        <v>12.255734980250864</v>
      </c>
      <c r="AO20" s="348">
        <f t="shared" si="8"/>
        <v>13.973866708971983</v>
      </c>
      <c r="AP20" s="348">
        <f t="shared" si="8"/>
        <v>12.36611229104092</v>
      </c>
      <c r="AQ20" s="348">
        <f t="shared" si="8"/>
        <v>13.463463598208302</v>
      </c>
      <c r="AR20" s="348"/>
      <c r="AS20" s="348">
        <f t="shared" si="9"/>
        <v>5.7832744019679856</v>
      </c>
      <c r="AT20" s="348">
        <f t="shared" si="9"/>
        <v>4.9688196241154587</v>
      </c>
      <c r="AU20" s="348">
        <f t="shared" si="9"/>
        <v>4.7661441294166771</v>
      </c>
      <c r="AV20" s="348">
        <f t="shared" si="9"/>
        <v>4.976649074242018</v>
      </c>
      <c r="AW20" s="348">
        <f t="shared" si="9"/>
        <v>4.882759996350849</v>
      </c>
      <c r="AX20" s="348">
        <f t="shared" si="9"/>
        <v>4.2844864915705001</v>
      </c>
      <c r="AY20" s="348">
        <f t="shared" si="9"/>
        <v>5.030531767301631</v>
      </c>
      <c r="AZ20" s="348">
        <f t="shared" si="9"/>
        <v>4.1255448871079992</v>
      </c>
      <c r="BA20" s="348">
        <f t="shared" si="9"/>
        <v>5.0789932581588708</v>
      </c>
      <c r="BB20" s="348">
        <f t="shared" si="9"/>
        <v>4.561728231617094</v>
      </c>
      <c r="BC20" s="348">
        <f t="shared" si="9"/>
        <v>5.473136490958149</v>
      </c>
      <c r="BD20" s="348">
        <f t="shared" si="9"/>
        <v>5.8230581999606903</v>
      </c>
    </row>
    <row r="21" spans="1:56" ht="15">
      <c r="A21" s="368"/>
      <c r="B21" s="368"/>
      <c r="C21" s="368"/>
      <c r="D21" s="368"/>
      <c r="E21" s="369"/>
      <c r="F21" s="370"/>
      <c r="G21" s="371"/>
      <c r="H21" s="371"/>
      <c r="I21" s="211"/>
      <c r="J21" s="211"/>
      <c r="K21" s="372"/>
      <c r="L21" s="372"/>
      <c r="M21" s="372"/>
      <c r="N21" s="372"/>
      <c r="O21" s="372"/>
      <c r="P21" s="372"/>
      <c r="Q21" s="372"/>
      <c r="R21" s="372"/>
      <c r="S21" s="372"/>
      <c r="T21" s="372"/>
      <c r="U21" s="372"/>
      <c r="V21" s="372"/>
      <c r="W21" s="372"/>
      <c r="X21" s="372"/>
      <c r="Y21" s="372"/>
      <c r="Z21" s="372"/>
      <c r="AA21" s="372"/>
      <c r="AB21" s="372"/>
      <c r="AC21" s="372"/>
      <c r="AD21" s="372"/>
      <c r="AE21" s="372"/>
      <c r="AF21" s="373"/>
      <c r="AG21" s="373"/>
      <c r="AH21" s="373"/>
      <c r="AI21" s="373"/>
      <c r="AJ21" s="373"/>
      <c r="AK21" s="373"/>
      <c r="AL21" s="373"/>
      <c r="AM21" s="373"/>
      <c r="AN21" s="373"/>
      <c r="AO21" s="373"/>
      <c r="AP21" s="373"/>
      <c r="AQ21" s="373"/>
      <c r="AR21" s="373"/>
      <c r="AS21" s="373"/>
      <c r="AT21" s="373"/>
      <c r="AU21" s="373"/>
      <c r="AV21" s="373"/>
      <c r="AW21" s="373"/>
      <c r="AX21" s="373"/>
      <c r="AY21" s="373"/>
      <c r="AZ21" s="373"/>
      <c r="BA21" s="373"/>
      <c r="BB21" s="373"/>
      <c r="BC21" s="373"/>
      <c r="BD21" s="373"/>
    </row>
    <row r="22" spans="1:56" ht="15">
      <c r="A22" s="368"/>
      <c r="B22" s="368"/>
      <c r="C22" s="368"/>
      <c r="D22" s="368"/>
      <c r="E22" s="369"/>
      <c r="F22" s="370"/>
      <c r="G22" s="371"/>
      <c r="H22" s="371"/>
      <c r="I22" s="211"/>
      <c r="J22" s="211"/>
      <c r="K22" s="372"/>
      <c r="L22" s="372"/>
      <c r="M22" s="372"/>
      <c r="N22" s="372"/>
      <c r="O22" s="372"/>
      <c r="P22" s="372"/>
      <c r="Q22" s="372"/>
      <c r="R22" s="372"/>
      <c r="S22" s="372"/>
      <c r="T22" s="372"/>
      <c r="U22" s="372"/>
      <c r="V22" s="372"/>
      <c r="W22" s="372"/>
      <c r="X22" s="372"/>
      <c r="Y22" s="372"/>
      <c r="Z22" s="372"/>
      <c r="AA22" s="372"/>
      <c r="AB22" s="372"/>
      <c r="AC22" s="372"/>
      <c r="AD22" s="372"/>
      <c r="AE22" s="372"/>
      <c r="AF22" s="373"/>
      <c r="AG22" s="373"/>
      <c r="AH22" s="373"/>
      <c r="AI22" s="373"/>
      <c r="AJ22" s="373"/>
      <c r="AK22" s="373"/>
      <c r="AL22" s="373"/>
      <c r="AM22" s="373"/>
      <c r="AN22" s="373"/>
      <c r="AO22" s="373"/>
      <c r="AP22" s="373"/>
      <c r="AQ22" s="373"/>
      <c r="AR22" s="373"/>
      <c r="AS22" s="373"/>
      <c r="AT22" s="373"/>
      <c r="AU22" s="373"/>
      <c r="AV22" s="373"/>
      <c r="AW22" s="373"/>
      <c r="AX22" s="373"/>
      <c r="AY22" s="373"/>
      <c r="AZ22" s="373"/>
      <c r="BA22" s="373"/>
      <c r="BB22" s="373"/>
      <c r="BC22" s="373"/>
      <c r="BD22" s="373"/>
    </row>
    <row r="23" spans="1:56" ht="15">
      <c r="A23" s="368"/>
      <c r="B23" s="368"/>
      <c r="C23" s="368"/>
      <c r="D23" s="368"/>
      <c r="E23" s="369"/>
      <c r="F23" s="370"/>
      <c r="G23" s="371"/>
      <c r="H23" s="371"/>
      <c r="I23" s="211"/>
      <c r="J23" s="211"/>
      <c r="K23" s="372"/>
      <c r="L23" s="372"/>
      <c r="M23" s="372"/>
      <c r="N23" s="372"/>
      <c r="O23" s="372"/>
      <c r="P23" s="372"/>
      <c r="Q23" s="372"/>
      <c r="R23" s="372"/>
      <c r="S23" s="372"/>
      <c r="T23" s="372"/>
      <c r="U23" s="372"/>
      <c r="V23" s="372"/>
      <c r="W23" s="372"/>
      <c r="X23" s="372"/>
      <c r="Y23" s="372"/>
      <c r="Z23" s="372"/>
      <c r="AA23" s="372"/>
      <c r="AB23" s="372"/>
      <c r="AC23" s="372"/>
      <c r="AD23" s="372"/>
      <c r="AE23" s="372"/>
      <c r="AF23" s="373"/>
      <c r="AG23" s="373"/>
      <c r="AH23" s="373"/>
      <c r="AI23" s="373"/>
      <c r="AJ23" s="373"/>
      <c r="AK23" s="373"/>
      <c r="AL23" s="373"/>
      <c r="AM23" s="373"/>
      <c r="AN23" s="373"/>
      <c r="AO23" s="373"/>
      <c r="AP23" s="373"/>
      <c r="AQ23" s="373"/>
      <c r="AR23" s="373"/>
      <c r="AS23" s="373"/>
      <c r="AT23" s="373"/>
      <c r="AU23" s="373"/>
      <c r="AV23" s="373"/>
      <c r="AW23" s="373"/>
      <c r="AX23" s="373"/>
      <c r="AY23" s="373"/>
      <c r="AZ23" s="373"/>
      <c r="BA23" s="373"/>
      <c r="BB23" s="373"/>
      <c r="BC23" s="373"/>
      <c r="BD23" s="373"/>
    </row>
    <row r="24" spans="1:56" ht="15">
      <c r="A24" s="368"/>
      <c r="B24" s="368"/>
      <c r="C24" s="368"/>
      <c r="D24" s="368"/>
      <c r="E24" s="369"/>
      <c r="F24" s="370"/>
      <c r="G24" s="371"/>
      <c r="H24" s="371"/>
      <c r="I24" s="211"/>
      <c r="J24" s="211"/>
      <c r="K24" s="372"/>
      <c r="L24" s="372"/>
      <c r="M24" s="372"/>
      <c r="N24" s="372"/>
      <c r="O24" s="372"/>
      <c r="P24" s="372"/>
      <c r="Q24" s="372"/>
      <c r="R24" s="372"/>
      <c r="S24" s="372"/>
      <c r="T24" s="372"/>
      <c r="U24" s="372"/>
      <c r="V24" s="372"/>
      <c r="W24" s="372"/>
      <c r="X24" s="372"/>
      <c r="Y24" s="372"/>
      <c r="Z24" s="372"/>
      <c r="AA24" s="372"/>
      <c r="AB24" s="372"/>
      <c r="AC24" s="372"/>
      <c r="AD24" s="372"/>
      <c r="AE24" s="372"/>
      <c r="AF24" s="373"/>
      <c r="AG24" s="373"/>
      <c r="AH24" s="373"/>
      <c r="AI24" s="373"/>
      <c r="AJ24" s="373"/>
      <c r="AK24" s="373"/>
      <c r="AL24" s="373"/>
      <c r="AM24" s="373"/>
      <c r="AN24" s="373"/>
      <c r="AO24" s="373"/>
      <c r="AP24" s="373"/>
      <c r="AQ24" s="373"/>
      <c r="AR24" s="373"/>
      <c r="AS24" s="373"/>
      <c r="AT24" s="373"/>
      <c r="AU24" s="373"/>
      <c r="AV24" s="373"/>
      <c r="AW24" s="373"/>
      <c r="AX24" s="373"/>
      <c r="AY24" s="373"/>
      <c r="AZ24" s="373"/>
      <c r="BA24" s="373"/>
      <c r="BB24" s="373"/>
      <c r="BC24" s="373"/>
      <c r="BD24" s="373"/>
    </row>
    <row r="25" spans="1:56" ht="15">
      <c r="A25" s="368"/>
      <c r="B25" s="368"/>
      <c r="C25" s="368"/>
      <c r="D25" s="368"/>
      <c r="E25" s="369"/>
      <c r="F25" s="370"/>
      <c r="G25" s="371"/>
      <c r="H25" s="371"/>
      <c r="I25" s="211"/>
      <c r="J25" s="211"/>
      <c r="K25" s="372"/>
      <c r="L25" s="372"/>
      <c r="M25" s="372"/>
      <c r="N25" s="372"/>
      <c r="O25" s="372"/>
      <c r="P25" s="372"/>
      <c r="Q25" s="372"/>
      <c r="R25" s="372"/>
      <c r="S25" s="372"/>
      <c r="T25" s="372"/>
      <c r="U25" s="372"/>
      <c r="V25" s="372"/>
      <c r="W25" s="372"/>
      <c r="X25" s="372"/>
      <c r="Y25" s="372"/>
      <c r="Z25" s="372"/>
      <c r="AA25" s="372"/>
      <c r="AB25" s="372"/>
      <c r="AC25" s="372"/>
      <c r="AD25" s="372"/>
      <c r="AE25" s="372"/>
      <c r="AF25" s="373"/>
      <c r="AG25" s="373"/>
      <c r="AH25" s="373"/>
      <c r="AI25" s="373"/>
      <c r="AJ25" s="373"/>
      <c r="AK25" s="373"/>
      <c r="AL25" s="373"/>
      <c r="AM25" s="373"/>
      <c r="AN25" s="373"/>
      <c r="AO25" s="373"/>
      <c r="AP25" s="373"/>
      <c r="AQ25" s="373"/>
      <c r="AR25" s="373"/>
      <c r="AS25" s="373"/>
      <c r="AT25" s="373"/>
      <c r="AU25" s="373"/>
      <c r="AV25" s="373"/>
      <c r="AW25" s="373"/>
      <c r="AX25" s="373"/>
      <c r="AY25" s="373"/>
      <c r="AZ25" s="373"/>
      <c r="BA25" s="373"/>
      <c r="BB25" s="373"/>
      <c r="BC25" s="373"/>
      <c r="BD25" s="373"/>
    </row>
    <row r="26" spans="1:56" ht="15">
      <c r="A26" s="368"/>
      <c r="B26" s="368"/>
      <c r="C26" s="368"/>
      <c r="D26" s="368"/>
      <c r="E26" s="369"/>
      <c r="F26" s="370"/>
      <c r="G26" s="371"/>
      <c r="H26" s="371"/>
      <c r="I26" s="211"/>
      <c r="J26" s="211"/>
      <c r="K26" s="372"/>
      <c r="L26" s="372"/>
      <c r="M26" s="372"/>
      <c r="N26" s="372"/>
      <c r="O26" s="372"/>
      <c r="P26" s="372"/>
      <c r="Q26" s="372"/>
      <c r="R26" s="372"/>
      <c r="S26" s="372"/>
      <c r="T26" s="372"/>
      <c r="U26" s="372"/>
      <c r="V26" s="372"/>
      <c r="W26" s="372"/>
      <c r="X26" s="372"/>
      <c r="Y26" s="372"/>
      <c r="Z26" s="372"/>
      <c r="AA26" s="372"/>
      <c r="AB26" s="372"/>
      <c r="AC26" s="372"/>
      <c r="AD26" s="372"/>
      <c r="AE26" s="372"/>
      <c r="AF26" s="373"/>
      <c r="AG26" s="373"/>
      <c r="AH26" s="373"/>
      <c r="AI26" s="373"/>
      <c r="AJ26" s="373"/>
      <c r="AK26" s="373"/>
      <c r="AL26" s="373"/>
      <c r="AM26" s="373"/>
      <c r="AN26" s="373"/>
      <c r="AO26" s="373"/>
      <c r="AP26" s="373"/>
      <c r="AQ26" s="373"/>
      <c r="AR26" s="373"/>
      <c r="AS26" s="373"/>
      <c r="AT26" s="373"/>
      <c r="AU26" s="373"/>
      <c r="AV26" s="373"/>
      <c r="AW26" s="373"/>
      <c r="AX26" s="373"/>
      <c r="AY26" s="373"/>
      <c r="AZ26" s="373"/>
      <c r="BA26" s="373"/>
      <c r="BB26" s="373"/>
      <c r="BC26" s="373"/>
      <c r="BD26" s="373"/>
    </row>
    <row r="27" spans="1:56" ht="15">
      <c r="A27" s="368"/>
      <c r="B27" s="368"/>
      <c r="C27" s="368"/>
      <c r="D27" s="368"/>
      <c r="E27" s="369"/>
      <c r="F27" s="370"/>
      <c r="G27" s="371"/>
      <c r="H27" s="371"/>
      <c r="I27" s="211"/>
      <c r="J27" s="211"/>
      <c r="K27" s="372"/>
      <c r="L27" s="372"/>
      <c r="M27" s="372"/>
      <c r="N27" s="372"/>
      <c r="O27" s="372"/>
      <c r="P27" s="372"/>
      <c r="Q27" s="372"/>
      <c r="R27" s="372"/>
      <c r="S27" s="372"/>
      <c r="T27" s="372"/>
      <c r="U27" s="372"/>
      <c r="V27" s="372"/>
      <c r="W27" s="372"/>
      <c r="X27" s="372"/>
      <c r="Y27" s="372"/>
      <c r="Z27" s="372"/>
      <c r="AA27" s="372"/>
      <c r="AB27" s="372"/>
      <c r="AC27" s="372"/>
      <c r="AD27" s="372"/>
      <c r="AE27" s="372"/>
      <c r="AF27" s="373"/>
      <c r="AG27" s="373"/>
      <c r="AH27" s="373"/>
      <c r="AI27" s="373"/>
      <c r="AJ27" s="373"/>
      <c r="AK27" s="373"/>
      <c r="AL27" s="373"/>
      <c r="AM27" s="373"/>
      <c r="AN27" s="373"/>
      <c r="AO27" s="373"/>
      <c r="AP27" s="373"/>
      <c r="AQ27" s="373"/>
      <c r="AR27" s="373"/>
      <c r="AS27" s="373"/>
      <c r="AT27" s="373"/>
      <c r="AU27" s="373"/>
      <c r="AV27" s="373"/>
      <c r="AW27" s="373"/>
      <c r="AX27" s="373"/>
      <c r="AY27" s="373"/>
      <c r="AZ27" s="373"/>
      <c r="BA27" s="373"/>
      <c r="BB27" s="373"/>
      <c r="BC27" s="373"/>
      <c r="BD27" s="373"/>
    </row>
    <row r="28" spans="1:56" ht="15">
      <c r="A28" s="368"/>
      <c r="B28" s="368"/>
      <c r="C28" s="368"/>
      <c r="D28" s="368"/>
      <c r="E28" s="369"/>
      <c r="F28" s="370"/>
      <c r="G28" s="371"/>
      <c r="H28" s="371"/>
      <c r="I28" s="211"/>
      <c r="J28" s="211"/>
      <c r="K28" s="372"/>
      <c r="L28" s="372"/>
      <c r="M28" s="372"/>
      <c r="N28" s="372"/>
      <c r="O28" s="372"/>
      <c r="P28" s="372"/>
      <c r="Q28" s="372"/>
      <c r="R28" s="372"/>
      <c r="S28" s="372"/>
      <c r="T28" s="372"/>
      <c r="U28" s="372"/>
      <c r="V28" s="372"/>
      <c r="W28" s="372"/>
      <c r="X28" s="372"/>
      <c r="Y28" s="372"/>
      <c r="Z28" s="372"/>
      <c r="AA28" s="372"/>
      <c r="AB28" s="372"/>
      <c r="AC28" s="372"/>
      <c r="AD28" s="372"/>
      <c r="AE28" s="372"/>
      <c r="AF28" s="373"/>
      <c r="AG28" s="373"/>
      <c r="AH28" s="373"/>
      <c r="AI28" s="373"/>
      <c r="AJ28" s="373"/>
      <c r="AK28" s="373"/>
      <c r="AL28" s="373"/>
      <c r="AM28" s="373"/>
      <c r="AN28" s="373"/>
      <c r="AO28" s="373"/>
      <c r="AP28" s="373"/>
      <c r="AQ28" s="373"/>
      <c r="AR28" s="373"/>
      <c r="AS28" s="373"/>
      <c r="AT28" s="373"/>
      <c r="AU28" s="373"/>
      <c r="AV28" s="373"/>
      <c r="AW28" s="373"/>
      <c r="AX28" s="373"/>
      <c r="AY28" s="373"/>
      <c r="AZ28" s="373"/>
      <c r="BA28" s="373"/>
      <c r="BB28" s="373"/>
      <c r="BC28" s="373"/>
      <c r="BD28" s="373"/>
    </row>
    <row r="29" spans="1:56" ht="15">
      <c r="A29" s="368"/>
      <c r="B29" s="368"/>
      <c r="C29" s="368"/>
      <c r="D29" s="368"/>
      <c r="E29" s="369"/>
      <c r="F29" s="370"/>
      <c r="G29" s="371"/>
      <c r="H29" s="371"/>
      <c r="I29" s="211"/>
      <c r="J29" s="211"/>
      <c r="K29" s="372"/>
      <c r="L29" s="372"/>
      <c r="M29" s="372"/>
      <c r="N29" s="372"/>
      <c r="O29" s="372"/>
      <c r="P29" s="372"/>
      <c r="Q29" s="372"/>
      <c r="R29" s="372"/>
      <c r="S29" s="372"/>
      <c r="T29" s="372"/>
      <c r="U29" s="372"/>
      <c r="V29" s="372"/>
      <c r="W29" s="372"/>
      <c r="X29" s="372"/>
      <c r="Y29" s="372"/>
      <c r="Z29" s="372"/>
      <c r="AA29" s="372"/>
      <c r="AB29" s="372"/>
      <c r="AC29" s="372"/>
      <c r="AD29" s="372"/>
      <c r="AE29" s="372"/>
      <c r="AF29" s="373"/>
      <c r="AG29" s="373"/>
      <c r="AH29" s="373"/>
      <c r="AI29" s="373"/>
      <c r="AJ29" s="373"/>
      <c r="AK29" s="373"/>
      <c r="AL29" s="373"/>
      <c r="AM29" s="373"/>
      <c r="AN29" s="373"/>
      <c r="AO29" s="373"/>
      <c r="AP29" s="373"/>
      <c r="AQ29" s="373"/>
      <c r="AR29" s="373"/>
      <c r="AS29" s="373"/>
      <c r="AT29" s="373"/>
      <c r="AU29" s="373"/>
      <c r="AV29" s="373"/>
      <c r="AW29" s="373"/>
      <c r="AX29" s="373"/>
      <c r="AY29" s="373"/>
      <c r="AZ29" s="373"/>
      <c r="BA29" s="373"/>
      <c r="BB29" s="373"/>
      <c r="BC29" s="373"/>
      <c r="BD29" s="373"/>
    </row>
    <row r="30" spans="1:56" ht="15">
      <c r="A30" s="368"/>
      <c r="B30" s="368"/>
      <c r="C30" s="368"/>
      <c r="D30" s="368"/>
      <c r="E30" s="369"/>
      <c r="F30" s="370"/>
      <c r="G30" s="371"/>
      <c r="H30" s="371"/>
      <c r="I30" s="211"/>
      <c r="J30" s="211"/>
      <c r="K30" s="372"/>
      <c r="L30" s="372"/>
      <c r="M30" s="372"/>
      <c r="N30" s="372"/>
      <c r="O30" s="372"/>
      <c r="P30" s="372"/>
      <c r="Q30" s="372"/>
      <c r="R30" s="372"/>
      <c r="S30" s="372"/>
      <c r="T30" s="372"/>
      <c r="U30" s="372"/>
      <c r="V30" s="372"/>
      <c r="W30" s="372"/>
      <c r="X30" s="372"/>
      <c r="Y30" s="372"/>
      <c r="Z30" s="372"/>
      <c r="AA30" s="372"/>
      <c r="AB30" s="372"/>
      <c r="AC30" s="372"/>
      <c r="AD30" s="372"/>
      <c r="AE30" s="372"/>
      <c r="AF30" s="373"/>
      <c r="AG30" s="373"/>
      <c r="AH30" s="373"/>
      <c r="AI30" s="373"/>
      <c r="AJ30" s="373"/>
      <c r="AK30" s="373"/>
      <c r="AL30" s="373"/>
      <c r="AM30" s="373"/>
      <c r="AN30" s="373"/>
      <c r="AO30" s="373"/>
      <c r="AP30" s="373"/>
      <c r="AQ30" s="373"/>
      <c r="AR30" s="373"/>
      <c r="AS30" s="373"/>
      <c r="AT30" s="373"/>
      <c r="AU30" s="373"/>
      <c r="AV30" s="373"/>
      <c r="AW30" s="373"/>
      <c r="AX30" s="373"/>
      <c r="AY30" s="373"/>
      <c r="AZ30" s="373"/>
      <c r="BA30" s="373"/>
      <c r="BB30" s="373"/>
      <c r="BC30" s="373"/>
      <c r="BD30" s="373"/>
    </row>
    <row r="31" spans="1:56" ht="15">
      <c r="A31" s="368"/>
      <c r="B31" s="368"/>
      <c r="C31" s="368"/>
      <c r="D31" s="368"/>
      <c r="E31" s="369"/>
      <c r="F31" s="370"/>
      <c r="G31" s="371"/>
      <c r="H31" s="371"/>
      <c r="I31" s="211"/>
      <c r="J31" s="211"/>
      <c r="K31" s="372"/>
      <c r="L31" s="372"/>
      <c r="M31" s="372"/>
      <c r="N31" s="372"/>
      <c r="O31" s="372"/>
      <c r="P31" s="372"/>
      <c r="Q31" s="372"/>
      <c r="R31" s="372"/>
      <c r="S31" s="372"/>
      <c r="T31" s="372"/>
      <c r="U31" s="372"/>
      <c r="V31" s="372"/>
      <c r="W31" s="372"/>
      <c r="X31" s="372"/>
      <c r="Y31" s="372"/>
      <c r="Z31" s="372"/>
      <c r="AA31" s="372"/>
      <c r="AB31" s="372"/>
      <c r="AC31" s="372"/>
      <c r="AD31" s="372"/>
      <c r="AE31" s="372"/>
      <c r="AF31" s="373"/>
      <c r="AG31" s="373"/>
      <c r="AH31" s="373"/>
      <c r="AI31" s="373"/>
      <c r="AJ31" s="373"/>
      <c r="AK31" s="373"/>
      <c r="AL31" s="373"/>
      <c r="AM31" s="373"/>
      <c r="AN31" s="373"/>
      <c r="AO31" s="373"/>
      <c r="AP31" s="373"/>
      <c r="AQ31" s="373"/>
      <c r="AR31" s="373"/>
      <c r="AS31" s="373"/>
      <c r="AT31" s="373"/>
      <c r="AU31" s="373"/>
      <c r="AV31" s="373"/>
      <c r="AW31" s="373"/>
      <c r="AX31" s="373"/>
      <c r="AY31" s="373"/>
      <c r="AZ31" s="373"/>
      <c r="BA31" s="373"/>
      <c r="BB31" s="373"/>
      <c r="BC31" s="373"/>
      <c r="BD31" s="373"/>
    </row>
    <row r="32" spans="1:56" ht="15">
      <c r="A32" s="368"/>
      <c r="B32" s="368"/>
      <c r="C32" s="368"/>
      <c r="D32" s="368"/>
      <c r="E32" s="369"/>
      <c r="F32" s="370"/>
      <c r="G32" s="371"/>
      <c r="H32" s="371"/>
      <c r="I32" s="211"/>
      <c r="J32" s="211"/>
      <c r="K32" s="372"/>
      <c r="L32" s="372"/>
      <c r="M32" s="372"/>
      <c r="N32" s="372"/>
      <c r="O32" s="372"/>
      <c r="P32" s="372"/>
      <c r="Q32" s="372"/>
      <c r="R32" s="372"/>
      <c r="S32" s="372"/>
      <c r="T32" s="372"/>
      <c r="U32" s="372"/>
      <c r="V32" s="372"/>
      <c r="W32" s="372"/>
      <c r="X32" s="372"/>
      <c r="Y32" s="372"/>
      <c r="Z32" s="372"/>
      <c r="AA32" s="372"/>
      <c r="AB32" s="372"/>
      <c r="AC32" s="372"/>
      <c r="AD32" s="372"/>
      <c r="AE32" s="372"/>
      <c r="AF32" s="373"/>
      <c r="AG32" s="373"/>
      <c r="AH32" s="373"/>
      <c r="AI32" s="373"/>
      <c r="AJ32" s="373"/>
      <c r="AK32" s="373"/>
      <c r="AL32" s="373"/>
      <c r="AM32" s="373"/>
      <c r="AN32" s="373"/>
      <c r="AO32" s="373"/>
      <c r="AP32" s="373"/>
      <c r="AQ32" s="373"/>
      <c r="AR32" s="373"/>
      <c r="AS32" s="373"/>
      <c r="AT32" s="373"/>
      <c r="AU32" s="373"/>
      <c r="AV32" s="373"/>
      <c r="AW32" s="373"/>
      <c r="AX32" s="373"/>
      <c r="AY32" s="373"/>
      <c r="AZ32" s="373"/>
      <c r="BA32" s="373"/>
      <c r="BB32" s="373"/>
      <c r="BC32" s="373"/>
      <c r="BD32" s="373"/>
    </row>
    <row r="33" spans="1:56" ht="15">
      <c r="A33" s="368"/>
      <c r="B33" s="368"/>
      <c r="C33" s="368"/>
      <c r="D33" s="368"/>
      <c r="E33" s="369"/>
      <c r="F33" s="370"/>
      <c r="G33" s="371"/>
      <c r="H33" s="371"/>
      <c r="I33" s="211"/>
      <c r="J33" s="211"/>
      <c r="K33" s="372"/>
      <c r="L33" s="372"/>
      <c r="M33" s="372"/>
      <c r="N33" s="372"/>
      <c r="O33" s="372"/>
      <c r="P33" s="372"/>
      <c r="Q33" s="372"/>
      <c r="R33" s="372"/>
      <c r="S33" s="372"/>
      <c r="T33" s="372"/>
      <c r="U33" s="372"/>
      <c r="V33" s="372"/>
      <c r="W33" s="372"/>
      <c r="X33" s="372"/>
      <c r="Y33" s="372"/>
      <c r="Z33" s="372"/>
      <c r="AA33" s="372"/>
      <c r="AB33" s="372"/>
      <c r="AC33" s="372"/>
      <c r="AD33" s="372"/>
      <c r="AE33" s="372"/>
      <c r="AF33" s="373"/>
      <c r="AG33" s="373"/>
      <c r="AH33" s="373"/>
      <c r="AI33" s="373"/>
      <c r="AJ33" s="373"/>
      <c r="AK33" s="373"/>
      <c r="AL33" s="373"/>
      <c r="AM33" s="373"/>
      <c r="AN33" s="373"/>
      <c r="AO33" s="373"/>
      <c r="AP33" s="373"/>
      <c r="AQ33" s="373"/>
      <c r="AR33" s="373"/>
      <c r="AS33" s="373"/>
      <c r="AT33" s="373"/>
      <c r="AU33" s="373"/>
      <c r="AV33" s="373"/>
      <c r="AW33" s="373"/>
      <c r="AX33" s="373"/>
      <c r="AY33" s="373"/>
      <c r="AZ33" s="373"/>
      <c r="BA33" s="373"/>
      <c r="BB33" s="373"/>
      <c r="BC33" s="373"/>
      <c r="BD33" s="373"/>
    </row>
    <row r="34" spans="1:56" ht="15">
      <c r="A34" s="368"/>
      <c r="B34" s="368"/>
      <c r="C34" s="368"/>
      <c r="D34" s="368"/>
      <c r="E34" s="369"/>
      <c r="F34" s="370"/>
      <c r="G34" s="371"/>
      <c r="H34" s="371"/>
      <c r="I34" s="211"/>
      <c r="J34" s="211"/>
      <c r="K34" s="372"/>
      <c r="L34" s="372"/>
      <c r="M34" s="372"/>
      <c r="N34" s="372"/>
      <c r="O34" s="372"/>
      <c r="P34" s="372"/>
      <c r="Q34" s="372"/>
      <c r="R34" s="372"/>
      <c r="S34" s="372"/>
      <c r="T34" s="372"/>
      <c r="U34" s="372"/>
      <c r="V34" s="372"/>
      <c r="W34" s="372"/>
      <c r="X34" s="372"/>
      <c r="Y34" s="372"/>
      <c r="Z34" s="372"/>
      <c r="AA34" s="372"/>
      <c r="AB34" s="372"/>
      <c r="AC34" s="372"/>
      <c r="AD34" s="372"/>
      <c r="AE34" s="372"/>
      <c r="AF34" s="373"/>
      <c r="AG34" s="373"/>
      <c r="AH34" s="373"/>
      <c r="AI34" s="373"/>
      <c r="AJ34" s="373"/>
      <c r="AK34" s="373"/>
      <c r="AL34" s="373"/>
      <c r="AM34" s="373"/>
      <c r="AN34" s="373"/>
      <c r="AO34" s="373"/>
      <c r="AP34" s="373"/>
      <c r="AQ34" s="373"/>
      <c r="AR34" s="373"/>
      <c r="AS34" s="373"/>
      <c r="AT34" s="373"/>
      <c r="AU34" s="373"/>
      <c r="AV34" s="373"/>
      <c r="AW34" s="373"/>
      <c r="AX34" s="373"/>
      <c r="AY34" s="373"/>
      <c r="AZ34" s="373"/>
      <c r="BA34" s="373"/>
      <c r="BB34" s="373"/>
      <c r="BC34" s="373"/>
      <c r="BD34" s="373"/>
    </row>
    <row r="35" spans="1:56" ht="15">
      <c r="A35" s="368"/>
      <c r="B35" s="368"/>
      <c r="C35" s="368"/>
      <c r="D35" s="368"/>
      <c r="E35" s="369"/>
      <c r="F35" s="370"/>
      <c r="G35" s="371"/>
      <c r="H35" s="371"/>
      <c r="I35" s="211"/>
      <c r="J35" s="211"/>
      <c r="K35" s="372"/>
      <c r="L35" s="372"/>
      <c r="M35" s="372"/>
      <c r="N35" s="372"/>
      <c r="O35" s="372"/>
      <c r="P35" s="372"/>
      <c r="Q35" s="372"/>
      <c r="R35" s="372"/>
      <c r="S35" s="372"/>
      <c r="T35" s="372"/>
      <c r="U35" s="372"/>
      <c r="V35" s="372"/>
      <c r="W35" s="372"/>
      <c r="X35" s="372"/>
      <c r="Y35" s="372"/>
      <c r="Z35" s="372"/>
      <c r="AA35" s="372"/>
      <c r="AB35" s="372"/>
      <c r="AC35" s="372"/>
      <c r="AD35" s="372"/>
      <c r="AE35" s="372"/>
      <c r="AF35" s="373"/>
      <c r="AG35" s="373"/>
      <c r="AH35" s="373"/>
      <c r="AI35" s="373"/>
      <c r="AJ35" s="373"/>
      <c r="AK35" s="373"/>
      <c r="AL35" s="373"/>
      <c r="AM35" s="373"/>
      <c r="AN35" s="373"/>
      <c r="AO35" s="373"/>
      <c r="AP35" s="373"/>
      <c r="AQ35" s="373"/>
      <c r="AR35" s="373"/>
      <c r="AS35" s="373"/>
      <c r="AT35" s="373"/>
      <c r="AU35" s="373"/>
      <c r="AV35" s="373"/>
      <c r="AW35" s="373"/>
      <c r="AX35" s="373"/>
      <c r="AY35" s="373"/>
      <c r="AZ35" s="373"/>
      <c r="BA35" s="373"/>
      <c r="BB35" s="373"/>
      <c r="BC35" s="373"/>
      <c r="BD35" s="373"/>
    </row>
    <row r="36" spans="1:56" ht="15">
      <c r="A36" s="368"/>
      <c r="B36" s="368"/>
      <c r="C36" s="368"/>
      <c r="D36" s="368"/>
      <c r="E36" s="369"/>
      <c r="F36" s="370"/>
      <c r="G36" s="371"/>
      <c r="H36" s="371"/>
      <c r="I36" s="211"/>
      <c r="J36" s="211"/>
      <c r="K36" s="372"/>
      <c r="L36" s="372"/>
      <c r="M36" s="372"/>
      <c r="N36" s="372"/>
      <c r="O36" s="372"/>
      <c r="P36" s="372"/>
      <c r="Q36" s="372"/>
      <c r="R36" s="372"/>
      <c r="S36" s="372"/>
      <c r="T36" s="372"/>
      <c r="U36" s="372"/>
      <c r="V36" s="372"/>
      <c r="W36" s="372"/>
      <c r="X36" s="372"/>
      <c r="Y36" s="372"/>
      <c r="Z36" s="372"/>
      <c r="AA36" s="372"/>
      <c r="AB36" s="372"/>
      <c r="AC36" s="372"/>
      <c r="AD36" s="372"/>
      <c r="AE36" s="372"/>
      <c r="AF36" s="373"/>
      <c r="AG36" s="373"/>
      <c r="AH36" s="373"/>
      <c r="AI36" s="373"/>
      <c r="AJ36" s="373"/>
      <c r="AK36" s="373"/>
      <c r="AL36" s="373"/>
      <c r="AM36" s="373"/>
      <c r="AN36" s="373"/>
      <c r="AO36" s="373"/>
      <c r="AP36" s="373"/>
      <c r="AQ36" s="373"/>
      <c r="AR36" s="373"/>
      <c r="AS36" s="373"/>
      <c r="AT36" s="373"/>
      <c r="AU36" s="373"/>
      <c r="AV36" s="373"/>
      <c r="AW36" s="373"/>
      <c r="AX36" s="373"/>
      <c r="AY36" s="373"/>
      <c r="AZ36" s="373"/>
      <c r="BA36" s="373"/>
      <c r="BB36" s="373"/>
      <c r="BC36" s="373"/>
      <c r="BD36" s="373"/>
    </row>
    <row r="37" spans="1:56" ht="15">
      <c r="A37" s="368"/>
      <c r="B37" s="368"/>
      <c r="C37" s="368"/>
      <c r="D37" s="368"/>
      <c r="E37" s="369"/>
      <c r="F37" s="370"/>
      <c r="G37" s="371"/>
      <c r="H37" s="371"/>
      <c r="I37" s="211"/>
      <c r="J37" s="211"/>
      <c r="K37" s="372"/>
      <c r="L37" s="372"/>
      <c r="M37" s="372"/>
      <c r="N37" s="372"/>
      <c r="O37" s="372"/>
      <c r="P37" s="372"/>
      <c r="Q37" s="372"/>
      <c r="R37" s="372"/>
      <c r="S37" s="372"/>
      <c r="T37" s="372"/>
      <c r="U37" s="372"/>
      <c r="V37" s="372"/>
      <c r="W37" s="372"/>
      <c r="X37" s="372"/>
      <c r="Y37" s="372"/>
      <c r="Z37" s="372"/>
      <c r="AA37" s="372"/>
      <c r="AB37" s="372"/>
      <c r="AC37" s="372"/>
      <c r="AD37" s="372"/>
      <c r="AE37" s="372"/>
      <c r="AF37" s="373"/>
      <c r="AG37" s="373"/>
      <c r="AH37" s="373"/>
      <c r="AI37" s="373"/>
      <c r="AJ37" s="373"/>
      <c r="AK37" s="373"/>
      <c r="AL37" s="373"/>
      <c r="AM37" s="373"/>
      <c r="AN37" s="373"/>
      <c r="AO37" s="373"/>
      <c r="AP37" s="373"/>
      <c r="AQ37" s="373"/>
      <c r="AR37" s="373"/>
      <c r="AS37" s="373"/>
      <c r="AT37" s="373"/>
      <c r="AU37" s="373"/>
      <c r="AV37" s="373"/>
      <c r="AW37" s="373"/>
      <c r="AX37" s="373"/>
      <c r="AY37" s="373"/>
      <c r="AZ37" s="373"/>
      <c r="BA37" s="373"/>
      <c r="BB37" s="373"/>
      <c r="BC37" s="373"/>
      <c r="BD37" s="373"/>
    </row>
    <row r="38" spans="1:56" ht="15">
      <c r="A38" s="368"/>
      <c r="B38" s="368"/>
      <c r="C38" s="368"/>
      <c r="D38" s="368"/>
      <c r="E38" s="369"/>
      <c r="F38" s="370"/>
      <c r="G38" s="371"/>
      <c r="H38" s="371"/>
      <c r="I38" s="211"/>
      <c r="J38" s="211"/>
      <c r="K38" s="372"/>
      <c r="L38" s="372"/>
      <c r="M38" s="372"/>
      <c r="N38" s="372"/>
      <c r="O38" s="372"/>
      <c r="P38" s="372"/>
      <c r="Q38" s="372"/>
      <c r="R38" s="372"/>
      <c r="S38" s="372"/>
      <c r="T38" s="372"/>
      <c r="U38" s="372"/>
      <c r="V38" s="372"/>
      <c r="W38" s="372"/>
      <c r="X38" s="372"/>
      <c r="Y38" s="372"/>
      <c r="Z38" s="372"/>
      <c r="AA38" s="372"/>
      <c r="AB38" s="372"/>
      <c r="AC38" s="372"/>
      <c r="AD38" s="372"/>
      <c r="AE38" s="372"/>
      <c r="AF38" s="373"/>
      <c r="AG38" s="373"/>
      <c r="AH38" s="373"/>
      <c r="AI38" s="373"/>
      <c r="AJ38" s="373"/>
      <c r="AK38" s="373"/>
      <c r="AL38" s="373"/>
      <c r="AM38" s="373"/>
      <c r="AN38" s="373"/>
      <c r="AO38" s="373"/>
      <c r="AP38" s="373"/>
      <c r="AQ38" s="373"/>
      <c r="AR38" s="373"/>
      <c r="AS38" s="373"/>
      <c r="AT38" s="373"/>
      <c r="AU38" s="373"/>
      <c r="AV38" s="373"/>
      <c r="AW38" s="373"/>
      <c r="AX38" s="373"/>
      <c r="AY38" s="373"/>
      <c r="AZ38" s="373"/>
      <c r="BA38" s="373"/>
      <c r="BB38" s="373"/>
      <c r="BC38" s="373"/>
      <c r="BD38" s="373"/>
    </row>
    <row r="39" spans="1:56" ht="15">
      <c r="A39" s="368"/>
      <c r="B39" s="368"/>
      <c r="C39" s="368"/>
      <c r="D39" s="368"/>
      <c r="E39" s="369"/>
      <c r="F39" s="370"/>
      <c r="G39" s="371"/>
      <c r="H39" s="371"/>
      <c r="I39" s="211"/>
      <c r="J39" s="211"/>
      <c r="K39" s="372"/>
      <c r="L39" s="372"/>
      <c r="M39" s="372"/>
      <c r="N39" s="372"/>
      <c r="O39" s="372"/>
      <c r="P39" s="372"/>
      <c r="Q39" s="372"/>
      <c r="R39" s="372"/>
      <c r="S39" s="372"/>
      <c r="T39" s="372"/>
      <c r="U39" s="372"/>
      <c r="V39" s="372"/>
      <c r="W39" s="372"/>
      <c r="X39" s="372"/>
      <c r="Y39" s="372"/>
      <c r="Z39" s="372"/>
      <c r="AA39" s="372"/>
      <c r="AB39" s="372"/>
      <c r="AC39" s="372"/>
      <c r="AD39" s="372"/>
      <c r="AE39" s="372"/>
      <c r="AF39" s="373"/>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3"/>
    </row>
    <row r="40" spans="1:56" ht="15">
      <c r="A40" s="368"/>
      <c r="B40" s="368"/>
      <c r="C40" s="368"/>
      <c r="D40" s="368"/>
      <c r="E40" s="369"/>
      <c r="F40" s="370"/>
      <c r="G40" s="371"/>
      <c r="H40" s="371"/>
      <c r="I40" s="211"/>
      <c r="J40" s="211"/>
      <c r="K40" s="372"/>
      <c r="L40" s="372"/>
      <c r="M40" s="372"/>
      <c r="N40" s="372"/>
      <c r="O40" s="372"/>
      <c r="P40" s="372"/>
      <c r="Q40" s="372"/>
      <c r="R40" s="372"/>
      <c r="S40" s="372"/>
      <c r="T40" s="372"/>
      <c r="U40" s="372"/>
      <c r="V40" s="372"/>
      <c r="W40" s="372"/>
      <c r="X40" s="372"/>
      <c r="Y40" s="372"/>
      <c r="Z40" s="372"/>
      <c r="AA40" s="372"/>
      <c r="AB40" s="372"/>
      <c r="AC40" s="372"/>
      <c r="AD40" s="372"/>
      <c r="AE40" s="372"/>
      <c r="AF40" s="373"/>
      <c r="AG40" s="373"/>
      <c r="AH40" s="373"/>
      <c r="AI40" s="373"/>
      <c r="AJ40" s="373"/>
      <c r="AK40" s="373"/>
      <c r="AL40" s="373"/>
      <c r="AM40" s="373"/>
      <c r="AN40" s="373"/>
      <c r="AO40" s="373"/>
      <c r="AP40" s="373"/>
      <c r="AQ40" s="373"/>
      <c r="AR40" s="373"/>
      <c r="AS40" s="373"/>
      <c r="AT40" s="373"/>
      <c r="AU40" s="373"/>
      <c r="AV40" s="373"/>
      <c r="AW40" s="373"/>
      <c r="AX40" s="373"/>
      <c r="AY40" s="373"/>
      <c r="AZ40" s="373"/>
      <c r="BA40" s="373"/>
      <c r="BB40" s="373"/>
      <c r="BC40" s="373"/>
      <c r="BD40" s="373"/>
    </row>
    <row r="41" spans="1:56" ht="15">
      <c r="A41" s="368"/>
      <c r="B41" s="368"/>
      <c r="C41" s="368"/>
      <c r="D41" s="368"/>
      <c r="E41" s="369"/>
      <c r="F41" s="370"/>
      <c r="G41" s="371"/>
      <c r="H41" s="371"/>
      <c r="I41" s="211"/>
      <c r="J41" s="211"/>
      <c r="K41" s="372"/>
      <c r="L41" s="372"/>
      <c r="M41" s="372"/>
      <c r="N41" s="372"/>
      <c r="O41" s="372"/>
      <c r="P41" s="372"/>
      <c r="Q41" s="372"/>
      <c r="R41" s="372"/>
      <c r="S41" s="372"/>
      <c r="T41" s="372"/>
      <c r="U41" s="372"/>
      <c r="V41" s="372"/>
      <c r="W41" s="372"/>
      <c r="X41" s="372"/>
      <c r="Y41" s="372"/>
      <c r="Z41" s="372"/>
      <c r="AA41" s="372"/>
      <c r="AB41" s="372"/>
      <c r="AC41" s="372"/>
      <c r="AD41" s="372"/>
      <c r="AE41" s="372"/>
      <c r="AF41" s="373"/>
      <c r="AG41" s="373"/>
      <c r="AH41" s="373"/>
      <c r="AI41" s="373"/>
      <c r="AJ41" s="373"/>
      <c r="AK41" s="373"/>
      <c r="AL41" s="373"/>
      <c r="AM41" s="373"/>
      <c r="AN41" s="373"/>
      <c r="AO41" s="373"/>
      <c r="AP41" s="373"/>
      <c r="AQ41" s="373"/>
      <c r="AR41" s="373"/>
      <c r="AS41" s="373"/>
      <c r="AT41" s="373"/>
      <c r="AU41" s="373"/>
      <c r="AV41" s="373"/>
      <c r="AW41" s="373"/>
      <c r="AX41" s="373"/>
      <c r="AY41" s="373"/>
      <c r="AZ41" s="373"/>
      <c r="BA41" s="373"/>
      <c r="BB41" s="373"/>
      <c r="BC41" s="373"/>
      <c r="BD41" s="373"/>
    </row>
    <row r="42" spans="1:56" ht="15">
      <c r="A42" s="368"/>
      <c r="B42" s="368"/>
      <c r="C42" s="368"/>
      <c r="D42" s="368"/>
      <c r="E42" s="369"/>
      <c r="F42" s="370"/>
      <c r="G42" s="371"/>
      <c r="H42" s="371"/>
      <c r="I42" s="211"/>
      <c r="J42" s="211"/>
      <c r="K42" s="372"/>
      <c r="L42" s="372"/>
      <c r="M42" s="372"/>
      <c r="N42" s="372"/>
      <c r="O42" s="372"/>
      <c r="P42" s="372"/>
      <c r="Q42" s="372"/>
      <c r="R42" s="372"/>
      <c r="S42" s="372"/>
      <c r="T42" s="372"/>
      <c r="U42" s="372"/>
      <c r="V42" s="372"/>
      <c r="W42" s="372"/>
      <c r="X42" s="372"/>
      <c r="Y42" s="372"/>
      <c r="Z42" s="372"/>
      <c r="AA42" s="372"/>
      <c r="AB42" s="372"/>
      <c r="AC42" s="372"/>
      <c r="AD42" s="372"/>
      <c r="AE42" s="372"/>
      <c r="AF42" s="373"/>
      <c r="AG42" s="373"/>
      <c r="AH42" s="373"/>
      <c r="AI42" s="373"/>
      <c r="AJ42" s="373"/>
      <c r="AK42" s="373"/>
      <c r="AL42" s="373"/>
      <c r="AM42" s="373"/>
      <c r="AN42" s="373"/>
      <c r="AO42" s="373"/>
      <c r="AP42" s="373"/>
      <c r="AQ42" s="373"/>
      <c r="AR42" s="373"/>
      <c r="AS42" s="373"/>
      <c r="AT42" s="373"/>
      <c r="AU42" s="373"/>
      <c r="AV42" s="373"/>
      <c r="AW42" s="373"/>
      <c r="AX42" s="373"/>
      <c r="AY42" s="373"/>
      <c r="AZ42" s="373"/>
      <c r="BA42" s="373"/>
      <c r="BB42" s="373"/>
      <c r="BC42" s="373"/>
      <c r="BD42" s="373"/>
    </row>
    <row r="43" spans="1:56" ht="15">
      <c r="A43" s="368"/>
      <c r="B43" s="368"/>
      <c r="C43" s="368"/>
      <c r="D43" s="368"/>
      <c r="E43" s="369"/>
      <c r="F43" s="370"/>
      <c r="G43" s="371"/>
      <c r="H43" s="371"/>
      <c r="I43" s="211"/>
      <c r="J43" s="211"/>
      <c r="K43" s="372"/>
      <c r="L43" s="372"/>
      <c r="M43" s="372"/>
      <c r="N43" s="372"/>
      <c r="O43" s="372"/>
      <c r="P43" s="372"/>
      <c r="Q43" s="372"/>
      <c r="R43" s="372"/>
      <c r="S43" s="372"/>
      <c r="T43" s="372"/>
      <c r="U43" s="372"/>
      <c r="V43" s="372"/>
      <c r="W43" s="372"/>
      <c r="X43" s="372"/>
      <c r="Y43" s="372"/>
      <c r="Z43" s="372"/>
      <c r="AA43" s="372"/>
      <c r="AB43" s="372"/>
      <c r="AC43" s="372"/>
      <c r="AD43" s="372"/>
      <c r="AE43" s="372"/>
      <c r="AF43" s="373"/>
      <c r="AG43" s="373"/>
      <c r="AH43" s="373"/>
      <c r="AI43" s="373"/>
      <c r="AJ43" s="373"/>
      <c r="AK43" s="373"/>
      <c r="AL43" s="373"/>
      <c r="AM43" s="373"/>
      <c r="AN43" s="373"/>
      <c r="AO43" s="373"/>
      <c r="AP43" s="373"/>
      <c r="AQ43" s="373"/>
      <c r="AR43" s="373"/>
      <c r="AS43" s="373"/>
      <c r="AT43" s="373"/>
      <c r="AU43" s="373"/>
      <c r="AV43" s="373"/>
      <c r="AW43" s="373"/>
      <c r="AX43" s="373"/>
      <c r="AY43" s="373"/>
      <c r="AZ43" s="373"/>
      <c r="BA43" s="373"/>
      <c r="BB43" s="373"/>
      <c r="BC43" s="373"/>
      <c r="BD43" s="373"/>
    </row>
    <row r="44" spans="1:56" ht="15">
      <c r="A44" s="368"/>
      <c r="B44" s="368"/>
      <c r="C44" s="368"/>
      <c r="D44" s="368"/>
      <c r="E44" s="369"/>
      <c r="F44" s="370"/>
      <c r="G44" s="371"/>
      <c r="H44" s="371"/>
      <c r="I44" s="211"/>
      <c r="J44" s="211"/>
      <c r="K44" s="372"/>
      <c r="L44" s="372"/>
      <c r="M44" s="372"/>
      <c r="N44" s="372"/>
      <c r="O44" s="372"/>
      <c r="P44" s="372"/>
      <c r="Q44" s="372"/>
      <c r="R44" s="372"/>
      <c r="S44" s="372"/>
      <c r="T44" s="372"/>
      <c r="U44" s="372"/>
      <c r="V44" s="372"/>
      <c r="W44" s="372"/>
      <c r="X44" s="372"/>
      <c r="Y44" s="372"/>
      <c r="Z44" s="372"/>
      <c r="AA44" s="372"/>
      <c r="AB44" s="372"/>
      <c r="AC44" s="372"/>
      <c r="AD44" s="372"/>
      <c r="AE44" s="372"/>
      <c r="AF44" s="373"/>
      <c r="AG44" s="373"/>
      <c r="AH44" s="373"/>
      <c r="AI44" s="373"/>
      <c r="AJ44" s="373"/>
      <c r="AK44" s="373"/>
      <c r="AL44" s="373"/>
      <c r="AM44" s="373"/>
      <c r="AN44" s="373"/>
      <c r="AO44" s="373"/>
      <c r="AP44" s="373"/>
      <c r="AQ44" s="373"/>
      <c r="AR44" s="373"/>
      <c r="AS44" s="373"/>
      <c r="AT44" s="373"/>
      <c r="AU44" s="373"/>
      <c r="AV44" s="373"/>
      <c r="AW44" s="373"/>
      <c r="AX44" s="373"/>
      <c r="AY44" s="373"/>
      <c r="AZ44" s="373"/>
      <c r="BA44" s="373"/>
      <c r="BB44" s="373"/>
      <c r="BC44" s="373"/>
      <c r="BD44" s="373"/>
    </row>
    <row r="45" spans="1:56" ht="15">
      <c r="A45" s="368"/>
      <c r="B45" s="368"/>
      <c r="C45" s="368"/>
      <c r="D45" s="368"/>
      <c r="E45" s="369"/>
      <c r="F45" s="370"/>
      <c r="G45" s="371"/>
      <c r="H45" s="371"/>
      <c r="I45" s="211"/>
      <c r="J45" s="211"/>
      <c r="K45" s="372"/>
      <c r="L45" s="372"/>
      <c r="M45" s="372"/>
      <c r="N45" s="372"/>
      <c r="O45" s="372"/>
      <c r="P45" s="372"/>
      <c r="Q45" s="372"/>
      <c r="R45" s="372"/>
      <c r="S45" s="372"/>
      <c r="T45" s="372"/>
      <c r="U45" s="372"/>
      <c r="V45" s="372"/>
      <c r="W45" s="372"/>
      <c r="X45" s="372"/>
      <c r="Y45" s="372"/>
      <c r="Z45" s="372"/>
      <c r="AA45" s="372"/>
      <c r="AB45" s="372"/>
      <c r="AC45" s="372"/>
      <c r="AD45" s="372"/>
      <c r="AE45" s="372"/>
      <c r="AF45" s="373"/>
      <c r="AG45" s="373"/>
      <c r="AH45" s="373"/>
      <c r="AI45" s="373"/>
      <c r="AJ45" s="373"/>
      <c r="AK45" s="373"/>
      <c r="AL45" s="373"/>
      <c r="AM45" s="373"/>
      <c r="AN45" s="373"/>
      <c r="AO45" s="373"/>
      <c r="AP45" s="373"/>
      <c r="AQ45" s="373"/>
      <c r="AR45" s="373"/>
      <c r="AS45" s="373"/>
      <c r="AT45" s="373"/>
      <c r="AU45" s="373"/>
      <c r="AV45" s="373"/>
      <c r="AW45" s="373"/>
      <c r="AX45" s="373"/>
      <c r="AY45" s="373"/>
      <c r="AZ45" s="373"/>
      <c r="BA45" s="373"/>
      <c r="BB45" s="373"/>
      <c r="BC45" s="373"/>
      <c r="BD45" s="373"/>
    </row>
    <row r="46" spans="1:56" ht="15">
      <c r="A46" s="368"/>
      <c r="B46" s="368"/>
      <c r="C46" s="368"/>
      <c r="D46" s="368"/>
      <c r="E46" s="369"/>
      <c r="F46" s="370"/>
      <c r="G46" s="371"/>
      <c r="H46" s="371"/>
      <c r="I46" s="211"/>
      <c r="J46" s="211"/>
      <c r="K46" s="372"/>
      <c r="L46" s="372"/>
      <c r="M46" s="372"/>
      <c r="N46" s="372"/>
      <c r="O46" s="372"/>
      <c r="P46" s="372"/>
      <c r="Q46" s="372"/>
      <c r="R46" s="372"/>
      <c r="S46" s="372"/>
      <c r="T46" s="372"/>
      <c r="U46" s="372"/>
      <c r="V46" s="372"/>
      <c r="W46" s="372"/>
      <c r="X46" s="372"/>
      <c r="Y46" s="372"/>
      <c r="Z46" s="372"/>
      <c r="AA46" s="372"/>
      <c r="AB46" s="372"/>
      <c r="AC46" s="372"/>
      <c r="AD46" s="372"/>
      <c r="AE46" s="372"/>
      <c r="AF46" s="373"/>
      <c r="AG46" s="373"/>
      <c r="AH46" s="373"/>
      <c r="AI46" s="373"/>
      <c r="AJ46" s="373"/>
      <c r="AK46" s="373"/>
      <c r="AL46" s="373"/>
      <c r="AM46" s="373"/>
      <c r="AN46" s="373"/>
      <c r="AO46" s="373"/>
      <c r="AP46" s="373"/>
      <c r="AQ46" s="373"/>
      <c r="AR46" s="373"/>
      <c r="AS46" s="373"/>
      <c r="AT46" s="373"/>
      <c r="AU46" s="373"/>
      <c r="AV46" s="373"/>
      <c r="AW46" s="373"/>
      <c r="AX46" s="373"/>
      <c r="AY46" s="373"/>
      <c r="AZ46" s="373"/>
      <c r="BA46" s="373"/>
      <c r="BB46" s="373"/>
      <c r="BC46" s="373"/>
      <c r="BD46" s="37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14"/>
  <dimension ref="A1:CB183"/>
  <sheetViews>
    <sheetView workbookViewId="0">
      <selection activeCell="D8" sqref="D8"/>
    </sheetView>
  </sheetViews>
  <sheetFormatPr defaultRowHeight="12.75"/>
  <cols>
    <col min="1" max="1" width="40.5703125" style="18" customWidth="1"/>
    <col min="2" max="2" width="26" style="18" customWidth="1"/>
    <col min="3" max="3" width="29.28515625" style="18" customWidth="1"/>
    <col min="4" max="4" width="37.140625" style="18" customWidth="1"/>
    <col min="5" max="5" width="11" style="18" customWidth="1"/>
    <col min="6" max="24" width="10.42578125" style="18" bestFit="1" customWidth="1"/>
    <col min="25" max="25" width="17.7109375" style="18" bestFit="1" customWidth="1"/>
    <col min="26" max="255" width="9.140625" style="18"/>
    <col min="256" max="256" width="35" style="18" customWidth="1"/>
    <col min="257" max="257" width="16" style="18" customWidth="1"/>
    <col min="258" max="258" width="29.140625" style="18" customWidth="1"/>
    <col min="259" max="259" width="12.85546875" style="18" bestFit="1" customWidth="1"/>
    <col min="260" max="260" width="9.42578125" style="18" customWidth="1"/>
    <col min="261" max="511" width="9.140625" style="18"/>
    <col min="512" max="512" width="35" style="18" customWidth="1"/>
    <col min="513" max="513" width="16" style="18" customWidth="1"/>
    <col min="514" max="514" width="29.140625" style="18" customWidth="1"/>
    <col min="515" max="515" width="12.85546875" style="18" bestFit="1" customWidth="1"/>
    <col min="516" max="516" width="9.42578125" style="18" customWidth="1"/>
    <col min="517" max="767" width="9.140625" style="18"/>
    <col min="768" max="768" width="35" style="18" customWidth="1"/>
    <col min="769" max="769" width="16" style="18" customWidth="1"/>
    <col min="770" max="770" width="29.140625" style="18" customWidth="1"/>
    <col min="771" max="771" width="12.85546875" style="18" bestFit="1" customWidth="1"/>
    <col min="772" max="772" width="9.42578125" style="18" customWidth="1"/>
    <col min="773" max="1023" width="9.140625" style="18"/>
    <col min="1024" max="1024" width="35" style="18" customWidth="1"/>
    <col min="1025" max="1025" width="16" style="18" customWidth="1"/>
    <col min="1026" max="1026" width="29.140625" style="18" customWidth="1"/>
    <col min="1027" max="1027" width="12.85546875" style="18" bestFit="1" customWidth="1"/>
    <col min="1028" max="1028" width="9.42578125" style="18" customWidth="1"/>
    <col min="1029" max="1279" width="9.140625" style="18"/>
    <col min="1280" max="1280" width="35" style="18" customWidth="1"/>
    <col min="1281" max="1281" width="16" style="18" customWidth="1"/>
    <col min="1282" max="1282" width="29.140625" style="18" customWidth="1"/>
    <col min="1283" max="1283" width="12.85546875" style="18" bestFit="1" customWidth="1"/>
    <col min="1284" max="1284" width="9.42578125" style="18" customWidth="1"/>
    <col min="1285" max="1535" width="9.140625" style="18"/>
    <col min="1536" max="1536" width="35" style="18" customWidth="1"/>
    <col min="1537" max="1537" width="16" style="18" customWidth="1"/>
    <col min="1538" max="1538" width="29.140625" style="18" customWidth="1"/>
    <col min="1539" max="1539" width="12.85546875" style="18" bestFit="1" customWidth="1"/>
    <col min="1540" max="1540" width="9.42578125" style="18" customWidth="1"/>
    <col min="1541" max="1791" width="9.140625" style="18"/>
    <col min="1792" max="1792" width="35" style="18" customWidth="1"/>
    <col min="1793" max="1793" width="16" style="18" customWidth="1"/>
    <col min="1794" max="1794" width="29.140625" style="18" customWidth="1"/>
    <col min="1795" max="1795" width="12.85546875" style="18" bestFit="1" customWidth="1"/>
    <col min="1796" max="1796" width="9.42578125" style="18" customWidth="1"/>
    <col min="1797" max="2047" width="9.140625" style="18"/>
    <col min="2048" max="2048" width="35" style="18" customWidth="1"/>
    <col min="2049" max="2049" width="16" style="18" customWidth="1"/>
    <col min="2050" max="2050" width="29.140625" style="18" customWidth="1"/>
    <col min="2051" max="2051" width="12.85546875" style="18" bestFit="1" customWidth="1"/>
    <col min="2052" max="2052" width="9.42578125" style="18" customWidth="1"/>
    <col min="2053" max="2303" width="9.140625" style="18"/>
    <col min="2304" max="2304" width="35" style="18" customWidth="1"/>
    <col min="2305" max="2305" width="16" style="18" customWidth="1"/>
    <col min="2306" max="2306" width="29.140625" style="18" customWidth="1"/>
    <col min="2307" max="2307" width="12.85546875" style="18" bestFit="1" customWidth="1"/>
    <col min="2308" max="2308" width="9.42578125" style="18" customWidth="1"/>
    <col min="2309" max="2559" width="9.140625" style="18"/>
    <col min="2560" max="2560" width="35" style="18" customWidth="1"/>
    <col min="2561" max="2561" width="16" style="18" customWidth="1"/>
    <col min="2562" max="2562" width="29.140625" style="18" customWidth="1"/>
    <col min="2563" max="2563" width="12.85546875" style="18" bestFit="1" customWidth="1"/>
    <col min="2564" max="2564" width="9.42578125" style="18" customWidth="1"/>
    <col min="2565" max="2815" width="9.140625" style="18"/>
    <col min="2816" max="2816" width="35" style="18" customWidth="1"/>
    <col min="2817" max="2817" width="16" style="18" customWidth="1"/>
    <col min="2818" max="2818" width="29.140625" style="18" customWidth="1"/>
    <col min="2819" max="2819" width="12.85546875" style="18" bestFit="1" customWidth="1"/>
    <col min="2820" max="2820" width="9.42578125" style="18" customWidth="1"/>
    <col min="2821" max="3071" width="9.140625" style="18"/>
    <col min="3072" max="3072" width="35" style="18" customWidth="1"/>
    <col min="3073" max="3073" width="16" style="18" customWidth="1"/>
    <col min="3074" max="3074" width="29.140625" style="18" customWidth="1"/>
    <col min="3075" max="3075" width="12.85546875" style="18" bestFit="1" customWidth="1"/>
    <col min="3076" max="3076" width="9.42578125" style="18" customWidth="1"/>
    <col min="3077" max="3327" width="9.140625" style="18"/>
    <col min="3328" max="3328" width="35" style="18" customWidth="1"/>
    <col min="3329" max="3329" width="16" style="18" customWidth="1"/>
    <col min="3330" max="3330" width="29.140625" style="18" customWidth="1"/>
    <col min="3331" max="3331" width="12.85546875" style="18" bestFit="1" customWidth="1"/>
    <col min="3332" max="3332" width="9.42578125" style="18" customWidth="1"/>
    <col min="3333" max="3583" width="9.140625" style="18"/>
    <col min="3584" max="3584" width="35" style="18" customWidth="1"/>
    <col min="3585" max="3585" width="16" style="18" customWidth="1"/>
    <col min="3586" max="3586" width="29.140625" style="18" customWidth="1"/>
    <col min="3587" max="3587" width="12.85546875" style="18" bestFit="1" customWidth="1"/>
    <col min="3588" max="3588" width="9.42578125" style="18" customWidth="1"/>
    <col min="3589" max="3839" width="9.140625" style="18"/>
    <col min="3840" max="3840" width="35" style="18" customWidth="1"/>
    <col min="3841" max="3841" width="16" style="18" customWidth="1"/>
    <col min="3842" max="3842" width="29.140625" style="18" customWidth="1"/>
    <col min="3843" max="3843" width="12.85546875" style="18" bestFit="1" customWidth="1"/>
    <col min="3844" max="3844" width="9.42578125" style="18" customWidth="1"/>
    <col min="3845" max="4095" width="9.140625" style="18"/>
    <col min="4096" max="4096" width="35" style="18" customWidth="1"/>
    <col min="4097" max="4097" width="16" style="18" customWidth="1"/>
    <col min="4098" max="4098" width="29.140625" style="18" customWidth="1"/>
    <col min="4099" max="4099" width="12.85546875" style="18" bestFit="1" customWidth="1"/>
    <col min="4100" max="4100" width="9.42578125" style="18" customWidth="1"/>
    <col min="4101" max="4351" width="9.140625" style="18"/>
    <col min="4352" max="4352" width="35" style="18" customWidth="1"/>
    <col min="4353" max="4353" width="16" style="18" customWidth="1"/>
    <col min="4354" max="4354" width="29.140625" style="18" customWidth="1"/>
    <col min="4355" max="4355" width="12.85546875" style="18" bestFit="1" customWidth="1"/>
    <col min="4356" max="4356" width="9.42578125" style="18" customWidth="1"/>
    <col min="4357" max="4607" width="9.140625" style="18"/>
    <col min="4608" max="4608" width="35" style="18" customWidth="1"/>
    <col min="4609" max="4609" width="16" style="18" customWidth="1"/>
    <col min="4610" max="4610" width="29.140625" style="18" customWidth="1"/>
    <col min="4611" max="4611" width="12.85546875" style="18" bestFit="1" customWidth="1"/>
    <col min="4612" max="4612" width="9.42578125" style="18" customWidth="1"/>
    <col min="4613" max="4863" width="9.140625" style="18"/>
    <col min="4864" max="4864" width="35" style="18" customWidth="1"/>
    <col min="4865" max="4865" width="16" style="18" customWidth="1"/>
    <col min="4866" max="4866" width="29.140625" style="18" customWidth="1"/>
    <col min="4867" max="4867" width="12.85546875" style="18" bestFit="1" customWidth="1"/>
    <col min="4868" max="4868" width="9.42578125" style="18" customWidth="1"/>
    <col min="4869" max="5119" width="9.140625" style="18"/>
    <col min="5120" max="5120" width="35" style="18" customWidth="1"/>
    <col min="5121" max="5121" width="16" style="18" customWidth="1"/>
    <col min="5122" max="5122" width="29.140625" style="18" customWidth="1"/>
    <col min="5123" max="5123" width="12.85546875" style="18" bestFit="1" customWidth="1"/>
    <col min="5124" max="5124" width="9.42578125" style="18" customWidth="1"/>
    <col min="5125" max="5375" width="9.140625" style="18"/>
    <col min="5376" max="5376" width="35" style="18" customWidth="1"/>
    <col min="5377" max="5377" width="16" style="18" customWidth="1"/>
    <col min="5378" max="5378" width="29.140625" style="18" customWidth="1"/>
    <col min="5379" max="5379" width="12.85546875" style="18" bestFit="1" customWidth="1"/>
    <col min="5380" max="5380" width="9.42578125" style="18" customWidth="1"/>
    <col min="5381" max="5631" width="9.140625" style="18"/>
    <col min="5632" max="5632" width="35" style="18" customWidth="1"/>
    <col min="5633" max="5633" width="16" style="18" customWidth="1"/>
    <col min="5634" max="5634" width="29.140625" style="18" customWidth="1"/>
    <col min="5635" max="5635" width="12.85546875" style="18" bestFit="1" customWidth="1"/>
    <col min="5636" max="5636" width="9.42578125" style="18" customWidth="1"/>
    <col min="5637" max="5887" width="9.140625" style="18"/>
    <col min="5888" max="5888" width="35" style="18" customWidth="1"/>
    <col min="5889" max="5889" width="16" style="18" customWidth="1"/>
    <col min="5890" max="5890" width="29.140625" style="18" customWidth="1"/>
    <col min="5891" max="5891" width="12.85546875" style="18" bestFit="1" customWidth="1"/>
    <col min="5892" max="5892" width="9.42578125" style="18" customWidth="1"/>
    <col min="5893" max="6143" width="9.140625" style="18"/>
    <col min="6144" max="6144" width="35" style="18" customWidth="1"/>
    <col min="6145" max="6145" width="16" style="18" customWidth="1"/>
    <col min="6146" max="6146" width="29.140625" style="18" customWidth="1"/>
    <col min="6147" max="6147" width="12.85546875" style="18" bestFit="1" customWidth="1"/>
    <col min="6148" max="6148" width="9.42578125" style="18" customWidth="1"/>
    <col min="6149" max="6399" width="9.140625" style="18"/>
    <col min="6400" max="6400" width="35" style="18" customWidth="1"/>
    <col min="6401" max="6401" width="16" style="18" customWidth="1"/>
    <col min="6402" max="6402" width="29.140625" style="18" customWidth="1"/>
    <col min="6403" max="6403" width="12.85546875" style="18" bestFit="1" customWidth="1"/>
    <col min="6404" max="6404" width="9.42578125" style="18" customWidth="1"/>
    <col min="6405" max="6655" width="9.140625" style="18"/>
    <col min="6656" max="6656" width="35" style="18" customWidth="1"/>
    <col min="6657" max="6657" width="16" style="18" customWidth="1"/>
    <col min="6658" max="6658" width="29.140625" style="18" customWidth="1"/>
    <col min="6659" max="6659" width="12.85546875" style="18" bestFit="1" customWidth="1"/>
    <col min="6660" max="6660" width="9.42578125" style="18" customWidth="1"/>
    <col min="6661" max="6911" width="9.140625" style="18"/>
    <col min="6912" max="6912" width="35" style="18" customWidth="1"/>
    <col min="6913" max="6913" width="16" style="18" customWidth="1"/>
    <col min="6914" max="6914" width="29.140625" style="18" customWidth="1"/>
    <col min="6915" max="6915" width="12.85546875" style="18" bestFit="1" customWidth="1"/>
    <col min="6916" max="6916" width="9.42578125" style="18" customWidth="1"/>
    <col min="6917" max="7167" width="9.140625" style="18"/>
    <col min="7168" max="7168" width="35" style="18" customWidth="1"/>
    <col min="7169" max="7169" width="16" style="18" customWidth="1"/>
    <col min="7170" max="7170" width="29.140625" style="18" customWidth="1"/>
    <col min="7171" max="7171" width="12.85546875" style="18" bestFit="1" customWidth="1"/>
    <col min="7172" max="7172" width="9.42578125" style="18" customWidth="1"/>
    <col min="7173" max="7423" width="9.140625" style="18"/>
    <col min="7424" max="7424" width="35" style="18" customWidth="1"/>
    <col min="7425" max="7425" width="16" style="18" customWidth="1"/>
    <col min="7426" max="7426" width="29.140625" style="18" customWidth="1"/>
    <col min="7427" max="7427" width="12.85546875" style="18" bestFit="1" customWidth="1"/>
    <col min="7428" max="7428" width="9.42578125" style="18" customWidth="1"/>
    <col min="7429" max="7679" width="9.140625" style="18"/>
    <col min="7680" max="7680" width="35" style="18" customWidth="1"/>
    <col min="7681" max="7681" width="16" style="18" customWidth="1"/>
    <col min="7682" max="7682" width="29.140625" style="18" customWidth="1"/>
    <col min="7683" max="7683" width="12.85546875" style="18" bestFit="1" customWidth="1"/>
    <col min="7684" max="7684" width="9.42578125" style="18" customWidth="1"/>
    <col min="7685" max="7935" width="9.140625" style="18"/>
    <col min="7936" max="7936" width="35" style="18" customWidth="1"/>
    <col min="7937" max="7937" width="16" style="18" customWidth="1"/>
    <col min="7938" max="7938" width="29.140625" style="18" customWidth="1"/>
    <col min="7939" max="7939" width="12.85546875" style="18" bestFit="1" customWidth="1"/>
    <col min="7940" max="7940" width="9.42578125" style="18" customWidth="1"/>
    <col min="7941" max="8191" width="9.140625" style="18"/>
    <col min="8192" max="8192" width="35" style="18" customWidth="1"/>
    <col min="8193" max="8193" width="16" style="18" customWidth="1"/>
    <col min="8194" max="8194" width="29.140625" style="18" customWidth="1"/>
    <col min="8195" max="8195" width="12.85546875" style="18" bestFit="1" customWidth="1"/>
    <col min="8196" max="8196" width="9.42578125" style="18" customWidth="1"/>
    <col min="8197" max="8447" width="9.140625" style="18"/>
    <col min="8448" max="8448" width="35" style="18" customWidth="1"/>
    <col min="8449" max="8449" width="16" style="18" customWidth="1"/>
    <col min="8450" max="8450" width="29.140625" style="18" customWidth="1"/>
    <col min="8451" max="8451" width="12.85546875" style="18" bestFit="1" customWidth="1"/>
    <col min="8452" max="8452" width="9.42578125" style="18" customWidth="1"/>
    <col min="8453" max="8703" width="9.140625" style="18"/>
    <col min="8704" max="8704" width="35" style="18" customWidth="1"/>
    <col min="8705" max="8705" width="16" style="18" customWidth="1"/>
    <col min="8706" max="8706" width="29.140625" style="18" customWidth="1"/>
    <col min="8707" max="8707" width="12.85546875" style="18" bestFit="1" customWidth="1"/>
    <col min="8708" max="8708" width="9.42578125" style="18" customWidth="1"/>
    <col min="8709" max="8959" width="9.140625" style="18"/>
    <col min="8960" max="8960" width="35" style="18" customWidth="1"/>
    <col min="8961" max="8961" width="16" style="18" customWidth="1"/>
    <col min="8962" max="8962" width="29.140625" style="18" customWidth="1"/>
    <col min="8963" max="8963" width="12.85546875" style="18" bestFit="1" customWidth="1"/>
    <col min="8964" max="8964" width="9.42578125" style="18" customWidth="1"/>
    <col min="8965" max="9215" width="9.140625" style="18"/>
    <col min="9216" max="9216" width="35" style="18" customWidth="1"/>
    <col min="9217" max="9217" width="16" style="18" customWidth="1"/>
    <col min="9218" max="9218" width="29.140625" style="18" customWidth="1"/>
    <col min="9219" max="9219" width="12.85546875" style="18" bestFit="1" customWidth="1"/>
    <col min="9220" max="9220" width="9.42578125" style="18" customWidth="1"/>
    <col min="9221" max="9471" width="9.140625" style="18"/>
    <col min="9472" max="9472" width="35" style="18" customWidth="1"/>
    <col min="9473" max="9473" width="16" style="18" customWidth="1"/>
    <col min="9474" max="9474" width="29.140625" style="18" customWidth="1"/>
    <col min="9475" max="9475" width="12.85546875" style="18" bestFit="1" customWidth="1"/>
    <col min="9476" max="9476" width="9.42578125" style="18" customWidth="1"/>
    <col min="9477" max="9727" width="9.140625" style="18"/>
    <col min="9728" max="9728" width="35" style="18" customWidth="1"/>
    <col min="9729" max="9729" width="16" style="18" customWidth="1"/>
    <col min="9730" max="9730" width="29.140625" style="18" customWidth="1"/>
    <col min="9731" max="9731" width="12.85546875" style="18" bestFit="1" customWidth="1"/>
    <col min="9732" max="9732" width="9.42578125" style="18" customWidth="1"/>
    <col min="9733" max="9983" width="9.140625" style="18"/>
    <col min="9984" max="9984" width="35" style="18" customWidth="1"/>
    <col min="9985" max="9985" width="16" style="18" customWidth="1"/>
    <col min="9986" max="9986" width="29.140625" style="18" customWidth="1"/>
    <col min="9987" max="9987" width="12.85546875" style="18" bestFit="1" customWidth="1"/>
    <col min="9988" max="9988" width="9.42578125" style="18" customWidth="1"/>
    <col min="9989" max="10239" width="9.140625" style="18"/>
    <col min="10240" max="10240" width="35" style="18" customWidth="1"/>
    <col min="10241" max="10241" width="16" style="18" customWidth="1"/>
    <col min="10242" max="10242" width="29.140625" style="18" customWidth="1"/>
    <col min="10243" max="10243" width="12.85546875" style="18" bestFit="1" customWidth="1"/>
    <col min="10244" max="10244" width="9.42578125" style="18" customWidth="1"/>
    <col min="10245" max="10495" width="9.140625" style="18"/>
    <col min="10496" max="10496" width="35" style="18" customWidth="1"/>
    <col min="10497" max="10497" width="16" style="18" customWidth="1"/>
    <col min="10498" max="10498" width="29.140625" style="18" customWidth="1"/>
    <col min="10499" max="10499" width="12.85546875" style="18" bestFit="1" customWidth="1"/>
    <col min="10500" max="10500" width="9.42578125" style="18" customWidth="1"/>
    <col min="10501" max="10751" width="9.140625" style="18"/>
    <col min="10752" max="10752" width="35" style="18" customWidth="1"/>
    <col min="10753" max="10753" width="16" style="18" customWidth="1"/>
    <col min="10754" max="10754" width="29.140625" style="18" customWidth="1"/>
    <col min="10755" max="10755" width="12.85546875" style="18" bestFit="1" customWidth="1"/>
    <col min="10756" max="10756" width="9.42578125" style="18" customWidth="1"/>
    <col min="10757" max="11007" width="9.140625" style="18"/>
    <col min="11008" max="11008" width="35" style="18" customWidth="1"/>
    <col min="11009" max="11009" width="16" style="18" customWidth="1"/>
    <col min="11010" max="11010" width="29.140625" style="18" customWidth="1"/>
    <col min="11011" max="11011" width="12.85546875" style="18" bestFit="1" customWidth="1"/>
    <col min="11012" max="11012" width="9.42578125" style="18" customWidth="1"/>
    <col min="11013" max="11263" width="9.140625" style="18"/>
    <col min="11264" max="11264" width="35" style="18" customWidth="1"/>
    <col min="11265" max="11265" width="16" style="18" customWidth="1"/>
    <col min="11266" max="11266" width="29.140625" style="18" customWidth="1"/>
    <col min="11267" max="11267" width="12.85546875" style="18" bestFit="1" customWidth="1"/>
    <col min="11268" max="11268" width="9.42578125" style="18" customWidth="1"/>
    <col min="11269" max="11519" width="9.140625" style="18"/>
    <col min="11520" max="11520" width="35" style="18" customWidth="1"/>
    <col min="11521" max="11521" width="16" style="18" customWidth="1"/>
    <col min="11522" max="11522" width="29.140625" style="18" customWidth="1"/>
    <col min="11523" max="11523" width="12.85546875" style="18" bestFit="1" customWidth="1"/>
    <col min="11524" max="11524" width="9.42578125" style="18" customWidth="1"/>
    <col min="11525" max="11775" width="9.140625" style="18"/>
    <col min="11776" max="11776" width="35" style="18" customWidth="1"/>
    <col min="11777" max="11777" width="16" style="18" customWidth="1"/>
    <col min="11778" max="11778" width="29.140625" style="18" customWidth="1"/>
    <col min="11779" max="11779" width="12.85546875" style="18" bestFit="1" customWidth="1"/>
    <col min="11780" max="11780" width="9.42578125" style="18" customWidth="1"/>
    <col min="11781" max="12031" width="9.140625" style="18"/>
    <col min="12032" max="12032" width="35" style="18" customWidth="1"/>
    <col min="12033" max="12033" width="16" style="18" customWidth="1"/>
    <col min="12034" max="12034" width="29.140625" style="18" customWidth="1"/>
    <col min="12035" max="12035" width="12.85546875" style="18" bestFit="1" customWidth="1"/>
    <col min="12036" max="12036" width="9.42578125" style="18" customWidth="1"/>
    <col min="12037" max="12287" width="9.140625" style="18"/>
    <col min="12288" max="12288" width="35" style="18" customWidth="1"/>
    <col min="12289" max="12289" width="16" style="18" customWidth="1"/>
    <col min="12290" max="12290" width="29.140625" style="18" customWidth="1"/>
    <col min="12291" max="12291" width="12.85546875" style="18" bestFit="1" customWidth="1"/>
    <col min="12292" max="12292" width="9.42578125" style="18" customWidth="1"/>
    <col min="12293" max="12543" width="9.140625" style="18"/>
    <col min="12544" max="12544" width="35" style="18" customWidth="1"/>
    <col min="12545" max="12545" width="16" style="18" customWidth="1"/>
    <col min="12546" max="12546" width="29.140625" style="18" customWidth="1"/>
    <col min="12547" max="12547" width="12.85546875" style="18" bestFit="1" customWidth="1"/>
    <col min="12548" max="12548" width="9.42578125" style="18" customWidth="1"/>
    <col min="12549" max="12799" width="9.140625" style="18"/>
    <col min="12800" max="12800" width="35" style="18" customWidth="1"/>
    <col min="12801" max="12801" width="16" style="18" customWidth="1"/>
    <col min="12802" max="12802" width="29.140625" style="18" customWidth="1"/>
    <col min="12803" max="12803" width="12.85546875" style="18" bestFit="1" customWidth="1"/>
    <col min="12804" max="12804" width="9.42578125" style="18" customWidth="1"/>
    <col min="12805" max="13055" width="9.140625" style="18"/>
    <col min="13056" max="13056" width="35" style="18" customWidth="1"/>
    <col min="13057" max="13057" width="16" style="18" customWidth="1"/>
    <col min="13058" max="13058" width="29.140625" style="18" customWidth="1"/>
    <col min="13059" max="13059" width="12.85546875" style="18" bestFit="1" customWidth="1"/>
    <col min="13060" max="13060" width="9.42578125" style="18" customWidth="1"/>
    <col min="13061" max="13311" width="9.140625" style="18"/>
    <col min="13312" max="13312" width="35" style="18" customWidth="1"/>
    <col min="13313" max="13313" width="16" style="18" customWidth="1"/>
    <col min="13314" max="13314" width="29.140625" style="18" customWidth="1"/>
    <col min="13315" max="13315" width="12.85546875" style="18" bestFit="1" customWidth="1"/>
    <col min="13316" max="13316" width="9.42578125" style="18" customWidth="1"/>
    <col min="13317" max="13567" width="9.140625" style="18"/>
    <col min="13568" max="13568" width="35" style="18" customWidth="1"/>
    <col min="13569" max="13569" width="16" style="18" customWidth="1"/>
    <col min="13570" max="13570" width="29.140625" style="18" customWidth="1"/>
    <col min="13571" max="13571" width="12.85546875" style="18" bestFit="1" customWidth="1"/>
    <col min="13572" max="13572" width="9.42578125" style="18" customWidth="1"/>
    <col min="13573" max="13823" width="9.140625" style="18"/>
    <col min="13824" max="13824" width="35" style="18" customWidth="1"/>
    <col min="13825" max="13825" width="16" style="18" customWidth="1"/>
    <col min="13826" max="13826" width="29.140625" style="18" customWidth="1"/>
    <col min="13827" max="13827" width="12.85546875" style="18" bestFit="1" customWidth="1"/>
    <col min="13828" max="13828" width="9.42578125" style="18" customWidth="1"/>
    <col min="13829" max="14079" width="9.140625" style="18"/>
    <col min="14080" max="14080" width="35" style="18" customWidth="1"/>
    <col min="14081" max="14081" width="16" style="18" customWidth="1"/>
    <col min="14082" max="14082" width="29.140625" style="18" customWidth="1"/>
    <col min="14083" max="14083" width="12.85546875" style="18" bestFit="1" customWidth="1"/>
    <col min="14084" max="14084" width="9.42578125" style="18" customWidth="1"/>
    <col min="14085" max="14335" width="9.140625" style="18"/>
    <col min="14336" max="14336" width="35" style="18" customWidth="1"/>
    <col min="14337" max="14337" width="16" style="18" customWidth="1"/>
    <col min="14338" max="14338" width="29.140625" style="18" customWidth="1"/>
    <col min="14339" max="14339" width="12.85546875" style="18" bestFit="1" customWidth="1"/>
    <col min="14340" max="14340" width="9.42578125" style="18" customWidth="1"/>
    <col min="14341" max="14591" width="9.140625" style="18"/>
    <col min="14592" max="14592" width="35" style="18" customWidth="1"/>
    <col min="14593" max="14593" width="16" style="18" customWidth="1"/>
    <col min="14594" max="14594" width="29.140625" style="18" customWidth="1"/>
    <col min="14595" max="14595" width="12.85546875" style="18" bestFit="1" customWidth="1"/>
    <col min="14596" max="14596" width="9.42578125" style="18" customWidth="1"/>
    <col min="14597" max="14847" width="9.140625" style="18"/>
    <col min="14848" max="14848" width="35" style="18" customWidth="1"/>
    <col min="14849" max="14849" width="16" style="18" customWidth="1"/>
    <col min="14850" max="14850" width="29.140625" style="18" customWidth="1"/>
    <col min="14851" max="14851" width="12.85546875" style="18" bestFit="1" customWidth="1"/>
    <col min="14852" max="14852" width="9.42578125" style="18" customWidth="1"/>
    <col min="14853" max="15103" width="9.140625" style="18"/>
    <col min="15104" max="15104" width="35" style="18" customWidth="1"/>
    <col min="15105" max="15105" width="16" style="18" customWidth="1"/>
    <col min="15106" max="15106" width="29.140625" style="18" customWidth="1"/>
    <col min="15107" max="15107" width="12.85546875" style="18" bestFit="1" customWidth="1"/>
    <col min="15108" max="15108" width="9.42578125" style="18" customWidth="1"/>
    <col min="15109" max="15359" width="9.140625" style="18"/>
    <col min="15360" max="15360" width="35" style="18" customWidth="1"/>
    <col min="15361" max="15361" width="16" style="18" customWidth="1"/>
    <col min="15362" max="15362" width="29.140625" style="18" customWidth="1"/>
    <col min="15363" max="15363" width="12.85546875" style="18" bestFit="1" customWidth="1"/>
    <col min="15364" max="15364" width="9.42578125" style="18" customWidth="1"/>
    <col min="15365" max="15615" width="9.140625" style="18"/>
    <col min="15616" max="15616" width="35" style="18" customWidth="1"/>
    <col min="15617" max="15617" width="16" style="18" customWidth="1"/>
    <col min="15618" max="15618" width="29.140625" style="18" customWidth="1"/>
    <col min="15619" max="15619" width="12.85546875" style="18" bestFit="1" customWidth="1"/>
    <col min="15620" max="15620" width="9.42578125" style="18" customWidth="1"/>
    <col min="15621" max="15871" width="9.140625" style="18"/>
    <col min="15872" max="15872" width="35" style="18" customWidth="1"/>
    <col min="15873" max="15873" width="16" style="18" customWidth="1"/>
    <col min="15874" max="15874" width="29.140625" style="18" customWidth="1"/>
    <col min="15875" max="15875" width="12.85546875" style="18" bestFit="1" customWidth="1"/>
    <col min="15876" max="15876" width="9.42578125" style="18" customWidth="1"/>
    <col min="15877" max="16127" width="9.140625" style="18"/>
    <col min="16128" max="16128" width="35" style="18" customWidth="1"/>
    <col min="16129" max="16129" width="16" style="18" customWidth="1"/>
    <col min="16130" max="16130" width="29.140625" style="18" customWidth="1"/>
    <col min="16131" max="16131" width="12.85546875" style="18" bestFit="1" customWidth="1"/>
    <col min="16132" max="16132" width="9.42578125" style="18" customWidth="1"/>
    <col min="16133" max="16384" width="9.140625" style="18"/>
  </cols>
  <sheetData>
    <row r="1" spans="1:25">
      <c r="A1" s="16" t="s">
        <v>29</v>
      </c>
      <c r="B1" s="434" t="s">
        <v>985</v>
      </c>
      <c r="C1" s="435"/>
      <c r="D1" s="435"/>
      <c r="E1" s="435"/>
      <c r="F1" s="435"/>
      <c r="G1" s="435"/>
      <c r="H1" s="435"/>
      <c r="I1" s="435"/>
      <c r="J1" s="435"/>
      <c r="K1" s="435"/>
      <c r="L1" s="435"/>
      <c r="M1" s="435"/>
      <c r="N1" s="435"/>
      <c r="O1" s="435"/>
      <c r="P1" s="435"/>
      <c r="Q1" s="435"/>
      <c r="R1" s="435"/>
      <c r="S1" s="436"/>
      <c r="T1" s="17"/>
      <c r="U1" s="17"/>
      <c r="V1" s="17"/>
      <c r="W1" s="17"/>
    </row>
    <row r="2" spans="1:25">
      <c r="A2" s="19"/>
      <c r="B2" s="437"/>
      <c r="C2" s="438"/>
      <c r="D2" s="438"/>
      <c r="E2" s="438"/>
      <c r="F2" s="438"/>
      <c r="G2" s="438"/>
      <c r="H2" s="438"/>
      <c r="I2" s="438"/>
      <c r="J2" s="438"/>
      <c r="K2" s="438"/>
      <c r="L2" s="438"/>
      <c r="M2" s="438"/>
      <c r="N2" s="438"/>
      <c r="O2" s="438"/>
      <c r="P2" s="438"/>
      <c r="Q2" s="438"/>
      <c r="R2" s="438"/>
      <c r="S2" s="439"/>
      <c r="T2" s="20"/>
      <c r="U2" s="20"/>
      <c r="V2" s="20"/>
      <c r="W2" s="20"/>
    </row>
    <row r="3" spans="1:25">
      <c r="A3" s="19"/>
      <c r="B3" s="437"/>
      <c r="C3" s="438"/>
      <c r="D3" s="438"/>
      <c r="E3" s="438"/>
      <c r="F3" s="438"/>
      <c r="G3" s="438"/>
      <c r="H3" s="438"/>
      <c r="I3" s="438"/>
      <c r="J3" s="438"/>
      <c r="K3" s="438"/>
      <c r="L3" s="438"/>
      <c r="M3" s="438"/>
      <c r="N3" s="438"/>
      <c r="O3" s="438"/>
      <c r="P3" s="438"/>
      <c r="Q3" s="438"/>
      <c r="R3" s="438"/>
      <c r="S3" s="439"/>
      <c r="T3" s="20"/>
      <c r="U3" s="20"/>
      <c r="V3" s="20"/>
      <c r="W3" s="20"/>
    </row>
    <row r="4" spans="1:25">
      <c r="A4" s="19"/>
      <c r="B4" s="437"/>
      <c r="C4" s="438"/>
      <c r="D4" s="438"/>
      <c r="E4" s="438"/>
      <c r="F4" s="438"/>
      <c r="G4" s="438"/>
      <c r="H4" s="438"/>
      <c r="I4" s="438"/>
      <c r="J4" s="438"/>
      <c r="K4" s="438"/>
      <c r="L4" s="438"/>
      <c r="M4" s="438"/>
      <c r="N4" s="438"/>
      <c r="O4" s="438"/>
      <c r="P4" s="438"/>
      <c r="Q4" s="438"/>
      <c r="R4" s="438"/>
      <c r="S4" s="439"/>
      <c r="T4" s="20"/>
      <c r="U4" s="20"/>
      <c r="V4" s="20"/>
      <c r="W4" s="20"/>
    </row>
    <row r="5" spans="1:25">
      <c r="A5" s="21"/>
      <c r="B5" s="437"/>
      <c r="C5" s="438"/>
      <c r="D5" s="440"/>
      <c r="E5" s="440"/>
      <c r="F5" s="440"/>
      <c r="G5" s="440"/>
      <c r="H5" s="440"/>
      <c r="I5" s="440"/>
      <c r="J5" s="440"/>
      <c r="K5" s="440"/>
      <c r="L5" s="440"/>
      <c r="M5" s="440"/>
      <c r="N5" s="440"/>
      <c r="O5" s="440"/>
      <c r="P5" s="440"/>
      <c r="Q5" s="440"/>
      <c r="R5" s="440"/>
      <c r="S5" s="441"/>
      <c r="T5" s="20"/>
      <c r="U5" s="20"/>
      <c r="V5" s="20"/>
      <c r="W5" s="20"/>
    </row>
    <row r="6" spans="1:25">
      <c r="A6" s="22"/>
      <c r="B6" s="23"/>
      <c r="C6" s="23"/>
      <c r="D6" s="24"/>
      <c r="E6" s="25"/>
      <c r="F6" s="25"/>
      <c r="G6" s="25"/>
      <c r="H6" s="25"/>
      <c r="I6" s="25"/>
      <c r="J6" s="25"/>
      <c r="K6" s="25"/>
      <c r="L6" s="25"/>
      <c r="M6" s="25"/>
      <c r="N6" s="25"/>
      <c r="O6" s="25"/>
      <c r="P6" s="25"/>
      <c r="Q6" s="25"/>
      <c r="R6" s="25"/>
      <c r="S6" s="26"/>
      <c r="T6" s="20"/>
      <c r="U6" s="20"/>
      <c r="V6" s="20"/>
      <c r="W6" s="20"/>
    </row>
    <row r="7" spans="1:25">
      <c r="A7" s="349"/>
      <c r="B7" s="350" t="s">
        <v>30</v>
      </c>
      <c r="C7" s="351" t="s">
        <v>194</v>
      </c>
      <c r="D7" s="352" t="s">
        <v>194</v>
      </c>
    </row>
    <row r="8" spans="1:25">
      <c r="A8" s="353" t="s">
        <v>919</v>
      </c>
      <c r="B8" s="354" t="s">
        <v>33</v>
      </c>
      <c r="C8" s="355" t="s">
        <v>841</v>
      </c>
      <c r="D8" s="356" t="s">
        <v>34</v>
      </c>
      <c r="E8" s="28"/>
    </row>
    <row r="9" spans="1:25">
      <c r="A9" s="353" t="str">
        <f>INDEX([1]ACHIEV!$A$19:$B$100,MATCH(C8,[1]ACHIEV!$B$19:$B$100,0),1)</f>
        <v>HVAC</v>
      </c>
      <c r="B9" s="357" t="s">
        <v>35</v>
      </c>
      <c r="C9" s="355">
        <f>[1]FILES!$H$4</f>
        <v>2035</v>
      </c>
      <c r="D9" s="356"/>
      <c r="E9" s="29"/>
    </row>
    <row r="10" spans="1:25">
      <c r="A10" s="358"/>
      <c r="B10" s="359" t="s">
        <v>36</v>
      </c>
      <c r="C10" s="430">
        <f>X156</f>
        <v>0</v>
      </c>
      <c r="D10" s="429" t="s">
        <v>986</v>
      </c>
      <c r="E10" s="18">
        <v>1</v>
      </c>
      <c r="F10" s="18">
        <f>E10+1</f>
        <v>2</v>
      </c>
      <c r="G10" s="18">
        <f t="shared" ref="G10:V11" si="0">F10+1</f>
        <v>3</v>
      </c>
      <c r="H10" s="18">
        <f t="shared" si="0"/>
        <v>4</v>
      </c>
      <c r="I10" s="18">
        <f t="shared" si="0"/>
        <v>5</v>
      </c>
      <c r="J10" s="18">
        <f t="shared" si="0"/>
        <v>6</v>
      </c>
      <c r="K10" s="18">
        <f t="shared" si="0"/>
        <v>7</v>
      </c>
      <c r="L10" s="18">
        <f t="shared" si="0"/>
        <v>8</v>
      </c>
      <c r="M10" s="18">
        <f t="shared" si="0"/>
        <v>9</v>
      </c>
      <c r="N10" s="18">
        <f t="shared" si="0"/>
        <v>10</v>
      </c>
      <c r="O10" s="18">
        <f t="shared" si="0"/>
        <v>11</v>
      </c>
      <c r="P10" s="18">
        <f t="shared" si="0"/>
        <v>12</v>
      </c>
      <c r="Q10" s="18">
        <f t="shared" si="0"/>
        <v>13</v>
      </c>
      <c r="R10" s="18">
        <f t="shared" si="0"/>
        <v>14</v>
      </c>
      <c r="S10" s="18">
        <f t="shared" si="0"/>
        <v>15</v>
      </c>
      <c r="T10" s="18">
        <f t="shared" si="0"/>
        <v>16</v>
      </c>
      <c r="U10" s="18">
        <f t="shared" si="0"/>
        <v>17</v>
      </c>
      <c r="V10" s="18">
        <f t="shared" si="0"/>
        <v>18</v>
      </c>
      <c r="W10" s="18">
        <f t="shared" ref="W10:X11" si="1">V10+1</f>
        <v>19</v>
      </c>
      <c r="X10" s="18">
        <f t="shared" si="1"/>
        <v>20</v>
      </c>
    </row>
    <row r="11" spans="1:25">
      <c r="A11" s="27" t="s">
        <v>37</v>
      </c>
      <c r="B11" s="27"/>
      <c r="C11" s="27"/>
      <c r="D11" s="27"/>
      <c r="E11" s="27">
        <f>C9-20+1</f>
        <v>2016</v>
      </c>
      <c r="F11" s="27">
        <f>E11+1</f>
        <v>2017</v>
      </c>
      <c r="G11" s="27">
        <f t="shared" si="0"/>
        <v>2018</v>
      </c>
      <c r="H11" s="27">
        <f t="shared" si="0"/>
        <v>2019</v>
      </c>
      <c r="I11" s="27">
        <f t="shared" si="0"/>
        <v>2020</v>
      </c>
      <c r="J11" s="27">
        <f t="shared" si="0"/>
        <v>2021</v>
      </c>
      <c r="K11" s="27">
        <f t="shared" si="0"/>
        <v>2022</v>
      </c>
      <c r="L11" s="27">
        <f t="shared" si="0"/>
        <v>2023</v>
      </c>
      <c r="M11" s="27">
        <f t="shared" si="0"/>
        <v>2024</v>
      </c>
      <c r="N11" s="27">
        <f t="shared" si="0"/>
        <v>2025</v>
      </c>
      <c r="O11" s="27">
        <f t="shared" si="0"/>
        <v>2026</v>
      </c>
      <c r="P11" s="27">
        <f t="shared" si="0"/>
        <v>2027</v>
      </c>
      <c r="Q11" s="27">
        <f t="shared" si="0"/>
        <v>2028</v>
      </c>
      <c r="R11" s="27">
        <f t="shared" si="0"/>
        <v>2029</v>
      </c>
      <c r="S11" s="27">
        <f t="shared" si="0"/>
        <v>2030</v>
      </c>
      <c r="T11" s="27">
        <f t="shared" si="0"/>
        <v>2031</v>
      </c>
      <c r="U11" s="27">
        <f t="shared" si="0"/>
        <v>2032</v>
      </c>
      <c r="V11" s="27">
        <f t="shared" si="0"/>
        <v>2033</v>
      </c>
      <c r="W11" s="27">
        <f t="shared" si="1"/>
        <v>2034</v>
      </c>
      <c r="X11" s="27">
        <f t="shared" si="1"/>
        <v>2035</v>
      </c>
    </row>
    <row r="12" spans="1:25">
      <c r="A12" s="27"/>
      <c r="B12" s="27"/>
      <c r="C12" s="27"/>
      <c r="D12" s="27"/>
      <c r="E12" s="27" t="str">
        <f>CONCATENATE("FLOOR_",E11)</f>
        <v>FLOOR_2016</v>
      </c>
      <c r="F12" s="27" t="str">
        <f t="shared" ref="F12:X12" si="2">CONCATENATE("FLOOR_",F11)</f>
        <v>FLOOR_2017</v>
      </c>
      <c r="G12" s="27" t="str">
        <f t="shared" si="2"/>
        <v>FLOOR_2018</v>
      </c>
      <c r="H12" s="27" t="str">
        <f t="shared" si="2"/>
        <v>FLOOR_2019</v>
      </c>
      <c r="I12" s="27" t="str">
        <f t="shared" si="2"/>
        <v>FLOOR_2020</v>
      </c>
      <c r="J12" s="27" t="str">
        <f t="shared" si="2"/>
        <v>FLOOR_2021</v>
      </c>
      <c r="K12" s="27" t="str">
        <f t="shared" si="2"/>
        <v>FLOOR_2022</v>
      </c>
      <c r="L12" s="27" t="str">
        <f t="shared" si="2"/>
        <v>FLOOR_2023</v>
      </c>
      <c r="M12" s="27" t="str">
        <f t="shared" si="2"/>
        <v>FLOOR_2024</v>
      </c>
      <c r="N12" s="27" t="str">
        <f t="shared" si="2"/>
        <v>FLOOR_2025</v>
      </c>
      <c r="O12" s="27" t="str">
        <f t="shared" si="2"/>
        <v>FLOOR_2026</v>
      </c>
      <c r="P12" s="27" t="str">
        <f t="shared" si="2"/>
        <v>FLOOR_2027</v>
      </c>
      <c r="Q12" s="27" t="str">
        <f t="shared" si="2"/>
        <v>FLOOR_2028</v>
      </c>
      <c r="R12" s="27" t="str">
        <f t="shared" si="2"/>
        <v>FLOOR_2029</v>
      </c>
      <c r="S12" s="27" t="str">
        <f t="shared" si="2"/>
        <v>FLOOR_2030</v>
      </c>
      <c r="T12" s="27" t="str">
        <f t="shared" si="2"/>
        <v>FLOOR_2031</v>
      </c>
      <c r="U12" s="27" t="str">
        <f t="shared" si="2"/>
        <v>FLOOR_2032</v>
      </c>
      <c r="V12" s="27" t="str">
        <f t="shared" si="2"/>
        <v>FLOOR_2033</v>
      </c>
      <c r="W12" s="27" t="str">
        <f t="shared" si="2"/>
        <v>FLOOR_2034</v>
      </c>
      <c r="X12" s="27" t="str">
        <f t="shared" si="2"/>
        <v>FLOOR_2035</v>
      </c>
    </row>
    <row r="13" spans="1:25">
      <c r="B13" s="18" t="s">
        <v>147</v>
      </c>
      <c r="C13" s="18" t="s">
        <v>148</v>
      </c>
      <c r="E13" s="30">
        <f>'[2]Com Forecast (Base Case)'!AJ169</f>
        <v>7.7488837996995636</v>
      </c>
      <c r="F13" s="30">
        <f>'[2]Com Forecast (Base Case)'!AK169</f>
        <v>7.8066550111953834</v>
      </c>
      <c r="G13" s="30">
        <f>'[2]Com Forecast (Base Case)'!AL169</f>
        <v>5.9496992573140863</v>
      </c>
      <c r="H13" s="30">
        <f>'[2]Com Forecast (Base Case)'!AM169</f>
        <v>5.890903545908837</v>
      </c>
      <c r="I13" s="30">
        <f>'[2]Com Forecast (Base Case)'!AN169</f>
        <v>6.8915688291332424</v>
      </c>
      <c r="J13" s="30">
        <f>'[2]Com Forecast (Base Case)'!AO169</f>
        <v>6.6410191533148355</v>
      </c>
      <c r="K13" s="30">
        <f>'[2]Com Forecast (Base Case)'!AP169</f>
        <v>5.4382226791221893</v>
      </c>
      <c r="L13" s="30">
        <f>'[2]Com Forecast (Base Case)'!AQ169</f>
        <v>6.9236851515846078</v>
      </c>
      <c r="M13" s="30">
        <f>'[2]Com Forecast (Base Case)'!AR169</f>
        <v>6.040566884985755</v>
      </c>
      <c r="N13" s="30">
        <f>'[2]Com Forecast (Base Case)'!AS169</f>
        <v>5.8620040343764588</v>
      </c>
      <c r="O13" s="30">
        <f>'[2]Com Forecast (Base Case)'!AT169</f>
        <v>6.6048352977963205</v>
      </c>
      <c r="P13" s="30">
        <f>'[2]Com Forecast (Base Case)'!AU169</f>
        <v>6.6081856774849808</v>
      </c>
      <c r="Q13" s="30">
        <f>'[2]Com Forecast (Base Case)'!AV169</f>
        <v>7.2276230030590352</v>
      </c>
      <c r="R13" s="30">
        <f>'[2]Com Forecast (Base Case)'!AW169</f>
        <v>7.9321378463678132</v>
      </c>
      <c r="S13" s="30">
        <f>'[2]Com Forecast (Base Case)'!AX169</f>
        <v>7.2590370336019197</v>
      </c>
      <c r="T13" s="30">
        <f>'[2]Com Forecast (Base Case)'!AY169</f>
        <v>7.9122271387396417</v>
      </c>
      <c r="U13" s="30">
        <f>'[2]Com Forecast (Base Case)'!AZ169</f>
        <v>7.7623340380974311</v>
      </c>
      <c r="V13" s="30">
        <f>'[2]Com Forecast (Base Case)'!BA169</f>
        <v>7.6402299023279152</v>
      </c>
      <c r="W13" s="30">
        <f>'[2]Com Forecast (Base Case)'!BB169</f>
        <v>7.1724831299946894</v>
      </c>
      <c r="X13" s="30">
        <f>'[2]Com Forecast (Base Case)'!BC169</f>
        <v>7.0810470955732994</v>
      </c>
      <c r="Y13" s="32"/>
    </row>
    <row r="14" spans="1:25">
      <c r="B14" s="18" t="s">
        <v>147</v>
      </c>
      <c r="C14" s="18" t="s">
        <v>149</v>
      </c>
      <c r="E14" s="30">
        <f>'[2]Com Forecast (Base Case)'!AJ170</f>
        <v>5.9952951563986474</v>
      </c>
      <c r="F14" s="30">
        <f>'[2]Com Forecast (Base Case)'!AK170</f>
        <v>6.3306892326899415</v>
      </c>
      <c r="G14" s="30">
        <f>'[2]Com Forecast (Base Case)'!AL170</f>
        <v>4.6245517962703104</v>
      </c>
      <c r="H14" s="30">
        <f>'[2]Com Forecast (Base Case)'!AM170</f>
        <v>4.6954401235311058</v>
      </c>
      <c r="I14" s="30">
        <f>'[2]Com Forecast (Base Case)'!AN170</f>
        <v>5.5561738496820645</v>
      </c>
      <c r="J14" s="30">
        <f>'[2]Com Forecast (Base Case)'!AO170</f>
        <v>5.2903315868283292</v>
      </c>
      <c r="K14" s="30">
        <f>'[2]Com Forecast (Base Case)'!AP170</f>
        <v>4.0954748538564614</v>
      </c>
      <c r="L14" s="30">
        <f>'[2]Com Forecast (Base Case)'!AQ170</f>
        <v>5.6166455086822502</v>
      </c>
      <c r="M14" s="30">
        <f>'[2]Com Forecast (Base Case)'!AR170</f>
        <v>4.8928421056079552</v>
      </c>
      <c r="N14" s="30">
        <f>'[2]Com Forecast (Base Case)'!AS170</f>
        <v>4.6489885594062974</v>
      </c>
      <c r="O14" s="30">
        <f>'[2]Com Forecast (Base Case)'!AT170</f>
        <v>5.3600762751998365</v>
      </c>
      <c r="P14" s="30">
        <f>'[2]Com Forecast (Base Case)'!AU170</f>
        <v>5.3451061612370649</v>
      </c>
      <c r="Q14" s="30">
        <f>'[2]Com Forecast (Base Case)'!AV170</f>
        <v>5.7169042762389006</v>
      </c>
      <c r="R14" s="30">
        <f>'[2]Com Forecast (Base Case)'!AW170</f>
        <v>6.1644080859749115</v>
      </c>
      <c r="S14" s="30">
        <f>'[2]Com Forecast (Base Case)'!AX170</f>
        <v>5.8003829082546376</v>
      </c>
      <c r="T14" s="30">
        <f>'[2]Com Forecast (Base Case)'!AY170</f>
        <v>6.4331999103991837</v>
      </c>
      <c r="U14" s="30">
        <f>'[2]Com Forecast (Base Case)'!AZ170</f>
        <v>6.1077443299386847</v>
      </c>
      <c r="V14" s="30">
        <f>'[2]Com Forecast (Base Case)'!BA170</f>
        <v>6.3133258324543373</v>
      </c>
      <c r="W14" s="30">
        <f>'[2]Com Forecast (Base Case)'!BB170</f>
        <v>5.5403053352108875</v>
      </c>
      <c r="X14" s="30">
        <f>'[2]Com Forecast (Base Case)'!BC170</f>
        <v>5.5266028757425794</v>
      </c>
      <c r="Y14" s="32"/>
    </row>
    <row r="15" spans="1:25">
      <c r="B15" s="18" t="s">
        <v>147</v>
      </c>
      <c r="C15" s="18" t="s">
        <v>150</v>
      </c>
      <c r="E15" s="30">
        <f>'[2]Com Forecast (Base Case)'!AJ171</f>
        <v>1.5722642319863536</v>
      </c>
      <c r="F15" s="30">
        <f>'[2]Com Forecast (Base Case)'!AK171</f>
        <v>1.6621196768024407</v>
      </c>
      <c r="G15" s="30">
        <f>'[2]Com Forecast (Base Case)'!AL171</f>
        <v>1.2170657423442173</v>
      </c>
      <c r="H15" s="30">
        <f>'[2]Com Forecast (Base Case)'!AM171</f>
        <v>1.2444333527444498</v>
      </c>
      <c r="I15" s="30">
        <f>'[2]Com Forecast (Base Case)'!AN171</f>
        <v>1.4586094503549032</v>
      </c>
      <c r="J15" s="30">
        <f>'[2]Com Forecast (Base Case)'!AO171</f>
        <v>1.4004070058555529</v>
      </c>
      <c r="K15" s="30">
        <f>'[2]Com Forecast (Base Case)'!AP171</f>
        <v>1.0787722980410579</v>
      </c>
      <c r="L15" s="30">
        <f>'[2]Com Forecast (Base Case)'!AQ171</f>
        <v>1.4747976167420549</v>
      </c>
      <c r="M15" s="30">
        <f>'[2]Com Forecast (Base Case)'!AR171</f>
        <v>1.2896357804774434</v>
      </c>
      <c r="N15" s="30">
        <f>'[2]Com Forecast (Base Case)'!AS171</f>
        <v>1.2239291307589197</v>
      </c>
      <c r="O15" s="30">
        <f>'[2]Com Forecast (Base Case)'!AT171</f>
        <v>1.4012443744673324</v>
      </c>
      <c r="P15" s="30">
        <f>'[2]Com Forecast (Base Case)'!AU171</f>
        <v>1.3991315932028052</v>
      </c>
      <c r="Q15" s="30">
        <f>'[2]Com Forecast (Base Case)'!AV171</f>
        <v>1.4996248899933684</v>
      </c>
      <c r="R15" s="30">
        <f>'[2]Com Forecast (Base Case)'!AW171</f>
        <v>1.6197763904689295</v>
      </c>
      <c r="S15" s="30">
        <f>'[2]Com Forecast (Base Case)'!AX171</f>
        <v>1.5187400891362097</v>
      </c>
      <c r="T15" s="30">
        <f>'[2]Com Forecast (Base Case)'!AY171</f>
        <v>1.6890757136254622</v>
      </c>
      <c r="U15" s="30">
        <f>'[2]Com Forecast (Base Case)'!AZ171</f>
        <v>1.5972356158259797</v>
      </c>
      <c r="V15" s="30">
        <f>'[2]Com Forecast (Base Case)'!BA171</f>
        <v>1.640465747141107</v>
      </c>
      <c r="W15" s="30">
        <f>'[2]Com Forecast (Base Case)'!BB171</f>
        <v>1.4565955217811706</v>
      </c>
      <c r="X15" s="30">
        <f>'[2]Com Forecast (Base Case)'!BC171</f>
        <v>1.4531741906643101</v>
      </c>
      <c r="Y15" s="32"/>
    </row>
    <row r="16" spans="1:25">
      <c r="B16" s="18" t="s">
        <v>151</v>
      </c>
      <c r="C16" s="54" t="s">
        <v>195</v>
      </c>
      <c r="E16" s="30">
        <f>'[2]Com Forecast (Base Case)'!AJ172</f>
        <v>0.89046181776413369</v>
      </c>
      <c r="F16" s="30">
        <f>'[2]Com Forecast (Base Case)'!AK172</f>
        <v>1.799418169017593</v>
      </c>
      <c r="G16" s="30">
        <f>'[2]Com Forecast (Base Case)'!AL172</f>
        <v>1.485755176968429</v>
      </c>
      <c r="H16" s="30">
        <f>'[2]Com Forecast (Base Case)'!AM172</f>
        <v>0.89794362681754358</v>
      </c>
      <c r="I16" s="30">
        <f>'[2]Com Forecast (Base Case)'!AN172</f>
        <v>0.91201694404352718</v>
      </c>
      <c r="J16" s="30">
        <f>'[2]Com Forecast (Base Case)'!AO172</f>
        <v>0.85125423267540556</v>
      </c>
      <c r="K16" s="30">
        <f>'[2]Com Forecast (Base Case)'!AP172</f>
        <v>0.73204497427617965</v>
      </c>
      <c r="L16" s="30">
        <f>'[2]Com Forecast (Base Case)'!AQ172</f>
        <v>0.73428349109996394</v>
      </c>
      <c r="M16" s="30">
        <f>'[2]Com Forecast (Base Case)'!AR172</f>
        <v>0.71341173425108251</v>
      </c>
      <c r="N16" s="30">
        <f>'[2]Com Forecast (Base Case)'!AS172</f>
        <v>0.89455902577447755</v>
      </c>
      <c r="O16" s="30">
        <f>'[2]Com Forecast (Base Case)'!AT172</f>
        <v>1.032083805968905</v>
      </c>
      <c r="P16" s="30">
        <f>'[2]Com Forecast (Base Case)'!AU172</f>
        <v>1.0963398187475875</v>
      </c>
      <c r="Q16" s="30">
        <f>'[2]Com Forecast (Base Case)'!AV172</f>
        <v>1.617287860192538</v>
      </c>
      <c r="R16" s="30">
        <f>'[2]Com Forecast (Base Case)'!AW172</f>
        <v>1.8239074921539626</v>
      </c>
      <c r="S16" s="30">
        <f>'[2]Com Forecast (Base Case)'!AX172</f>
        <v>1.6267354909009817</v>
      </c>
      <c r="T16" s="30">
        <f>'[2]Com Forecast (Base Case)'!AY172</f>
        <v>1.5970323938843554</v>
      </c>
      <c r="U16" s="30">
        <f>'[2]Com Forecast (Base Case)'!AZ172</f>
        <v>1.5393396581386409</v>
      </c>
      <c r="V16" s="30">
        <f>'[2]Com Forecast (Base Case)'!BA172</f>
        <v>1.2960530677092543</v>
      </c>
      <c r="W16" s="30">
        <f>'[2]Com Forecast (Base Case)'!BB172</f>
        <v>1.3176455108269955</v>
      </c>
      <c r="X16" s="30">
        <f>'[2]Com Forecast (Base Case)'!BC172</f>
        <v>1.2469979474733393</v>
      </c>
      <c r="Y16" s="32"/>
    </row>
    <row r="17" spans="2:25">
      <c r="B17" s="18" t="s">
        <v>151</v>
      </c>
      <c r="C17" s="54" t="s">
        <v>169</v>
      </c>
      <c r="E17" s="30">
        <f>'[2]Com Forecast (Base Case)'!AJ173</f>
        <v>0.3567039409637372</v>
      </c>
      <c r="F17" s="30">
        <f>'[2]Com Forecast (Base Case)'!AK173</f>
        <v>0.71960427219664069</v>
      </c>
      <c r="G17" s="30">
        <f>'[2]Com Forecast (Base Case)'!AL173</f>
        <v>0.59647847099566831</v>
      </c>
      <c r="H17" s="30">
        <f>'[2]Com Forecast (Base Case)'!AM173</f>
        <v>0.36611838042447359</v>
      </c>
      <c r="I17" s="30">
        <f>'[2]Com Forecast (Base Case)'!AN173</f>
        <v>0.3731768350638246</v>
      </c>
      <c r="J17" s="30">
        <f>'[2]Com Forecast (Base Case)'!AO173</f>
        <v>0.34504559304633386</v>
      </c>
      <c r="K17" s="30">
        <f>'[2]Com Forecast (Base Case)'!AP173</f>
        <v>0.2928623587115301</v>
      </c>
      <c r="L17" s="30">
        <f>'[2]Com Forecast (Base Case)'!AQ173</f>
        <v>0.29376294298921468</v>
      </c>
      <c r="M17" s="30">
        <f>'[2]Com Forecast (Base Case)'!AR173</f>
        <v>0.28416308329236456</v>
      </c>
      <c r="N17" s="30">
        <f>'[2]Com Forecast (Base Case)'!AS173</f>
        <v>0.36455471421578001</v>
      </c>
      <c r="O17" s="30">
        <f>'[2]Com Forecast (Base Case)'!AT173</f>
        <v>0.42646627810709853</v>
      </c>
      <c r="P17" s="30">
        <f>'[2]Com Forecast (Base Case)'!AU173</f>
        <v>0.44956380488737768</v>
      </c>
      <c r="Q17" s="30">
        <f>'[2]Com Forecast (Base Case)'!AV173</f>
        <v>0.65213839834683018</v>
      </c>
      <c r="R17" s="30">
        <f>'[2]Com Forecast (Base Case)'!AW173</f>
        <v>0.73353807331773047</v>
      </c>
      <c r="S17" s="30">
        <f>'[2]Com Forecast (Base Case)'!AX173</f>
        <v>0.65560780242911365</v>
      </c>
      <c r="T17" s="30">
        <f>'[2]Com Forecast (Base Case)'!AY173</f>
        <v>0.64604928436358278</v>
      </c>
      <c r="U17" s="30">
        <f>'[2]Com Forecast (Base Case)'!AZ173</f>
        <v>0.62178261445398098</v>
      </c>
      <c r="V17" s="30">
        <f>'[2]Com Forecast (Base Case)'!BA173</f>
        <v>0.52554853465709617</v>
      </c>
      <c r="W17" s="30">
        <f>'[2]Com Forecast (Base Case)'!BB173</f>
        <v>0.53266253778165396</v>
      </c>
      <c r="X17" s="30">
        <f>'[2]Com Forecast (Base Case)'!BC173</f>
        <v>0.50454130308386236</v>
      </c>
      <c r="Y17" s="32"/>
    </row>
    <row r="18" spans="2:25">
      <c r="B18" s="18" t="s">
        <v>151</v>
      </c>
      <c r="C18" s="54" t="s">
        <v>168</v>
      </c>
      <c r="E18" s="30">
        <f>'[2]Com Forecast (Base Case)'!AJ174</f>
        <v>1.3432446364579429</v>
      </c>
      <c r="F18" s="30">
        <f>'[2]Com Forecast (Base Case)'!AK174</f>
        <v>2.7275899469990224</v>
      </c>
      <c r="G18" s="30">
        <f>'[2]Com Forecast (Base Case)'!AL174</f>
        <v>2.2451802625726844</v>
      </c>
      <c r="H18" s="30">
        <f>'[2]Com Forecast (Base Case)'!AM174</f>
        <v>1.3846551620328988</v>
      </c>
      <c r="I18" s="30">
        <f>'[2]Com Forecast (Base Case)'!AN174</f>
        <v>1.414332931216091</v>
      </c>
      <c r="J18" s="30">
        <f>'[2]Com Forecast (Base Case)'!AO174</f>
        <v>1.3048976182463843</v>
      </c>
      <c r="K18" s="30">
        <f>'[2]Com Forecast (Base Case)'!AP174</f>
        <v>1.1035456427042536</v>
      </c>
      <c r="L18" s="30">
        <f>'[2]Com Forecast (Base Case)'!AQ174</f>
        <v>1.0932193385059683</v>
      </c>
      <c r="M18" s="30">
        <f>'[2]Com Forecast (Base Case)'!AR174</f>
        <v>1.0602010304011045</v>
      </c>
      <c r="N18" s="30">
        <f>'[2]Com Forecast (Base Case)'!AS174</f>
        <v>1.3687417218066935</v>
      </c>
      <c r="O18" s="30">
        <f>'[2]Com Forecast (Base Case)'!AT174</f>
        <v>1.6102119957699914</v>
      </c>
      <c r="P18" s="30">
        <f>'[2]Com Forecast (Base Case)'!AU174</f>
        <v>1.7014476793012303</v>
      </c>
      <c r="Q18" s="30">
        <f>'[2]Com Forecast (Base Case)'!AV174</f>
        <v>2.4475448442766612</v>
      </c>
      <c r="R18" s="30">
        <f>'[2]Com Forecast (Base Case)'!AW174</f>
        <v>2.7642584104961641</v>
      </c>
      <c r="S18" s="30">
        <f>'[2]Com Forecast (Base Case)'!AX174</f>
        <v>2.4645092385842489</v>
      </c>
      <c r="T18" s="30">
        <f>'[2]Com Forecast (Base Case)'!AY174</f>
        <v>2.435211674558635</v>
      </c>
      <c r="U18" s="30">
        <f>'[2]Com Forecast (Base Case)'!AZ174</f>
        <v>2.3436666024455817</v>
      </c>
      <c r="V18" s="30">
        <f>'[2]Com Forecast (Base Case)'!BA174</f>
        <v>1.9970991421399598</v>
      </c>
      <c r="W18" s="30">
        <f>'[2]Com Forecast (Base Case)'!BB174</f>
        <v>2.0220850932468024</v>
      </c>
      <c r="X18" s="30">
        <f>'[2]Com Forecast (Base Case)'!BC174</f>
        <v>1.9074632582746243</v>
      </c>
      <c r="Y18" s="32"/>
    </row>
    <row r="19" spans="2:25">
      <c r="B19" s="18" t="s">
        <v>151</v>
      </c>
      <c r="C19" s="54" t="s">
        <v>170</v>
      </c>
      <c r="E19" s="30">
        <f>'[2]Com Forecast (Base Case)'!AJ175</f>
        <v>0.42474203674104466</v>
      </c>
      <c r="F19" s="30">
        <f>'[2]Com Forecast (Base Case)'!AK175</f>
        <v>0.86249938561661099</v>
      </c>
      <c r="G19" s="30">
        <f>'[2]Com Forecast (Base Case)'!AL175</f>
        <v>0.71243811393533818</v>
      </c>
      <c r="H19" s="30">
        <f>'[2]Com Forecast (Base Case)'!AM175</f>
        <v>0.43988135050703958</v>
      </c>
      <c r="I19" s="30">
        <f>'[2]Com Forecast (Base Case)'!AN175</f>
        <v>0.44879648252082133</v>
      </c>
      <c r="J19" s="30">
        <f>'[2]Com Forecast (Base Case)'!AO175</f>
        <v>0.41374173801952452</v>
      </c>
      <c r="K19" s="30">
        <f>'[2]Com Forecast (Base Case)'!AP175</f>
        <v>0.34301620014224921</v>
      </c>
      <c r="L19" s="30">
        <f>'[2]Com Forecast (Base Case)'!AQ175</f>
        <v>0.33946657261656726</v>
      </c>
      <c r="M19" s="30">
        <f>'[2]Com Forecast (Base Case)'!AR175</f>
        <v>0.32965754978673117</v>
      </c>
      <c r="N19" s="30">
        <f>'[2]Com Forecast (Base Case)'!AS175</f>
        <v>0.43689232903555525</v>
      </c>
      <c r="O19" s="30">
        <f>'[2]Com Forecast (Base Case)'!AT175</f>
        <v>0.51886957722704219</v>
      </c>
      <c r="P19" s="30">
        <f>'[2]Com Forecast (Base Case)'!AU175</f>
        <v>0.54817313334918127</v>
      </c>
      <c r="Q19" s="30">
        <f>'[2]Com Forecast (Base Case)'!AV175</f>
        <v>0.77969532117377649</v>
      </c>
      <c r="R19" s="30">
        <f>'[2]Com Forecast (Base Case)'!AW175</f>
        <v>0.87858644381951334</v>
      </c>
      <c r="S19" s="30">
        <f>'[2]Com Forecast (Base Case)'!AX175</f>
        <v>0.78420074698109388</v>
      </c>
      <c r="T19" s="30">
        <f>'[2]Com Forecast (Base Case)'!AY175</f>
        <v>0.77728841592354081</v>
      </c>
      <c r="U19" s="30">
        <f>'[2]Com Forecast (Base Case)'!AZ175</f>
        <v>0.74886674252534069</v>
      </c>
      <c r="V19" s="30">
        <f>'[2]Com Forecast (Base Case)'!BA175</f>
        <v>0.63964179951326661</v>
      </c>
      <c r="W19" s="30">
        <f>'[2]Com Forecast (Base Case)'!BB175</f>
        <v>0.64714740319049269</v>
      </c>
      <c r="X19" s="30">
        <f>'[2]Com Forecast (Base Case)'!BC175</f>
        <v>0.61166389038687663</v>
      </c>
      <c r="Y19" s="32"/>
    </row>
    <row r="20" spans="2:25">
      <c r="B20" s="18" t="s">
        <v>152</v>
      </c>
      <c r="C20" s="18" t="s">
        <v>171</v>
      </c>
      <c r="E20" s="30">
        <f>'[2]Com Forecast (Base Case)'!AJ176</f>
        <v>0.50322888648933484</v>
      </c>
      <c r="F20" s="30">
        <f>'[2]Com Forecast (Base Case)'!AK176</f>
        <v>0.49337113702797691</v>
      </c>
      <c r="G20" s="30">
        <f>'[2]Com Forecast (Base Case)'!AL176</f>
        <v>1.1029723159217257</v>
      </c>
      <c r="H20" s="30">
        <f>'[2]Com Forecast (Base Case)'!AM176</f>
        <v>0.94992456965043459</v>
      </c>
      <c r="I20" s="30">
        <f>'[2]Com Forecast (Base Case)'!AN176</f>
        <v>0.71720701164062661</v>
      </c>
      <c r="J20" s="30">
        <f>'[2]Com Forecast (Base Case)'!AO176</f>
        <v>0.7442281187428561</v>
      </c>
      <c r="K20" s="30">
        <f>'[2]Com Forecast (Base Case)'!AP176</f>
        <v>0.85140099810585501</v>
      </c>
      <c r="L20" s="30">
        <f>'[2]Com Forecast (Base Case)'!AQ176</f>
        <v>0.99139466996200198</v>
      </c>
      <c r="M20" s="30">
        <f>'[2]Com Forecast (Base Case)'!AR176</f>
        <v>1.5014629353162949</v>
      </c>
      <c r="N20" s="30">
        <f>'[2]Com Forecast (Base Case)'!AS176</f>
        <v>1.8697826256608596</v>
      </c>
      <c r="O20" s="30">
        <f>'[2]Com Forecast (Base Case)'!AT176</f>
        <v>1.6452707482432332</v>
      </c>
      <c r="P20" s="30">
        <f>'[2]Com Forecast (Base Case)'!AU176</f>
        <v>1.6753181172445872</v>
      </c>
      <c r="Q20" s="30">
        <f>'[2]Com Forecast (Base Case)'!AV176</f>
        <v>1.7943041099264481</v>
      </c>
      <c r="R20" s="30">
        <f>'[2]Com Forecast (Base Case)'!AW176</f>
        <v>1.8624299937819393</v>
      </c>
      <c r="S20" s="30">
        <f>'[2]Com Forecast (Base Case)'!AX176</f>
        <v>1.7489264522150836</v>
      </c>
      <c r="T20" s="30">
        <f>'[2]Com Forecast (Base Case)'!AY176</f>
        <v>1.7975598556031414</v>
      </c>
      <c r="U20" s="30">
        <f>'[2]Com Forecast (Base Case)'!AZ176</f>
        <v>1.6195220459723754</v>
      </c>
      <c r="V20" s="30">
        <f>'[2]Com Forecast (Base Case)'!BA176</f>
        <v>1.8221433074925411</v>
      </c>
      <c r="W20" s="30">
        <f>'[2]Com Forecast (Base Case)'!BB176</f>
        <v>1.6336676691608698</v>
      </c>
      <c r="X20" s="30">
        <f>'[2]Com Forecast (Base Case)'!BC176</f>
        <v>1.7826242149357872</v>
      </c>
      <c r="Y20" s="32"/>
    </row>
    <row r="21" spans="2:25">
      <c r="B21" s="18" t="s">
        <v>154</v>
      </c>
      <c r="C21" s="18" t="s">
        <v>155</v>
      </c>
      <c r="E21" s="30">
        <f>'[2]Com Forecast (Base Case)'!AJ177</f>
        <v>0.63957928675752418</v>
      </c>
      <c r="F21" s="30">
        <f>'[2]Com Forecast (Base Case)'!AK177</f>
        <v>0.2800209986196866</v>
      </c>
      <c r="G21" s="30">
        <f>'[2]Com Forecast (Base Case)'!AL177</f>
        <v>0.29719871383536939</v>
      </c>
      <c r="H21" s="30">
        <f>'[2]Com Forecast (Base Case)'!AM177</f>
        <v>0.58203115602335975</v>
      </c>
      <c r="I21" s="30">
        <f>'[2]Com Forecast (Base Case)'!AN177</f>
        <v>0.83189457735737737</v>
      </c>
      <c r="J21" s="30">
        <f>'[2]Com Forecast (Base Case)'!AO177</f>
        <v>0.66610454718876777</v>
      </c>
      <c r="K21" s="30">
        <f>'[2]Com Forecast (Base Case)'!AP177</f>
        <v>0.73648247778559484</v>
      </c>
      <c r="L21" s="30">
        <f>'[2]Com Forecast (Base Case)'!AQ177</f>
        <v>0.64334185638367225</v>
      </c>
      <c r="M21" s="30">
        <f>'[2]Com Forecast (Base Case)'!AR177</f>
        <v>0.97289424291238524</v>
      </c>
      <c r="N21" s="30">
        <f>'[2]Com Forecast (Base Case)'!AS177</f>
        <v>1.1820978013224126</v>
      </c>
      <c r="O21" s="30">
        <f>'[2]Com Forecast (Base Case)'!AT177</f>
        <v>1.1785313924254113</v>
      </c>
      <c r="P21" s="30">
        <f>'[2]Com Forecast (Base Case)'!AU177</f>
        <v>1.2952038876416079</v>
      </c>
      <c r="Q21" s="30">
        <f>'[2]Com Forecast (Base Case)'!AV177</f>
        <v>1.3229243736280945</v>
      </c>
      <c r="R21" s="30">
        <f>'[2]Com Forecast (Base Case)'!AW177</f>
        <v>1.422909455419719</v>
      </c>
      <c r="S21" s="30">
        <f>'[2]Com Forecast (Base Case)'!AX177</f>
        <v>1.4430187909981058</v>
      </c>
      <c r="T21" s="30">
        <f>'[2]Com Forecast (Base Case)'!AY177</f>
        <v>1.2923971403480323</v>
      </c>
      <c r="U21" s="30">
        <f>'[2]Com Forecast (Base Case)'!AZ177</f>
        <v>1.1785050733908478</v>
      </c>
      <c r="V21" s="30">
        <f>'[2]Com Forecast (Base Case)'!BA177</f>
        <v>1.3433889489273994</v>
      </c>
      <c r="W21" s="30">
        <f>'[2]Com Forecast (Base Case)'!BB177</f>
        <v>1.2265545990556588</v>
      </c>
      <c r="X21" s="30">
        <f>'[2]Com Forecast (Base Case)'!BC177</f>
        <v>1.2571458643971927</v>
      </c>
      <c r="Y21" s="32"/>
    </row>
    <row r="22" spans="2:25">
      <c r="B22" s="18" t="s">
        <v>156</v>
      </c>
      <c r="C22" s="18" t="s">
        <v>10</v>
      </c>
      <c r="E22" s="30">
        <f>'[2]Com Forecast (Base Case)'!AJ178</f>
        <v>7.9301406957527112</v>
      </c>
      <c r="F22" s="30">
        <f>'[2]Com Forecast (Base Case)'!AK178</f>
        <v>7.6586609772993617</v>
      </c>
      <c r="G22" s="30">
        <f>'[2]Com Forecast (Base Case)'!AL178</f>
        <v>7.5774552212762423</v>
      </c>
      <c r="H22" s="30">
        <f>'[2]Com Forecast (Base Case)'!AM178</f>
        <v>5.6453939930651131</v>
      </c>
      <c r="I22" s="30">
        <f>'[2]Com Forecast (Base Case)'!AN178</f>
        <v>4.800793231843981</v>
      </c>
      <c r="J22" s="30">
        <f>'[2]Com Forecast (Base Case)'!AO178</f>
        <v>3.5881391412601156</v>
      </c>
      <c r="K22" s="30">
        <f>'[2]Com Forecast (Base Case)'!AP178</f>
        <v>3.1529819033971824</v>
      </c>
      <c r="L22" s="30">
        <f>'[2]Com Forecast (Base Case)'!AQ178</f>
        <v>4.0691744688008198</v>
      </c>
      <c r="M22" s="30">
        <f>'[2]Com Forecast (Base Case)'!AR178</f>
        <v>4.5400289951106014</v>
      </c>
      <c r="N22" s="30">
        <f>'[2]Com Forecast (Base Case)'!AS178</f>
        <v>4.8555474587969272</v>
      </c>
      <c r="O22" s="30">
        <f>'[2]Com Forecast (Base Case)'!AT178</f>
        <v>4.6966359797376018</v>
      </c>
      <c r="P22" s="30">
        <f>'[2]Com Forecast (Base Case)'!AU178</f>
        <v>4.8557170740974245</v>
      </c>
      <c r="Q22" s="30">
        <f>'[2]Com Forecast (Base Case)'!AV178</f>
        <v>4.451750056135543</v>
      </c>
      <c r="R22" s="30">
        <f>'[2]Com Forecast (Base Case)'!AW178</f>
        <v>3.8657972013430704</v>
      </c>
      <c r="S22" s="30">
        <f>'[2]Com Forecast (Base Case)'!AX178</f>
        <v>3.9817445148405937</v>
      </c>
      <c r="T22" s="30">
        <f>'[2]Com Forecast (Base Case)'!AY178</f>
        <v>3.9951806948216846</v>
      </c>
      <c r="U22" s="30">
        <f>'[2]Com Forecast (Base Case)'!AZ178</f>
        <v>4.4738164673360306</v>
      </c>
      <c r="V22" s="30">
        <f>'[2]Com Forecast (Base Case)'!BA178</f>
        <v>4.2737219736102183</v>
      </c>
      <c r="W22" s="30">
        <f>'[2]Com Forecast (Base Case)'!BB178</f>
        <v>4.0870251812551333</v>
      </c>
      <c r="X22" s="30">
        <f>'[2]Com Forecast (Base Case)'!BC178</f>
        <v>4.137725578117939</v>
      </c>
      <c r="Y22" s="32"/>
    </row>
    <row r="23" spans="2:25">
      <c r="B23" s="18" t="s">
        <v>157</v>
      </c>
      <c r="C23" s="18" t="s">
        <v>158</v>
      </c>
      <c r="E23" s="30">
        <f>'[2]Com Forecast (Base Case)'!AJ179</f>
        <v>0.30110367185511056</v>
      </c>
      <c r="F23" s="30">
        <f>'[2]Com Forecast (Base Case)'!AK179</f>
        <v>0.38924897939746522</v>
      </c>
      <c r="G23" s="30">
        <f>'[2]Com Forecast (Base Case)'!AL179</f>
        <v>0.34341311895347121</v>
      </c>
      <c r="H23" s="30">
        <f>'[2]Com Forecast (Base Case)'!AM179</f>
        <v>0.29927348040561341</v>
      </c>
      <c r="I23" s="30">
        <f>'[2]Com Forecast (Base Case)'!AN179</f>
        <v>0.29688874456634085</v>
      </c>
      <c r="J23" s="30">
        <f>'[2]Com Forecast (Base Case)'!AO179</f>
        <v>0.29379933994281465</v>
      </c>
      <c r="K23" s="30">
        <f>'[2]Com Forecast (Base Case)'!AP179</f>
        <v>0.29041766271303127</v>
      </c>
      <c r="L23" s="30">
        <f>'[2]Com Forecast (Base Case)'!AQ179</f>
        <v>0.28614144770449462</v>
      </c>
      <c r="M23" s="30">
        <f>'[2]Com Forecast (Base Case)'!AR179</f>
        <v>0.28163861967746157</v>
      </c>
      <c r="N23" s="30">
        <f>'[2]Com Forecast (Base Case)'!AS179</f>
        <v>0.27688800876616482</v>
      </c>
      <c r="O23" s="30">
        <f>'[2]Com Forecast (Base Case)'!AT179</f>
        <v>0.27357754310134663</v>
      </c>
      <c r="P23" s="30">
        <f>'[2]Com Forecast (Base Case)'!AU179</f>
        <v>0.27063184585003941</v>
      </c>
      <c r="Q23" s="30">
        <f>'[2]Com Forecast (Base Case)'!AV179</f>
        <v>0.26801411864303953</v>
      </c>
      <c r="R23" s="30">
        <f>'[2]Com Forecast (Base Case)'!AW179</f>
        <v>0.26660240614409092</v>
      </c>
      <c r="S23" s="30">
        <f>'[2]Com Forecast (Base Case)'!AX179</f>
        <v>0.25138198684402913</v>
      </c>
      <c r="T23" s="30">
        <f>'[2]Com Forecast (Base Case)'!AY179</f>
        <v>0.26455339135243683</v>
      </c>
      <c r="U23" s="30">
        <f>'[2]Com Forecast (Base Case)'!AZ179</f>
        <v>0.26299167309250365</v>
      </c>
      <c r="V23" s="30">
        <f>'[2]Com Forecast (Base Case)'!BA179</f>
        <v>0.26140909607327911</v>
      </c>
      <c r="W23" s="30">
        <f>'[2]Com Forecast (Base Case)'!BB179</f>
        <v>0.25947687815142023</v>
      </c>
      <c r="X23" s="30">
        <f>'[2]Com Forecast (Base Case)'!BC179</f>
        <v>0.25750619496776178</v>
      </c>
      <c r="Y23" s="32"/>
    </row>
    <row r="24" spans="2:25">
      <c r="B24" s="18" t="s">
        <v>159</v>
      </c>
      <c r="C24" s="18" t="s">
        <v>196</v>
      </c>
      <c r="E24" s="30">
        <f>'[2]Com Forecast (Base Case)'!AJ180</f>
        <v>0.1534457254274641</v>
      </c>
      <c r="F24" s="30">
        <f>'[2]Com Forecast (Base Case)'!AK180</f>
        <v>0.19765540078516197</v>
      </c>
      <c r="G24" s="30">
        <f>'[2]Com Forecast (Base Case)'!AL180</f>
        <v>0.18600542935034625</v>
      </c>
      <c r="H24" s="30">
        <f>'[2]Com Forecast (Base Case)'!AM180</f>
        <v>9.5760802585072302E-2</v>
      </c>
      <c r="I24" s="30">
        <f>'[2]Com Forecast (Base Case)'!AN180</f>
        <v>0.10062051473914659</v>
      </c>
      <c r="J24" s="30">
        <f>'[2]Com Forecast (Base Case)'!AO180</f>
        <v>8.5646792534183808E-2</v>
      </c>
      <c r="K24" s="30">
        <f>'[2]Com Forecast (Base Case)'!AP180</f>
        <v>6.5415041923045286E-2</v>
      </c>
      <c r="L24" s="30">
        <f>'[2]Com Forecast (Base Case)'!AQ180</f>
        <v>5.7242996146950373E-2</v>
      </c>
      <c r="M24" s="30">
        <f>'[2]Com Forecast (Base Case)'!AR180</f>
        <v>5.5087150941189433E-2</v>
      </c>
      <c r="N24" s="30">
        <f>'[2]Com Forecast (Base Case)'!AS180</f>
        <v>7.3916214299540497E-2</v>
      </c>
      <c r="O24" s="30">
        <f>'[2]Com Forecast (Base Case)'!AT180</f>
        <v>9.2056169088318471E-2</v>
      </c>
      <c r="P24" s="30">
        <f>'[2]Com Forecast (Base Case)'!AU180</f>
        <v>0.10393709432109566</v>
      </c>
      <c r="Q24" s="30">
        <f>'[2]Com Forecast (Base Case)'!AV180</f>
        <v>0.15172170448022598</v>
      </c>
      <c r="R24" s="30">
        <f>'[2]Com Forecast (Base Case)'!AW180</f>
        <v>0.15706997726929292</v>
      </c>
      <c r="S24" s="30">
        <f>'[2]Com Forecast (Base Case)'!AX180</f>
        <v>0.14510580631504899</v>
      </c>
      <c r="T24" s="30">
        <f>'[2]Com Forecast (Base Case)'!AY180</f>
        <v>0.15272706829792246</v>
      </c>
      <c r="U24" s="30">
        <f>'[2]Com Forecast (Base Case)'!AZ180</f>
        <v>0.14104647748606622</v>
      </c>
      <c r="V24" s="30">
        <f>'[2]Com Forecast (Base Case)'!BA180</f>
        <v>0.11700741064540764</v>
      </c>
      <c r="W24" s="30">
        <f>'[2]Com Forecast (Base Case)'!BB180</f>
        <v>0.1200067315077773</v>
      </c>
      <c r="X24" s="30">
        <f>'[2]Com Forecast (Base Case)'!BC180</f>
        <v>0.11457442878633581</v>
      </c>
      <c r="Y24" s="32"/>
    </row>
    <row r="25" spans="2:25">
      <c r="B25" s="18" t="s">
        <v>160</v>
      </c>
      <c r="C25" s="18" t="s">
        <v>161</v>
      </c>
      <c r="E25" s="30">
        <f>'[2]Com Forecast (Base Case)'!AJ181</f>
        <v>0.65647802514629705</v>
      </c>
      <c r="F25" s="30">
        <f>'[2]Com Forecast (Base Case)'!AK181</f>
        <v>0.46894871790011039</v>
      </c>
      <c r="G25" s="30">
        <f>'[2]Com Forecast (Base Case)'!AL181</f>
        <v>0.47387410836125871</v>
      </c>
      <c r="H25" s="30">
        <f>'[2]Com Forecast (Base Case)'!AM181</f>
        <v>0.45144590813821411</v>
      </c>
      <c r="I25" s="30">
        <f>'[2]Com Forecast (Base Case)'!AN181</f>
        <v>0.4505136151455652</v>
      </c>
      <c r="J25" s="30">
        <f>'[2]Com Forecast (Base Case)'!AO181</f>
        <v>0.44778046039172248</v>
      </c>
      <c r="K25" s="30">
        <f>'[2]Com Forecast (Base Case)'!AP181</f>
        <v>0.44523396067124349</v>
      </c>
      <c r="L25" s="30">
        <f>'[2]Com Forecast (Base Case)'!AQ181</f>
        <v>0.44273536313864043</v>
      </c>
      <c r="M25" s="30">
        <f>'[2]Com Forecast (Base Case)'!AR181</f>
        <v>0.4399078135546039</v>
      </c>
      <c r="N25" s="30">
        <f>'[2]Com Forecast (Base Case)'!AS181</f>
        <v>0.43708606600163591</v>
      </c>
      <c r="O25" s="30">
        <f>'[2]Com Forecast (Base Case)'!AT181</f>
        <v>0.43513915585550955</v>
      </c>
      <c r="P25" s="30">
        <f>'[2]Com Forecast (Base Case)'!AU181</f>
        <v>0.43580404899906589</v>
      </c>
      <c r="Q25" s="30">
        <f>'[2]Com Forecast (Base Case)'!AV181</f>
        <v>0.59161866303702282</v>
      </c>
      <c r="R25" s="30">
        <f>'[2]Com Forecast (Base Case)'!AW181</f>
        <v>0.66467702134516005</v>
      </c>
      <c r="S25" s="30">
        <f>'[2]Com Forecast (Base Case)'!AX181</f>
        <v>0.65353995366480533</v>
      </c>
      <c r="T25" s="30">
        <f>'[2]Com Forecast (Base Case)'!AY181</f>
        <v>0.676060915960916</v>
      </c>
      <c r="U25" s="30">
        <f>'[2]Com Forecast (Base Case)'!AZ181</f>
        <v>0.70559825286541389</v>
      </c>
      <c r="V25" s="30">
        <f>'[2]Com Forecast (Base Case)'!BA181</f>
        <v>0.63206878506691044</v>
      </c>
      <c r="W25" s="30">
        <f>'[2]Com Forecast (Base Case)'!BB181</f>
        <v>0.63726309269471215</v>
      </c>
      <c r="X25" s="30">
        <f>'[2]Com Forecast (Base Case)'!BC181</f>
        <v>0.5828366650853003</v>
      </c>
      <c r="Y25" s="32"/>
    </row>
    <row r="26" spans="2:25">
      <c r="B26" s="18" t="s">
        <v>162</v>
      </c>
      <c r="C26" s="18" t="s">
        <v>5</v>
      </c>
      <c r="E26" s="30">
        <f>'[2]Com Forecast (Base Case)'!AJ182</f>
        <v>1.4231904443967454</v>
      </c>
      <c r="F26" s="30">
        <f>'[2]Com Forecast (Base Case)'!AK182</f>
        <v>1.0326774321313152</v>
      </c>
      <c r="G26" s="30">
        <f>'[2]Com Forecast (Base Case)'!AL182</f>
        <v>1.0158776160943388</v>
      </c>
      <c r="H26" s="30">
        <f>'[2]Com Forecast (Base Case)'!AM182</f>
        <v>0.74304915446037911</v>
      </c>
      <c r="I26" s="30">
        <f>'[2]Com Forecast (Base Case)'!AN182</f>
        <v>0.76054102414226543</v>
      </c>
      <c r="J26" s="30">
        <f>'[2]Com Forecast (Base Case)'!AO182</f>
        <v>0.65616402459427536</v>
      </c>
      <c r="K26" s="30">
        <f>'[2]Com Forecast (Base Case)'!AP182</f>
        <v>0.62755023267601961</v>
      </c>
      <c r="L26" s="30">
        <f>'[2]Com Forecast (Base Case)'!AQ182</f>
        <v>0.61023293273354484</v>
      </c>
      <c r="M26" s="30">
        <f>'[2]Com Forecast (Base Case)'!AR182</f>
        <v>0.60571699788717037</v>
      </c>
      <c r="N26" s="30">
        <f>'[2]Com Forecast (Base Case)'!AS182</f>
        <v>0.65097903457434547</v>
      </c>
      <c r="O26" s="30">
        <f>'[2]Com Forecast (Base Case)'!AT182</f>
        <v>0.69319811486407867</v>
      </c>
      <c r="P26" s="30">
        <f>'[2]Com Forecast (Base Case)'!AU182</f>
        <v>0.78843795894088464</v>
      </c>
      <c r="Q26" s="30">
        <f>'[2]Com Forecast (Base Case)'!AV182</f>
        <v>1.3645659476947984</v>
      </c>
      <c r="R26" s="30">
        <f>'[2]Com Forecast (Base Case)'!AW182</f>
        <v>1.6032227373726178</v>
      </c>
      <c r="S26" s="30">
        <f>'[2]Com Forecast (Base Case)'!AX182</f>
        <v>1.6412696995684901</v>
      </c>
      <c r="T26" s="30">
        <f>'[2]Com Forecast (Base Case)'!AY182</f>
        <v>1.670283030615213</v>
      </c>
      <c r="U26" s="30">
        <f>'[2]Com Forecast (Base Case)'!AZ182</f>
        <v>1.755661848186447</v>
      </c>
      <c r="V26" s="30">
        <f>'[2]Com Forecast (Base Case)'!BA182</f>
        <v>1.4871375295645746</v>
      </c>
      <c r="W26" s="30">
        <f>'[2]Com Forecast (Base Case)'!BB182</f>
        <v>1.4400033906080374</v>
      </c>
      <c r="X26" s="30">
        <f>'[2]Com Forecast (Base Case)'!BC182</f>
        <v>1.3499648074414823</v>
      </c>
      <c r="Y26" s="32"/>
    </row>
    <row r="27" spans="2:25">
      <c r="B27" s="18" t="s">
        <v>163</v>
      </c>
      <c r="C27" s="18" t="s">
        <v>164</v>
      </c>
      <c r="E27" s="30">
        <f>'[2]Com Forecast (Base Case)'!AJ183</f>
        <v>2.9843729551074403</v>
      </c>
      <c r="F27" s="30">
        <f>'[2]Com Forecast (Base Case)'!AK183</f>
        <v>4.1336070304911159</v>
      </c>
      <c r="G27" s="30">
        <f>'[2]Com Forecast (Base Case)'!AL183</f>
        <v>3.5601449453189118</v>
      </c>
      <c r="H27" s="30">
        <f>'[2]Com Forecast (Base Case)'!AM183</f>
        <v>3.2007770264658664</v>
      </c>
      <c r="I27" s="30">
        <f>'[2]Com Forecast (Base Case)'!AN183</f>
        <v>2.6531465767673241</v>
      </c>
      <c r="J27" s="30">
        <f>'[2]Com Forecast (Base Case)'!AO183</f>
        <v>1.8730082465149496</v>
      </c>
      <c r="K27" s="30">
        <f>'[2]Com Forecast (Base Case)'!AP183</f>
        <v>1.6467285324389391</v>
      </c>
      <c r="L27" s="30">
        <f>'[2]Com Forecast (Base Case)'!AQ183</f>
        <v>1.5196240263467067</v>
      </c>
      <c r="M27" s="30">
        <f>'[2]Com Forecast (Base Case)'!AR183</f>
        <v>1.3328145698119136</v>
      </c>
      <c r="N27" s="30">
        <f>'[2]Com Forecast (Base Case)'!AS183</f>
        <v>1.3372342578617185</v>
      </c>
      <c r="O27" s="30">
        <f>'[2]Com Forecast (Base Case)'!AT183</f>
        <v>1.4086686461757902</v>
      </c>
      <c r="P27" s="30">
        <f>'[2]Com Forecast (Base Case)'!AU183</f>
        <v>1.6725933548501446</v>
      </c>
      <c r="Q27" s="30">
        <f>'[2]Com Forecast (Base Case)'!AV183</f>
        <v>2.0158466086985318</v>
      </c>
      <c r="R27" s="30">
        <f>'[2]Com Forecast (Base Case)'!AW183</f>
        <v>2.3033709594417431</v>
      </c>
      <c r="S27" s="30">
        <f>'[2]Com Forecast (Base Case)'!AX183</f>
        <v>2.063930246052466</v>
      </c>
      <c r="T27" s="30">
        <f>'[2]Com Forecast (Base Case)'!AY183</f>
        <v>1.9880083370090949</v>
      </c>
      <c r="U27" s="30">
        <f>'[2]Com Forecast (Base Case)'!AZ183</f>
        <v>1.9342270452860566</v>
      </c>
      <c r="V27" s="30">
        <f>'[2]Com Forecast (Base Case)'!BA183</f>
        <v>1.774507966199161</v>
      </c>
      <c r="W27" s="30">
        <f>'[2]Com Forecast (Base Case)'!BB183</f>
        <v>1.6723841845019074</v>
      </c>
      <c r="X27" s="30">
        <f>'[2]Com Forecast (Base Case)'!BC183</f>
        <v>1.5414284807799123</v>
      </c>
      <c r="Y27" s="32"/>
    </row>
    <row r="28" spans="2:25">
      <c r="B28" s="18" t="s">
        <v>165</v>
      </c>
      <c r="C28" s="54" t="s">
        <v>7</v>
      </c>
      <c r="E28" s="30">
        <f>'[2]Com Forecast (Base Case)'!AJ184</f>
        <v>2.9815730429100533</v>
      </c>
      <c r="F28" s="30">
        <f>'[2]Com Forecast (Base Case)'!AK184</f>
        <v>4.5029406937179912</v>
      </c>
      <c r="G28" s="30">
        <f>'[2]Com Forecast (Base Case)'!AL184</f>
        <v>4.0786070344439063</v>
      </c>
      <c r="H28" s="30">
        <f>'[2]Com Forecast (Base Case)'!AM184</f>
        <v>3.5919834720533679</v>
      </c>
      <c r="I28" s="30">
        <f>'[2]Com Forecast (Base Case)'!AN184</f>
        <v>3.0400934926407626</v>
      </c>
      <c r="J28" s="30">
        <f>'[2]Com Forecast (Base Case)'!AO184</f>
        <v>2.3018670718031324</v>
      </c>
      <c r="K28" s="30">
        <f>'[2]Com Forecast (Base Case)'!AP184</f>
        <v>2.1321468422073435</v>
      </c>
      <c r="L28" s="30">
        <f>'[2]Com Forecast (Base Case)'!AQ184</f>
        <v>1.9771504564110642</v>
      </c>
      <c r="M28" s="30">
        <f>'[2]Com Forecast (Base Case)'!AR184</f>
        <v>1.8096072137015302</v>
      </c>
      <c r="N28" s="30">
        <f>'[2]Com Forecast (Base Case)'!AS184</f>
        <v>1.9023478055732992</v>
      </c>
      <c r="O28" s="30">
        <f>'[2]Com Forecast (Base Case)'!AT184</f>
        <v>2.0129777404511922</v>
      </c>
      <c r="P28" s="30">
        <f>'[2]Com Forecast (Base Case)'!AU184</f>
        <v>2.304026079874093</v>
      </c>
      <c r="Q28" s="30">
        <f>'[2]Com Forecast (Base Case)'!AV184</f>
        <v>2.7992417645016405</v>
      </c>
      <c r="R28" s="30">
        <f>'[2]Com Forecast (Base Case)'!AW184</f>
        <v>3.0682339807477179</v>
      </c>
      <c r="S28" s="30">
        <f>'[2]Com Forecast (Base Case)'!AX184</f>
        <v>2.7441690138981158</v>
      </c>
      <c r="T28" s="30">
        <f>'[2]Com Forecast (Base Case)'!AY184</f>
        <v>2.8046561391012603</v>
      </c>
      <c r="U28" s="30">
        <f>'[2]Com Forecast (Base Case)'!AZ184</f>
        <v>2.7282838662201567</v>
      </c>
      <c r="V28" s="30">
        <f>'[2]Com Forecast (Base Case)'!BA184</f>
        <v>2.4959637785038216</v>
      </c>
      <c r="W28" s="30">
        <f>'[2]Com Forecast (Base Case)'!BB184</f>
        <v>2.4392052334479857</v>
      </c>
      <c r="X28" s="30">
        <f>'[2]Com Forecast (Base Case)'!BC184</f>
        <v>2.3386950979959957</v>
      </c>
      <c r="Y28" s="32"/>
    </row>
    <row r="29" spans="2:25">
      <c r="B29" s="18" t="s">
        <v>166</v>
      </c>
      <c r="C29" s="18" t="s">
        <v>3</v>
      </c>
      <c r="E29" s="30">
        <f>'[2]Com Forecast (Base Case)'!AJ185</f>
        <v>4.2644375966469603</v>
      </c>
      <c r="F29" s="30">
        <f>'[2]Com Forecast (Base Case)'!AK185</f>
        <v>3.1854829351393543</v>
      </c>
      <c r="G29" s="30">
        <f>'[2]Com Forecast (Base Case)'!AL185</f>
        <v>3.1699057451518957</v>
      </c>
      <c r="H29" s="30">
        <f>'[2]Com Forecast (Base Case)'!AM185</f>
        <v>2.2628528186826316</v>
      </c>
      <c r="I29" s="30">
        <f>'[2]Com Forecast (Base Case)'!AN185</f>
        <v>2.6023617076700645</v>
      </c>
      <c r="J29" s="30">
        <f>'[2]Com Forecast (Base Case)'!AO185</f>
        <v>2.2919684786454506</v>
      </c>
      <c r="K29" s="30">
        <f>'[2]Com Forecast (Base Case)'!AP185</f>
        <v>2.1556450092355899</v>
      </c>
      <c r="L29" s="30">
        <f>'[2]Com Forecast (Base Case)'!AQ185</f>
        <v>1.4820394508668711</v>
      </c>
      <c r="M29" s="30">
        <f>'[2]Com Forecast (Base Case)'!AR185</f>
        <v>1.5603361472368396</v>
      </c>
      <c r="N29" s="30">
        <f>'[2]Com Forecast (Base Case)'!AS185</f>
        <v>2.3546097038898557</v>
      </c>
      <c r="O29" s="30">
        <f>'[2]Com Forecast (Base Case)'!AT185</f>
        <v>3.2740386396924066</v>
      </c>
      <c r="P29" s="30">
        <f>'[2]Com Forecast (Base Case)'!AU185</f>
        <v>3.6241751874536021</v>
      </c>
      <c r="Q29" s="30">
        <f>'[2]Com Forecast (Base Case)'!AV185</f>
        <v>4.4420137300219826</v>
      </c>
      <c r="R29" s="30">
        <f>'[2]Com Forecast (Base Case)'!AW185</f>
        <v>5.8224273473135861</v>
      </c>
      <c r="S29" s="30">
        <f>'[2]Com Forecast (Base Case)'!AX185</f>
        <v>6.4604400946422142</v>
      </c>
      <c r="T29" s="30">
        <f>'[2]Com Forecast (Base Case)'!AY185</f>
        <v>6.9014803298142597</v>
      </c>
      <c r="U29" s="30">
        <f>'[2]Com Forecast (Base Case)'!AZ185</f>
        <v>6.748515751490312</v>
      </c>
      <c r="V29" s="30">
        <f>'[2]Com Forecast (Base Case)'!BA185</f>
        <v>6.4364694734288266</v>
      </c>
      <c r="W29" s="30">
        <f>'[2]Com Forecast (Base Case)'!BB185</f>
        <v>6.3053235195290611</v>
      </c>
      <c r="X29" s="30">
        <f>'[2]Com Forecast (Base Case)'!BC185</f>
        <v>6.2236620394663484</v>
      </c>
      <c r="Y29" s="32"/>
    </row>
    <row r="30" spans="2:25">
      <c r="B30" s="18" t="s">
        <v>167</v>
      </c>
      <c r="C30" s="18" t="s">
        <v>11</v>
      </c>
      <c r="E30" s="30">
        <f>'[2]Com Forecast (Base Case)'!AJ186</f>
        <v>9.3943869595092213</v>
      </c>
      <c r="F30" s="30">
        <f>'[2]Com Forecast (Base Case)'!AK186</f>
        <v>12.863107129152304</v>
      </c>
      <c r="G30" s="30">
        <f>'[2]Com Forecast (Base Case)'!AL186</f>
        <v>10.7220378193485</v>
      </c>
      <c r="H30" s="30">
        <f>'[2]Com Forecast (Base Case)'!AM186</f>
        <v>10.142128438066296</v>
      </c>
      <c r="I30" s="30">
        <f>'[2]Com Forecast (Base Case)'!AN186</f>
        <v>9.4611923499879236</v>
      </c>
      <c r="J30" s="30">
        <f>'[2]Com Forecast (Base Case)'!AO186</f>
        <v>7.3638556881373223</v>
      </c>
      <c r="K30" s="30">
        <f>'[2]Com Forecast (Base Case)'!AP186</f>
        <v>8.1591439254269407</v>
      </c>
      <c r="L30" s="30">
        <f>'[2]Com Forecast (Base Case)'!AQ186</f>
        <v>7.9603673258815011</v>
      </c>
      <c r="M30" s="30">
        <f>'[2]Com Forecast (Base Case)'!AR186</f>
        <v>8.6026166911432824</v>
      </c>
      <c r="N30" s="30">
        <f>'[2]Com Forecast (Base Case)'!AS186</f>
        <v>9.3207800366095146</v>
      </c>
      <c r="O30" s="30">
        <f>'[2]Com Forecast (Base Case)'!AT186</f>
        <v>9.0572786632714859</v>
      </c>
      <c r="P30" s="30">
        <f>'[2]Com Forecast (Base Case)'!AU186</f>
        <v>10.184423730877143</v>
      </c>
      <c r="Q30" s="30">
        <f>'[2]Com Forecast (Base Case)'!AV186</f>
        <v>10.787657533789663</v>
      </c>
      <c r="R30" s="30">
        <f>'[2]Com Forecast (Base Case)'!AW186</f>
        <v>11.005378574708409</v>
      </c>
      <c r="S30" s="30">
        <f>'[2]Com Forecast (Base Case)'!AX186</f>
        <v>10.267063981307951</v>
      </c>
      <c r="T30" s="30">
        <f>'[2]Com Forecast (Base Case)'!AY186</f>
        <v>11.027475862918971</v>
      </c>
      <c r="U30" s="30">
        <f>'[2]Com Forecast (Base Case)'!AZ186</f>
        <v>9.9609233822623686</v>
      </c>
      <c r="V30" s="30">
        <f>'[2]Com Forecast (Base Case)'!BA186</f>
        <v>10.340047869658916</v>
      </c>
      <c r="W30" s="30">
        <f>'[2]Com Forecast (Base Case)'!BB186</f>
        <v>9.8383849729989699</v>
      </c>
      <c r="X30" s="30">
        <f>'[2]Com Forecast (Base Case)'!BC186</f>
        <v>9.3282989614436094</v>
      </c>
      <c r="Y30" s="32"/>
    </row>
    <row r="31" spans="2:25">
      <c r="B31" s="190"/>
      <c r="E31" s="33">
        <f>SUM(E13:E30)</f>
        <v>49.563532910010281</v>
      </c>
      <c r="F31" s="33">
        <f t="shared" ref="F31:X31" si="3">SUM(F13:F30)</f>
        <v>57.114297126179473</v>
      </c>
      <c r="G31" s="33">
        <f t="shared" si="3"/>
        <v>49.358660888456697</v>
      </c>
      <c r="H31" s="33">
        <f t="shared" si="3"/>
        <v>42.883996361562694</v>
      </c>
      <c r="I31" s="33">
        <f t="shared" si="3"/>
        <v>42.769928168515861</v>
      </c>
      <c r="J31" s="33">
        <f t="shared" si="3"/>
        <v>36.559258837741957</v>
      </c>
      <c r="K31" s="33">
        <f t="shared" si="3"/>
        <v>33.347085593434706</v>
      </c>
      <c r="L31" s="33">
        <f t="shared" si="3"/>
        <v>36.515305616596898</v>
      </c>
      <c r="M31" s="33">
        <f t="shared" si="3"/>
        <v>36.312589546095708</v>
      </c>
      <c r="N31" s="33">
        <f t="shared" si="3"/>
        <v>39.06093852873046</v>
      </c>
      <c r="O31" s="33">
        <f t="shared" si="3"/>
        <v>41.721160397442901</v>
      </c>
      <c r="P31" s="33">
        <f t="shared" si="3"/>
        <v>44.358216248359909</v>
      </c>
      <c r="Q31" s="33">
        <f t="shared" si="3"/>
        <v>49.930477203838102</v>
      </c>
      <c r="R31" s="33">
        <f t="shared" si="3"/>
        <v>53.958732397486379</v>
      </c>
      <c r="S31" s="33">
        <f t="shared" si="3"/>
        <v>51.509803850235102</v>
      </c>
      <c r="T31" s="33">
        <f t="shared" si="3"/>
        <v>54.060467297337325</v>
      </c>
      <c r="U31" s="33">
        <f t="shared" si="3"/>
        <v>52.230061485014218</v>
      </c>
      <c r="V31" s="33">
        <f t="shared" si="3"/>
        <v>51.036230165113999</v>
      </c>
      <c r="W31" s="33">
        <f t="shared" si="3"/>
        <v>48.348219984944222</v>
      </c>
      <c r="X31" s="33">
        <f t="shared" si="3"/>
        <v>47.245952894616551</v>
      </c>
      <c r="Y31" s="34">
        <f>INDEX(E31:X31,1,MATCH($C$9,$E$11:$X$11,0))*$Y$35</f>
        <v>0</v>
      </c>
    </row>
    <row r="32" spans="2:25">
      <c r="E32" s="31"/>
      <c r="F32" s="31"/>
      <c r="G32" s="31"/>
      <c r="H32" s="31"/>
      <c r="I32" s="31"/>
      <c r="J32" s="31"/>
      <c r="K32" s="31"/>
      <c r="L32" s="31"/>
      <c r="M32" s="31"/>
      <c r="N32" s="31"/>
      <c r="O32" s="31"/>
      <c r="P32" s="31"/>
      <c r="Q32" s="31"/>
      <c r="R32" s="31"/>
      <c r="S32" s="31"/>
      <c r="T32" s="31"/>
      <c r="U32" s="31"/>
      <c r="V32" s="31"/>
      <c r="W32" s="31"/>
      <c r="X32" s="31"/>
      <c r="Y32" s="32"/>
    </row>
    <row r="33" spans="1:72">
      <c r="E33" s="31"/>
      <c r="F33" s="31"/>
      <c r="G33" s="31"/>
      <c r="H33" s="31"/>
      <c r="I33" s="31"/>
      <c r="J33" s="31"/>
      <c r="K33" s="31"/>
      <c r="L33" s="31"/>
      <c r="M33" s="31"/>
      <c r="N33" s="31"/>
      <c r="O33" s="31"/>
      <c r="P33" s="31"/>
      <c r="Q33" s="31"/>
      <c r="R33" s="31"/>
      <c r="S33" s="31"/>
      <c r="T33" s="31"/>
      <c r="U33" s="31"/>
      <c r="V33" s="31"/>
      <c r="W33" s="31"/>
      <c r="X33" s="31"/>
    </row>
    <row r="34" spans="1:72">
      <c r="A34" s="27" t="s">
        <v>39</v>
      </c>
      <c r="B34" s="27"/>
      <c r="C34" s="27"/>
      <c r="D34" s="47" t="s">
        <v>895</v>
      </c>
      <c r="E34" s="27">
        <f>E11</f>
        <v>2016</v>
      </c>
      <c r="F34" s="27">
        <f t="shared" ref="F34:X34" si="4">F11</f>
        <v>2017</v>
      </c>
      <c r="G34" s="27">
        <f t="shared" si="4"/>
        <v>2018</v>
      </c>
      <c r="H34" s="27">
        <f t="shared" si="4"/>
        <v>2019</v>
      </c>
      <c r="I34" s="27">
        <f t="shared" si="4"/>
        <v>2020</v>
      </c>
      <c r="J34" s="27">
        <f t="shared" si="4"/>
        <v>2021</v>
      </c>
      <c r="K34" s="27">
        <f t="shared" si="4"/>
        <v>2022</v>
      </c>
      <c r="L34" s="27">
        <f t="shared" si="4"/>
        <v>2023</v>
      </c>
      <c r="M34" s="27">
        <f t="shared" si="4"/>
        <v>2024</v>
      </c>
      <c r="N34" s="27">
        <f t="shared" si="4"/>
        <v>2025</v>
      </c>
      <c r="O34" s="27">
        <f t="shared" si="4"/>
        <v>2026</v>
      </c>
      <c r="P34" s="27">
        <f t="shared" si="4"/>
        <v>2027</v>
      </c>
      <c r="Q34" s="27">
        <f t="shared" si="4"/>
        <v>2028</v>
      </c>
      <c r="R34" s="27">
        <f t="shared" si="4"/>
        <v>2029</v>
      </c>
      <c r="S34" s="27">
        <f t="shared" si="4"/>
        <v>2030</v>
      </c>
      <c r="T34" s="27">
        <f t="shared" si="4"/>
        <v>2031</v>
      </c>
      <c r="U34" s="27">
        <f t="shared" si="4"/>
        <v>2032</v>
      </c>
      <c r="V34" s="27">
        <f t="shared" si="4"/>
        <v>2033</v>
      </c>
      <c r="W34" s="27">
        <f t="shared" si="4"/>
        <v>2034</v>
      </c>
      <c r="X34" s="27">
        <f t="shared" si="4"/>
        <v>2035</v>
      </c>
      <c r="Y34" s="191">
        <v>0</v>
      </c>
    </row>
    <row r="35" spans="1:72">
      <c r="A35" s="27" t="s">
        <v>40</v>
      </c>
      <c r="B35" s="27"/>
      <c r="C35" s="27" t="str">
        <f>C8</f>
        <v>Commercial EM-New</v>
      </c>
      <c r="D35" s="47" t="str">
        <f>VLOOKUP(C35,[1]ACHIEV!$B$13:$C$95,2,FALSE)</f>
        <v>LO1Slow</v>
      </c>
      <c r="E35" s="35">
        <f>VLOOKUP($C$35,[1]!ACHIEV,MATCH(E$11,$E$11:$X$11,0)+2,FALSE)</f>
        <v>2.5643970768378654E-3</v>
      </c>
      <c r="F35" s="35">
        <f>VLOOKUP($C$35,[1]!ACHIEV,MATCH(F$11,$E$11:$X$11,0)+2,FALSE)</f>
        <v>7.6904586297764643E-3</v>
      </c>
      <c r="G35" s="35">
        <f>VLOOKUP($C$35,[1]!ACHIEV,MATCH(G$11,$E$11:$X$11,0)+2,FALSE)</f>
        <v>1.6792013047419844E-2</v>
      </c>
      <c r="H35" s="35">
        <f>VLOOKUP($C$35,[1]!ACHIEV,MATCH(H$11,$E$11:$X$11,0)+2,FALSE)</f>
        <v>3.15969387774655E-2</v>
      </c>
      <c r="I35" s="35">
        <f>VLOOKUP($C$35,[1]!ACHIEV,MATCH(I$11,$E$11:$X$11,0)+2,FALSE)</f>
        <v>5.406874819795171E-2</v>
      </c>
      <c r="J35" s="35">
        <f>VLOOKUP($C$35,[1]!ACHIEV,MATCH(J$11,$E$11:$X$11,0)+2,FALSE)</f>
        <v>8.6253181011834101E-2</v>
      </c>
      <c r="K35" s="35">
        <f>VLOOKUP($C$35,[1]!ACHIEV,MATCH(K$11,$E$11:$X$11,0)+2,FALSE)</f>
        <v>0.1300328481838382</v>
      </c>
      <c r="L35" s="35">
        <f>VLOOKUP($C$35,[1]!ACHIEV,MATCH(L$11,$E$11:$X$11,0)+2,FALSE)</f>
        <v>0.18678710893858319</v>
      </c>
      <c r="M35" s="35">
        <f>VLOOKUP($C$35,[1]!ACHIEV,MATCH(M$11,$E$11:$X$11,0)+2,FALSE)</f>
        <v>0.2569823480072907</v>
      </c>
      <c r="N35" s="35">
        <f>VLOOKUP($C$35,[1]!ACHIEV,MATCH(N$11,$E$11:$X$11,0)+2,FALSE)</f>
        <v>0.33975920985004748</v>
      </c>
      <c r="O35" s="35">
        <f>VLOOKUP($C$35,[1]!ACHIEV,MATCH(O$11,$E$11:$X$11,0)+2,FALSE)</f>
        <v>0.43262946935754232</v>
      </c>
      <c r="P35" s="35">
        <f>VLOOKUP($C$35,[1]!ACHIEV,MATCH(P$11,$E$11:$X$11,0)+2,FALSE)</f>
        <v>0.53142594003645804</v>
      </c>
      <c r="Q35" s="35">
        <f>VLOOKUP($C$35,[1]!ACHIEV,MATCH(Q$11,$E$11:$X$11,0)+2,FALSE)</f>
        <v>0.63063487292644704</v>
      </c>
      <c r="R35" s="35">
        <f>VLOOKUP($C$35,[1]!ACHIEV,MATCH(R$11,$E$11:$X$11,0)+2,FALSE)</f>
        <v>0.7241560234206913</v>
      </c>
      <c r="S35" s="35">
        <f>VLOOKUP($C$35,[1]!ACHIEV,MATCH(S$11,$E$11:$X$11,0)+2,FALSE)</f>
        <v>0.80638203131755359</v>
      </c>
      <c r="T35" s="35">
        <f>VLOOKUP($C$35,[1]!ACHIEV,MATCH(T$11,$E$11:$X$11,0)+2,FALSE)</f>
        <v>0.87331559734491926</v>
      </c>
      <c r="U35" s="35">
        <f>VLOOKUP($C$35,[1]!ACHIEV,MATCH(U$11,$E$11:$X$11,0)+2,FALSE)</f>
        <v>0.92334516248836807</v>
      </c>
      <c r="V35" s="35">
        <f>VLOOKUP($C$35,[1]!ACHIEV,MATCH(V$11,$E$11:$X$11,0)+2,FALSE)</f>
        <v>0.95737002770730018</v>
      </c>
      <c r="W35" s="35">
        <f>VLOOKUP($C$35,[1]!ACHIEV,MATCH(W$11,$E$11:$X$11,0)+2,FALSE)</f>
        <v>0.97821608704807483</v>
      </c>
      <c r="X35" s="35">
        <f>VLOOKUP($C$35,[1]!ACHIEV,MATCH(X$11,$E$11:$X$11,0)+2,FALSE)</f>
        <v>0.98821608704807484</v>
      </c>
      <c r="Y35" s="17"/>
    </row>
    <row r="36" spans="1:72">
      <c r="B36" s="300">
        <f>VLOOKUP($C$35,[1]!APPLIC,MATCH(C36,BLDGTYP,0)+1,FALSE)</f>
        <v>1</v>
      </c>
      <c r="C36" s="18" t="str">
        <f>C13</f>
        <v>Large Off</v>
      </c>
      <c r="E36" s="33">
        <f>E13*E$35*$Y$34</f>
        <v>0</v>
      </c>
      <c r="F36" s="33">
        <f t="shared" ref="F36:X36" si="5">F13*F$35*$Y$34</f>
        <v>0</v>
      </c>
      <c r="G36" s="33">
        <f t="shared" si="5"/>
        <v>0</v>
      </c>
      <c r="H36" s="33">
        <f t="shared" si="5"/>
        <v>0</v>
      </c>
      <c r="I36" s="33">
        <f t="shared" si="5"/>
        <v>0</v>
      </c>
      <c r="J36" s="33">
        <f t="shared" si="5"/>
        <v>0</v>
      </c>
      <c r="K36" s="33">
        <f t="shared" si="5"/>
        <v>0</v>
      </c>
      <c r="L36" s="33">
        <f t="shared" si="5"/>
        <v>0</v>
      </c>
      <c r="M36" s="33">
        <f t="shared" si="5"/>
        <v>0</v>
      </c>
      <c r="N36" s="33">
        <f t="shared" si="5"/>
        <v>0</v>
      </c>
      <c r="O36" s="33">
        <f t="shared" si="5"/>
        <v>0</v>
      </c>
      <c r="P36" s="33">
        <f t="shared" si="5"/>
        <v>0</v>
      </c>
      <c r="Q36" s="33">
        <f t="shared" si="5"/>
        <v>0</v>
      </c>
      <c r="R36" s="33">
        <f t="shared" si="5"/>
        <v>0</v>
      </c>
      <c r="S36" s="33">
        <f t="shared" si="5"/>
        <v>0</v>
      </c>
      <c r="T36" s="33">
        <f t="shared" si="5"/>
        <v>0</v>
      </c>
      <c r="U36" s="33">
        <f t="shared" si="5"/>
        <v>0</v>
      </c>
      <c r="V36" s="33">
        <f t="shared" si="5"/>
        <v>0</v>
      </c>
      <c r="W36" s="33">
        <f t="shared" si="5"/>
        <v>0</v>
      </c>
      <c r="X36" s="33">
        <f t="shared" si="5"/>
        <v>0</v>
      </c>
      <c r="Y36" s="36">
        <f>X13*$Y$34</f>
        <v>0</v>
      </c>
    </row>
    <row r="37" spans="1:72">
      <c r="B37" s="300">
        <f>VLOOKUP($C$35,[1]!APPLIC,MATCH(C37,BLDGTYP,0)+1,FALSE)</f>
        <v>1</v>
      </c>
      <c r="C37" s="18" t="str">
        <f t="shared" ref="C37:C53" si="6">C14</f>
        <v>Medium Off</v>
      </c>
      <c r="E37" s="33">
        <f t="shared" ref="E37:X49" si="7">E14*E$35*$Y$34</f>
        <v>0</v>
      </c>
      <c r="F37" s="33">
        <f t="shared" si="7"/>
        <v>0</v>
      </c>
      <c r="G37" s="33">
        <f t="shared" si="7"/>
        <v>0</v>
      </c>
      <c r="H37" s="33">
        <f t="shared" si="7"/>
        <v>0</v>
      </c>
      <c r="I37" s="33">
        <f t="shared" si="7"/>
        <v>0</v>
      </c>
      <c r="J37" s="33">
        <f t="shared" si="7"/>
        <v>0</v>
      </c>
      <c r="K37" s="33">
        <f t="shared" si="7"/>
        <v>0</v>
      </c>
      <c r="L37" s="33">
        <f t="shared" si="7"/>
        <v>0</v>
      </c>
      <c r="M37" s="33">
        <f t="shared" si="7"/>
        <v>0</v>
      </c>
      <c r="N37" s="33">
        <f t="shared" si="7"/>
        <v>0</v>
      </c>
      <c r="O37" s="33">
        <f t="shared" si="7"/>
        <v>0</v>
      </c>
      <c r="P37" s="33">
        <f t="shared" si="7"/>
        <v>0</v>
      </c>
      <c r="Q37" s="33">
        <f t="shared" si="7"/>
        <v>0</v>
      </c>
      <c r="R37" s="33">
        <f t="shared" si="7"/>
        <v>0</v>
      </c>
      <c r="S37" s="33">
        <f t="shared" si="7"/>
        <v>0</v>
      </c>
      <c r="T37" s="33">
        <f t="shared" si="7"/>
        <v>0</v>
      </c>
      <c r="U37" s="33">
        <f t="shared" si="7"/>
        <v>0</v>
      </c>
      <c r="V37" s="33">
        <f t="shared" si="7"/>
        <v>0</v>
      </c>
      <c r="W37" s="33">
        <f t="shared" si="7"/>
        <v>0</v>
      </c>
      <c r="X37" s="33">
        <f t="shared" si="7"/>
        <v>0</v>
      </c>
      <c r="Y37" s="36">
        <f t="shared" ref="Y37:Y53" si="8">X14*$Y$34</f>
        <v>0</v>
      </c>
    </row>
    <row r="38" spans="1:72">
      <c r="B38" s="300">
        <f>VLOOKUP($C$35,[1]!APPLIC,MATCH(C38,BLDGTYP,0)+1,FALSE)</f>
        <v>1</v>
      </c>
      <c r="C38" s="18" t="str">
        <f t="shared" si="6"/>
        <v>Small Off</v>
      </c>
      <c r="E38" s="33">
        <f t="shared" si="7"/>
        <v>0</v>
      </c>
      <c r="F38" s="33">
        <f t="shared" si="7"/>
        <v>0</v>
      </c>
      <c r="G38" s="33">
        <f t="shared" si="7"/>
        <v>0</v>
      </c>
      <c r="H38" s="33">
        <f t="shared" si="7"/>
        <v>0</v>
      </c>
      <c r="I38" s="33">
        <f t="shared" si="7"/>
        <v>0</v>
      </c>
      <c r="J38" s="33">
        <f t="shared" si="7"/>
        <v>0</v>
      </c>
      <c r="K38" s="33">
        <f t="shared" si="7"/>
        <v>0</v>
      </c>
      <c r="L38" s="33">
        <f t="shared" si="7"/>
        <v>0</v>
      </c>
      <c r="M38" s="33">
        <f t="shared" si="7"/>
        <v>0</v>
      </c>
      <c r="N38" s="33">
        <f t="shared" si="7"/>
        <v>0</v>
      </c>
      <c r="O38" s="33">
        <f t="shared" si="7"/>
        <v>0</v>
      </c>
      <c r="P38" s="33">
        <f t="shared" si="7"/>
        <v>0</v>
      </c>
      <c r="Q38" s="33">
        <f t="shared" si="7"/>
        <v>0</v>
      </c>
      <c r="R38" s="33">
        <f t="shared" si="7"/>
        <v>0</v>
      </c>
      <c r="S38" s="33">
        <f t="shared" si="7"/>
        <v>0</v>
      </c>
      <c r="T38" s="33">
        <f t="shared" si="7"/>
        <v>0</v>
      </c>
      <c r="U38" s="33">
        <f t="shared" si="7"/>
        <v>0</v>
      </c>
      <c r="V38" s="33">
        <f t="shared" si="7"/>
        <v>0</v>
      </c>
      <c r="W38" s="33">
        <f t="shared" si="7"/>
        <v>0</v>
      </c>
      <c r="X38" s="33">
        <f t="shared" si="7"/>
        <v>0</v>
      </c>
      <c r="Y38" s="36">
        <f t="shared" si="8"/>
        <v>0</v>
      </c>
    </row>
    <row r="39" spans="1:72">
      <c r="B39" s="300">
        <f>VLOOKUP($C$35,[1]!APPLIC,MATCH(C39,BLDGTYP,0)+1,FALSE)</f>
        <v>1</v>
      </c>
      <c r="C39" s="18" t="str">
        <f t="shared" si="6"/>
        <v>XLarge Ret</v>
      </c>
      <c r="E39" s="33">
        <f t="shared" si="7"/>
        <v>0</v>
      </c>
      <c r="F39" s="33">
        <f t="shared" si="7"/>
        <v>0</v>
      </c>
      <c r="G39" s="33">
        <f t="shared" si="7"/>
        <v>0</v>
      </c>
      <c r="H39" s="33">
        <f t="shared" si="7"/>
        <v>0</v>
      </c>
      <c r="I39" s="33">
        <f t="shared" si="7"/>
        <v>0</v>
      </c>
      <c r="J39" s="33">
        <f t="shared" si="7"/>
        <v>0</v>
      </c>
      <c r="K39" s="33">
        <f t="shared" si="7"/>
        <v>0</v>
      </c>
      <c r="L39" s="33">
        <f t="shared" si="7"/>
        <v>0</v>
      </c>
      <c r="M39" s="33">
        <f t="shared" si="7"/>
        <v>0</v>
      </c>
      <c r="N39" s="33">
        <f t="shared" si="7"/>
        <v>0</v>
      </c>
      <c r="O39" s="33">
        <f t="shared" si="7"/>
        <v>0</v>
      </c>
      <c r="P39" s="33">
        <f t="shared" si="7"/>
        <v>0</v>
      </c>
      <c r="Q39" s="33">
        <f t="shared" si="7"/>
        <v>0</v>
      </c>
      <c r="R39" s="33">
        <f t="shared" si="7"/>
        <v>0</v>
      </c>
      <c r="S39" s="33">
        <f t="shared" si="7"/>
        <v>0</v>
      </c>
      <c r="T39" s="33">
        <f t="shared" si="7"/>
        <v>0</v>
      </c>
      <c r="U39" s="33">
        <f t="shared" si="7"/>
        <v>0</v>
      </c>
      <c r="V39" s="33">
        <f t="shared" si="7"/>
        <v>0</v>
      </c>
      <c r="W39" s="33">
        <f t="shared" si="7"/>
        <v>0</v>
      </c>
      <c r="X39" s="33">
        <f t="shared" si="7"/>
        <v>0</v>
      </c>
      <c r="Y39" s="36">
        <f t="shared" si="8"/>
        <v>0</v>
      </c>
    </row>
    <row r="40" spans="1:72">
      <c r="B40" s="300">
        <f>VLOOKUP($C$35,[1]!APPLIC,MATCH(C40,BLDGTYP,0)+1,FALSE)</f>
        <v>1</v>
      </c>
      <c r="C40" s="18" t="str">
        <f t="shared" si="6"/>
        <v>Large Ret</v>
      </c>
      <c r="E40" s="33">
        <f t="shared" si="7"/>
        <v>0</v>
      </c>
      <c r="F40" s="33">
        <f t="shared" si="7"/>
        <v>0</v>
      </c>
      <c r="G40" s="33">
        <f t="shared" si="7"/>
        <v>0</v>
      </c>
      <c r="H40" s="33">
        <f t="shared" si="7"/>
        <v>0</v>
      </c>
      <c r="I40" s="33">
        <f t="shared" si="7"/>
        <v>0</v>
      </c>
      <c r="J40" s="33">
        <f t="shared" si="7"/>
        <v>0</v>
      </c>
      <c r="K40" s="33">
        <f t="shared" si="7"/>
        <v>0</v>
      </c>
      <c r="L40" s="33">
        <f t="shared" si="7"/>
        <v>0</v>
      </c>
      <c r="M40" s="33">
        <f t="shared" si="7"/>
        <v>0</v>
      </c>
      <c r="N40" s="33">
        <f t="shared" si="7"/>
        <v>0</v>
      </c>
      <c r="O40" s="33">
        <f t="shared" si="7"/>
        <v>0</v>
      </c>
      <c r="P40" s="33">
        <f t="shared" si="7"/>
        <v>0</v>
      </c>
      <c r="Q40" s="33">
        <f t="shared" si="7"/>
        <v>0</v>
      </c>
      <c r="R40" s="33">
        <f t="shared" si="7"/>
        <v>0</v>
      </c>
      <c r="S40" s="33">
        <f t="shared" si="7"/>
        <v>0</v>
      </c>
      <c r="T40" s="33">
        <f t="shared" si="7"/>
        <v>0</v>
      </c>
      <c r="U40" s="33">
        <f t="shared" si="7"/>
        <v>0</v>
      </c>
      <c r="V40" s="33">
        <f t="shared" si="7"/>
        <v>0</v>
      </c>
      <c r="W40" s="33">
        <f t="shared" si="7"/>
        <v>0</v>
      </c>
      <c r="X40" s="33">
        <f t="shared" si="7"/>
        <v>0</v>
      </c>
      <c r="Y40" s="36">
        <f t="shared" si="8"/>
        <v>0</v>
      </c>
    </row>
    <row r="41" spans="1:72">
      <c r="B41" s="300">
        <f>VLOOKUP($C$35,[1]!APPLIC,MATCH(C41,BLDGTYP,0)+1,FALSE)</f>
        <v>1</v>
      </c>
      <c r="C41" s="18" t="str">
        <f t="shared" si="6"/>
        <v>Medium Ret</v>
      </c>
      <c r="E41" s="33">
        <f t="shared" si="7"/>
        <v>0</v>
      </c>
      <c r="F41" s="33">
        <f t="shared" si="7"/>
        <v>0</v>
      </c>
      <c r="G41" s="33">
        <f t="shared" si="7"/>
        <v>0</v>
      </c>
      <c r="H41" s="33">
        <f t="shared" si="7"/>
        <v>0</v>
      </c>
      <c r="I41" s="33">
        <f t="shared" si="7"/>
        <v>0</v>
      </c>
      <c r="J41" s="33">
        <f t="shared" si="7"/>
        <v>0</v>
      </c>
      <c r="K41" s="33">
        <f t="shared" si="7"/>
        <v>0</v>
      </c>
      <c r="L41" s="33">
        <f t="shared" si="7"/>
        <v>0</v>
      </c>
      <c r="M41" s="33">
        <f t="shared" si="7"/>
        <v>0</v>
      </c>
      <c r="N41" s="33">
        <f t="shared" si="7"/>
        <v>0</v>
      </c>
      <c r="O41" s="33">
        <f t="shared" si="7"/>
        <v>0</v>
      </c>
      <c r="P41" s="33">
        <f t="shared" si="7"/>
        <v>0</v>
      </c>
      <c r="Q41" s="33">
        <f t="shared" si="7"/>
        <v>0</v>
      </c>
      <c r="R41" s="33">
        <f t="shared" si="7"/>
        <v>0</v>
      </c>
      <c r="S41" s="33">
        <f t="shared" si="7"/>
        <v>0</v>
      </c>
      <c r="T41" s="33">
        <f t="shared" si="7"/>
        <v>0</v>
      </c>
      <c r="U41" s="33">
        <f t="shared" si="7"/>
        <v>0</v>
      </c>
      <c r="V41" s="33">
        <f t="shared" si="7"/>
        <v>0</v>
      </c>
      <c r="W41" s="33">
        <f t="shared" si="7"/>
        <v>0</v>
      </c>
      <c r="X41" s="33">
        <f t="shared" si="7"/>
        <v>0</v>
      </c>
      <c r="Y41" s="36">
        <f t="shared" si="8"/>
        <v>0</v>
      </c>
    </row>
    <row r="42" spans="1:72">
      <c r="B42" s="300">
        <f>VLOOKUP($C$35,[1]!APPLIC,MATCH(C42,BLDGTYP,0)+1,FALSE)</f>
        <v>1</v>
      </c>
      <c r="C42" s="18" t="str">
        <f t="shared" si="6"/>
        <v>Small Ret</v>
      </c>
      <c r="E42" s="33">
        <f t="shared" si="7"/>
        <v>0</v>
      </c>
      <c r="F42" s="33">
        <f t="shared" si="7"/>
        <v>0</v>
      </c>
      <c r="G42" s="33">
        <f t="shared" si="7"/>
        <v>0</v>
      </c>
      <c r="H42" s="33">
        <f t="shared" si="7"/>
        <v>0</v>
      </c>
      <c r="I42" s="33">
        <f t="shared" si="7"/>
        <v>0</v>
      </c>
      <c r="J42" s="33">
        <f t="shared" si="7"/>
        <v>0</v>
      </c>
      <c r="K42" s="33">
        <f t="shared" si="7"/>
        <v>0</v>
      </c>
      <c r="L42" s="33">
        <f t="shared" si="7"/>
        <v>0</v>
      </c>
      <c r="M42" s="33">
        <f t="shared" si="7"/>
        <v>0</v>
      </c>
      <c r="N42" s="33">
        <f t="shared" si="7"/>
        <v>0</v>
      </c>
      <c r="O42" s="33">
        <f t="shared" si="7"/>
        <v>0</v>
      </c>
      <c r="P42" s="33">
        <f t="shared" si="7"/>
        <v>0</v>
      </c>
      <c r="Q42" s="33">
        <f t="shared" si="7"/>
        <v>0</v>
      </c>
      <c r="R42" s="33">
        <f t="shared" si="7"/>
        <v>0</v>
      </c>
      <c r="S42" s="33">
        <f t="shared" si="7"/>
        <v>0</v>
      </c>
      <c r="T42" s="33">
        <f t="shared" si="7"/>
        <v>0</v>
      </c>
      <c r="U42" s="33">
        <f t="shared" si="7"/>
        <v>0</v>
      </c>
      <c r="V42" s="33">
        <f t="shared" si="7"/>
        <v>0</v>
      </c>
      <c r="W42" s="33">
        <f t="shared" si="7"/>
        <v>0</v>
      </c>
      <c r="X42" s="33">
        <f t="shared" si="7"/>
        <v>0</v>
      </c>
      <c r="Y42" s="36">
        <f t="shared" si="8"/>
        <v>0</v>
      </c>
    </row>
    <row r="43" spans="1:72">
      <c r="B43" s="300">
        <f>VLOOKUP($C$35,[1]!APPLIC,MATCH(C43,BLDGTYP,0)+1,FALSE)</f>
        <v>1</v>
      </c>
      <c r="C43" s="18" t="str">
        <f t="shared" si="6"/>
        <v>School K-12</v>
      </c>
      <c r="E43" s="33">
        <f t="shared" si="7"/>
        <v>0</v>
      </c>
      <c r="F43" s="33">
        <f t="shared" si="7"/>
        <v>0</v>
      </c>
      <c r="G43" s="33">
        <f t="shared" si="7"/>
        <v>0</v>
      </c>
      <c r="H43" s="33">
        <f t="shared" si="7"/>
        <v>0</v>
      </c>
      <c r="I43" s="33">
        <f t="shared" si="7"/>
        <v>0</v>
      </c>
      <c r="J43" s="33">
        <f t="shared" si="7"/>
        <v>0</v>
      </c>
      <c r="K43" s="33">
        <f t="shared" si="7"/>
        <v>0</v>
      </c>
      <c r="L43" s="33">
        <f t="shared" si="7"/>
        <v>0</v>
      </c>
      <c r="M43" s="33">
        <f t="shared" si="7"/>
        <v>0</v>
      </c>
      <c r="N43" s="33">
        <f t="shared" si="7"/>
        <v>0</v>
      </c>
      <c r="O43" s="33">
        <f t="shared" si="7"/>
        <v>0</v>
      </c>
      <c r="P43" s="33">
        <f t="shared" si="7"/>
        <v>0</v>
      </c>
      <c r="Q43" s="33">
        <f t="shared" si="7"/>
        <v>0</v>
      </c>
      <c r="R43" s="33">
        <f t="shared" si="7"/>
        <v>0</v>
      </c>
      <c r="S43" s="33">
        <f t="shared" si="7"/>
        <v>0</v>
      </c>
      <c r="T43" s="33">
        <f t="shared" si="7"/>
        <v>0</v>
      </c>
      <c r="U43" s="33">
        <f t="shared" si="7"/>
        <v>0</v>
      </c>
      <c r="V43" s="33">
        <f t="shared" si="7"/>
        <v>0</v>
      </c>
      <c r="W43" s="33">
        <f t="shared" si="7"/>
        <v>0</v>
      </c>
      <c r="X43" s="33">
        <f t="shared" si="7"/>
        <v>0</v>
      </c>
      <c r="Y43" s="36">
        <f t="shared" si="8"/>
        <v>0</v>
      </c>
    </row>
    <row r="44" spans="1:72">
      <c r="B44" s="300">
        <f>VLOOKUP($C$35,[1]!APPLIC,MATCH(C44,BLDGTYP,0)+1,FALSE)</f>
        <v>1</v>
      </c>
      <c r="C44" s="18" t="str">
        <f t="shared" si="6"/>
        <v>University</v>
      </c>
      <c r="E44" s="33">
        <f t="shared" si="7"/>
        <v>0</v>
      </c>
      <c r="F44" s="33">
        <f t="shared" si="7"/>
        <v>0</v>
      </c>
      <c r="G44" s="33">
        <f t="shared" si="7"/>
        <v>0</v>
      </c>
      <c r="H44" s="33">
        <f t="shared" si="7"/>
        <v>0</v>
      </c>
      <c r="I44" s="33">
        <f t="shared" si="7"/>
        <v>0</v>
      </c>
      <c r="J44" s="33">
        <f t="shared" si="7"/>
        <v>0</v>
      </c>
      <c r="K44" s="33">
        <f t="shared" si="7"/>
        <v>0</v>
      </c>
      <c r="L44" s="33">
        <f t="shared" si="7"/>
        <v>0</v>
      </c>
      <c r="M44" s="33">
        <f t="shared" si="7"/>
        <v>0</v>
      </c>
      <c r="N44" s="33">
        <f t="shared" si="7"/>
        <v>0</v>
      </c>
      <c r="O44" s="33">
        <f t="shared" si="7"/>
        <v>0</v>
      </c>
      <c r="P44" s="33">
        <f t="shared" si="7"/>
        <v>0</v>
      </c>
      <c r="Q44" s="33">
        <f t="shared" si="7"/>
        <v>0</v>
      </c>
      <c r="R44" s="33">
        <f t="shared" si="7"/>
        <v>0</v>
      </c>
      <c r="S44" s="33">
        <f t="shared" si="7"/>
        <v>0</v>
      </c>
      <c r="T44" s="33">
        <f t="shared" si="7"/>
        <v>0</v>
      </c>
      <c r="U44" s="33">
        <f t="shared" si="7"/>
        <v>0</v>
      </c>
      <c r="V44" s="33">
        <f t="shared" si="7"/>
        <v>0</v>
      </c>
      <c r="W44" s="33">
        <f t="shared" si="7"/>
        <v>0</v>
      </c>
      <c r="X44" s="33">
        <f t="shared" si="7"/>
        <v>0</v>
      </c>
      <c r="Y44" s="36">
        <f t="shared" si="8"/>
        <v>0</v>
      </c>
    </row>
    <row r="45" spans="1:72">
      <c r="B45" s="300">
        <f>VLOOKUP($C$35,[1]!APPLIC,MATCH(C45,BLDGTYP,0)+1,FALSE)</f>
        <v>1</v>
      </c>
      <c r="C45" s="18" t="str">
        <f t="shared" si="6"/>
        <v>Warehouse</v>
      </c>
      <c r="E45" s="33">
        <f t="shared" si="7"/>
        <v>0</v>
      </c>
      <c r="F45" s="33">
        <f t="shared" si="7"/>
        <v>0</v>
      </c>
      <c r="G45" s="33">
        <f t="shared" si="7"/>
        <v>0</v>
      </c>
      <c r="H45" s="33">
        <f t="shared" si="7"/>
        <v>0</v>
      </c>
      <c r="I45" s="33">
        <f t="shared" si="7"/>
        <v>0</v>
      </c>
      <c r="J45" s="33">
        <f t="shared" si="7"/>
        <v>0</v>
      </c>
      <c r="K45" s="33">
        <f t="shared" si="7"/>
        <v>0</v>
      </c>
      <c r="L45" s="33">
        <f t="shared" si="7"/>
        <v>0</v>
      </c>
      <c r="M45" s="33">
        <f t="shared" si="7"/>
        <v>0</v>
      </c>
      <c r="N45" s="33">
        <f t="shared" si="7"/>
        <v>0</v>
      </c>
      <c r="O45" s="33">
        <f t="shared" si="7"/>
        <v>0</v>
      </c>
      <c r="P45" s="33">
        <f t="shared" si="7"/>
        <v>0</v>
      </c>
      <c r="Q45" s="33">
        <f t="shared" si="7"/>
        <v>0</v>
      </c>
      <c r="R45" s="33">
        <f t="shared" si="7"/>
        <v>0</v>
      </c>
      <c r="S45" s="33">
        <f t="shared" si="7"/>
        <v>0</v>
      </c>
      <c r="T45" s="33">
        <f t="shared" si="7"/>
        <v>0</v>
      </c>
      <c r="U45" s="33">
        <f t="shared" si="7"/>
        <v>0</v>
      </c>
      <c r="V45" s="33">
        <f t="shared" si="7"/>
        <v>0</v>
      </c>
      <c r="W45" s="33">
        <f t="shared" si="7"/>
        <v>0</v>
      </c>
      <c r="X45" s="33">
        <f t="shared" si="7"/>
        <v>0</v>
      </c>
      <c r="Y45" s="36">
        <f t="shared" si="8"/>
        <v>0</v>
      </c>
    </row>
    <row r="46" spans="1:72">
      <c r="B46" s="300">
        <f>VLOOKUP($C$35,[1]!APPLIC,MATCH(C46,BLDGTYP,0)+1,FALSE)</f>
        <v>1</v>
      </c>
      <c r="C46" s="18" t="str">
        <f t="shared" si="6"/>
        <v>Supermarket</v>
      </c>
      <c r="E46" s="33">
        <f t="shared" si="7"/>
        <v>0</v>
      </c>
      <c r="F46" s="33">
        <f t="shared" si="7"/>
        <v>0</v>
      </c>
      <c r="G46" s="33">
        <f t="shared" si="7"/>
        <v>0</v>
      </c>
      <c r="H46" s="33">
        <f t="shared" si="7"/>
        <v>0</v>
      </c>
      <c r="I46" s="33">
        <f t="shared" si="7"/>
        <v>0</v>
      </c>
      <c r="J46" s="33">
        <f t="shared" si="7"/>
        <v>0</v>
      </c>
      <c r="K46" s="33">
        <f t="shared" si="7"/>
        <v>0</v>
      </c>
      <c r="L46" s="33">
        <f t="shared" si="7"/>
        <v>0</v>
      </c>
      <c r="M46" s="33">
        <f t="shared" si="7"/>
        <v>0</v>
      </c>
      <c r="N46" s="33">
        <f t="shared" si="7"/>
        <v>0</v>
      </c>
      <c r="O46" s="33">
        <f t="shared" si="7"/>
        <v>0</v>
      </c>
      <c r="P46" s="33">
        <f t="shared" si="7"/>
        <v>0</v>
      </c>
      <c r="Q46" s="33">
        <f t="shared" si="7"/>
        <v>0</v>
      </c>
      <c r="R46" s="33">
        <f t="shared" si="7"/>
        <v>0</v>
      </c>
      <c r="S46" s="33">
        <f t="shared" si="7"/>
        <v>0</v>
      </c>
      <c r="T46" s="33">
        <f t="shared" si="7"/>
        <v>0</v>
      </c>
      <c r="U46" s="33">
        <f t="shared" si="7"/>
        <v>0</v>
      </c>
      <c r="V46" s="33">
        <f t="shared" si="7"/>
        <v>0</v>
      </c>
      <c r="W46" s="33">
        <f t="shared" si="7"/>
        <v>0</v>
      </c>
      <c r="X46" s="33">
        <f t="shared" si="7"/>
        <v>0</v>
      </c>
      <c r="Y46" s="36">
        <f t="shared" si="8"/>
        <v>0</v>
      </c>
    </row>
    <row r="47" spans="1:72">
      <c r="B47" s="300">
        <f>VLOOKUP($C$35,[1]!APPLIC,MATCH(C47,BLDGTYP,0)+1,FALSE)</f>
        <v>1</v>
      </c>
      <c r="C47" s="18" t="str">
        <f t="shared" si="6"/>
        <v>MiniMart</v>
      </c>
      <c r="E47" s="33">
        <f t="shared" si="7"/>
        <v>0</v>
      </c>
      <c r="F47" s="33">
        <f t="shared" si="7"/>
        <v>0</v>
      </c>
      <c r="G47" s="33">
        <f t="shared" si="7"/>
        <v>0</v>
      </c>
      <c r="H47" s="33">
        <f t="shared" si="7"/>
        <v>0</v>
      </c>
      <c r="I47" s="33">
        <f t="shared" si="7"/>
        <v>0</v>
      </c>
      <c r="J47" s="33">
        <f t="shared" si="7"/>
        <v>0</v>
      </c>
      <c r="K47" s="33">
        <f t="shared" si="7"/>
        <v>0</v>
      </c>
      <c r="L47" s="33">
        <f t="shared" si="7"/>
        <v>0</v>
      </c>
      <c r="M47" s="33">
        <f t="shared" si="7"/>
        <v>0</v>
      </c>
      <c r="N47" s="33">
        <f t="shared" si="7"/>
        <v>0</v>
      </c>
      <c r="O47" s="33">
        <f t="shared" si="7"/>
        <v>0</v>
      </c>
      <c r="P47" s="33">
        <f t="shared" si="7"/>
        <v>0</v>
      </c>
      <c r="Q47" s="33">
        <f t="shared" si="7"/>
        <v>0</v>
      </c>
      <c r="R47" s="33">
        <f t="shared" si="7"/>
        <v>0</v>
      </c>
      <c r="S47" s="33">
        <f t="shared" si="7"/>
        <v>0</v>
      </c>
      <c r="T47" s="33">
        <f t="shared" si="7"/>
        <v>0</v>
      </c>
      <c r="U47" s="33">
        <f t="shared" si="7"/>
        <v>0</v>
      </c>
      <c r="V47" s="33">
        <f t="shared" si="7"/>
        <v>0</v>
      </c>
      <c r="W47" s="33">
        <f t="shared" si="7"/>
        <v>0</v>
      </c>
      <c r="X47" s="33">
        <f t="shared" si="7"/>
        <v>0</v>
      </c>
      <c r="Y47" s="36">
        <f t="shared" si="8"/>
        <v>0</v>
      </c>
    </row>
    <row r="48" spans="1:72">
      <c r="B48" s="300">
        <f>VLOOKUP($C$35,[1]!APPLIC,MATCH(C48,BLDGTYP,0)+1,FALSE)</f>
        <v>1</v>
      </c>
      <c r="C48" s="18" t="str">
        <f t="shared" si="6"/>
        <v>Restaurant</v>
      </c>
      <c r="E48" s="33">
        <f t="shared" si="7"/>
        <v>0</v>
      </c>
      <c r="F48" s="33">
        <f t="shared" si="7"/>
        <v>0</v>
      </c>
      <c r="G48" s="33">
        <f t="shared" si="7"/>
        <v>0</v>
      </c>
      <c r="H48" s="33">
        <f t="shared" si="7"/>
        <v>0</v>
      </c>
      <c r="I48" s="33">
        <f t="shared" si="7"/>
        <v>0</v>
      </c>
      <c r="J48" s="33">
        <f t="shared" si="7"/>
        <v>0</v>
      </c>
      <c r="K48" s="33">
        <f t="shared" si="7"/>
        <v>0</v>
      </c>
      <c r="L48" s="33">
        <f t="shared" si="7"/>
        <v>0</v>
      </c>
      <c r="M48" s="33">
        <f t="shared" si="7"/>
        <v>0</v>
      </c>
      <c r="N48" s="33">
        <f t="shared" si="7"/>
        <v>0</v>
      </c>
      <c r="O48" s="33">
        <f t="shared" si="7"/>
        <v>0</v>
      </c>
      <c r="P48" s="33">
        <f t="shared" si="7"/>
        <v>0</v>
      </c>
      <c r="Q48" s="33">
        <f t="shared" si="7"/>
        <v>0</v>
      </c>
      <c r="R48" s="33">
        <f t="shared" si="7"/>
        <v>0</v>
      </c>
      <c r="S48" s="33">
        <f t="shared" si="7"/>
        <v>0</v>
      </c>
      <c r="T48" s="33">
        <f t="shared" si="7"/>
        <v>0</v>
      </c>
      <c r="U48" s="33">
        <f t="shared" si="7"/>
        <v>0</v>
      </c>
      <c r="V48" s="33">
        <f t="shared" si="7"/>
        <v>0</v>
      </c>
      <c r="W48" s="33">
        <f t="shared" si="7"/>
        <v>0</v>
      </c>
      <c r="X48" s="33">
        <f t="shared" si="7"/>
        <v>0</v>
      </c>
      <c r="Y48" s="36">
        <f t="shared" si="8"/>
        <v>0</v>
      </c>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row>
    <row r="49" spans="1:80">
      <c r="B49" s="300">
        <f>VLOOKUP($C$35,[1]!APPLIC,MATCH(C49,BLDGTYP,0)+1,FALSE)</f>
        <v>1</v>
      </c>
      <c r="C49" s="18" t="str">
        <f t="shared" si="6"/>
        <v>Lodging</v>
      </c>
      <c r="E49" s="33">
        <f t="shared" si="7"/>
        <v>0</v>
      </c>
      <c r="F49" s="33">
        <f t="shared" si="7"/>
        <v>0</v>
      </c>
      <c r="G49" s="33">
        <f t="shared" si="7"/>
        <v>0</v>
      </c>
      <c r="H49" s="33">
        <f t="shared" si="7"/>
        <v>0</v>
      </c>
      <c r="I49" s="33">
        <f t="shared" si="7"/>
        <v>0</v>
      </c>
      <c r="J49" s="33">
        <f t="shared" si="7"/>
        <v>0</v>
      </c>
      <c r="K49" s="33">
        <f t="shared" si="7"/>
        <v>0</v>
      </c>
      <c r="L49" s="33">
        <f t="shared" si="7"/>
        <v>0</v>
      </c>
      <c r="M49" s="33">
        <f t="shared" si="7"/>
        <v>0</v>
      </c>
      <c r="N49" s="33">
        <f t="shared" si="7"/>
        <v>0</v>
      </c>
      <c r="O49" s="33">
        <f t="shared" si="7"/>
        <v>0</v>
      </c>
      <c r="P49" s="33">
        <f t="shared" si="7"/>
        <v>0</v>
      </c>
      <c r="Q49" s="33">
        <f t="shared" si="7"/>
        <v>0</v>
      </c>
      <c r="R49" s="33">
        <f t="shared" si="7"/>
        <v>0</v>
      </c>
      <c r="S49" s="33">
        <f t="shared" si="7"/>
        <v>0</v>
      </c>
      <c r="T49" s="33">
        <f t="shared" ref="T49:X49" si="9">T26*T$35*$Y$34</f>
        <v>0</v>
      </c>
      <c r="U49" s="33">
        <f t="shared" si="9"/>
        <v>0</v>
      </c>
      <c r="V49" s="33">
        <f t="shared" si="9"/>
        <v>0</v>
      </c>
      <c r="W49" s="33">
        <f t="shared" si="9"/>
        <v>0</v>
      </c>
      <c r="X49" s="33">
        <f t="shared" si="9"/>
        <v>0</v>
      </c>
      <c r="Y49" s="36">
        <f t="shared" si="8"/>
        <v>0</v>
      </c>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row>
    <row r="50" spans="1:80">
      <c r="B50" s="300">
        <f>VLOOKUP($C$35,[1]!APPLIC,MATCH(C50,BLDGTYP,0)+1,FALSE)</f>
        <v>1</v>
      </c>
      <c r="C50" s="18" t="str">
        <f t="shared" si="6"/>
        <v>Hospital</v>
      </c>
      <c r="E50" s="33">
        <f t="shared" ref="E50:X53" si="10">E27*E$35*$Y$34</f>
        <v>0</v>
      </c>
      <c r="F50" s="33">
        <f t="shared" si="10"/>
        <v>0</v>
      </c>
      <c r="G50" s="33">
        <f t="shared" si="10"/>
        <v>0</v>
      </c>
      <c r="H50" s="33">
        <f t="shared" si="10"/>
        <v>0</v>
      </c>
      <c r="I50" s="33">
        <f t="shared" si="10"/>
        <v>0</v>
      </c>
      <c r="J50" s="33">
        <f t="shared" si="10"/>
        <v>0</v>
      </c>
      <c r="K50" s="33">
        <f t="shared" si="10"/>
        <v>0</v>
      </c>
      <c r="L50" s="33">
        <f t="shared" si="10"/>
        <v>0</v>
      </c>
      <c r="M50" s="33">
        <f t="shared" si="10"/>
        <v>0</v>
      </c>
      <c r="N50" s="33">
        <f t="shared" si="10"/>
        <v>0</v>
      </c>
      <c r="O50" s="33">
        <f t="shared" si="10"/>
        <v>0</v>
      </c>
      <c r="P50" s="33">
        <f t="shared" si="10"/>
        <v>0</v>
      </c>
      <c r="Q50" s="33">
        <f t="shared" si="10"/>
        <v>0</v>
      </c>
      <c r="R50" s="33">
        <f t="shared" si="10"/>
        <v>0</v>
      </c>
      <c r="S50" s="33">
        <f t="shared" si="10"/>
        <v>0</v>
      </c>
      <c r="T50" s="33">
        <f t="shared" si="10"/>
        <v>0</v>
      </c>
      <c r="U50" s="33">
        <f t="shared" si="10"/>
        <v>0</v>
      </c>
      <c r="V50" s="33">
        <f t="shared" si="10"/>
        <v>0</v>
      </c>
      <c r="W50" s="33">
        <f t="shared" si="10"/>
        <v>0</v>
      </c>
      <c r="X50" s="33">
        <f t="shared" si="10"/>
        <v>0</v>
      </c>
      <c r="Y50" s="36">
        <f t="shared" si="8"/>
        <v>0</v>
      </c>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row>
    <row r="51" spans="1:80">
      <c r="B51" s="300">
        <f>VLOOKUP($C$35,[1]!APPLIC,MATCH(C51,BLDGTYP,0)+1,FALSE)</f>
        <v>1</v>
      </c>
      <c r="C51" s="18" t="str">
        <f t="shared" si="6"/>
        <v>Residential Care</v>
      </c>
      <c r="E51" s="33">
        <f t="shared" si="10"/>
        <v>0</v>
      </c>
      <c r="F51" s="33">
        <f t="shared" si="10"/>
        <v>0</v>
      </c>
      <c r="G51" s="33">
        <f t="shared" si="10"/>
        <v>0</v>
      </c>
      <c r="H51" s="33">
        <f t="shared" si="10"/>
        <v>0</v>
      </c>
      <c r="I51" s="33">
        <f t="shared" si="10"/>
        <v>0</v>
      </c>
      <c r="J51" s="33">
        <f t="shared" si="10"/>
        <v>0</v>
      </c>
      <c r="K51" s="33">
        <f t="shared" si="10"/>
        <v>0</v>
      </c>
      <c r="L51" s="33">
        <f t="shared" si="10"/>
        <v>0</v>
      </c>
      <c r="M51" s="33">
        <f t="shared" si="10"/>
        <v>0</v>
      </c>
      <c r="N51" s="33">
        <f t="shared" si="10"/>
        <v>0</v>
      </c>
      <c r="O51" s="33">
        <f t="shared" si="10"/>
        <v>0</v>
      </c>
      <c r="P51" s="33">
        <f t="shared" si="10"/>
        <v>0</v>
      </c>
      <c r="Q51" s="33">
        <f t="shared" si="10"/>
        <v>0</v>
      </c>
      <c r="R51" s="33">
        <f t="shared" si="10"/>
        <v>0</v>
      </c>
      <c r="S51" s="33">
        <f t="shared" si="10"/>
        <v>0</v>
      </c>
      <c r="T51" s="33">
        <f t="shared" si="10"/>
        <v>0</v>
      </c>
      <c r="U51" s="33">
        <f t="shared" si="10"/>
        <v>0</v>
      </c>
      <c r="V51" s="33">
        <f t="shared" si="10"/>
        <v>0</v>
      </c>
      <c r="W51" s="33">
        <f t="shared" si="10"/>
        <v>0</v>
      </c>
      <c r="X51" s="33">
        <f t="shared" si="10"/>
        <v>0</v>
      </c>
      <c r="Y51" s="36">
        <f t="shared" si="8"/>
        <v>0</v>
      </c>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row>
    <row r="52" spans="1:80">
      <c r="B52" s="300">
        <f>VLOOKUP($C$35,[1]!APPLIC,MATCH(C52,BLDGTYP,0)+1,FALSE)</f>
        <v>1</v>
      </c>
      <c r="C52" s="18" t="str">
        <f t="shared" si="6"/>
        <v>Assembly</v>
      </c>
      <c r="E52" s="33">
        <f t="shared" si="10"/>
        <v>0</v>
      </c>
      <c r="F52" s="33">
        <f t="shared" si="10"/>
        <v>0</v>
      </c>
      <c r="G52" s="33">
        <f t="shared" si="10"/>
        <v>0</v>
      </c>
      <c r="H52" s="33">
        <f t="shared" si="10"/>
        <v>0</v>
      </c>
      <c r="I52" s="33">
        <f t="shared" si="10"/>
        <v>0</v>
      </c>
      <c r="J52" s="33">
        <f t="shared" si="10"/>
        <v>0</v>
      </c>
      <c r="K52" s="33">
        <f t="shared" si="10"/>
        <v>0</v>
      </c>
      <c r="L52" s="33">
        <f t="shared" si="10"/>
        <v>0</v>
      </c>
      <c r="M52" s="33">
        <f t="shared" si="10"/>
        <v>0</v>
      </c>
      <c r="N52" s="33">
        <f t="shared" si="10"/>
        <v>0</v>
      </c>
      <c r="O52" s="33">
        <f t="shared" si="10"/>
        <v>0</v>
      </c>
      <c r="P52" s="33">
        <f t="shared" si="10"/>
        <v>0</v>
      </c>
      <c r="Q52" s="33">
        <f t="shared" si="10"/>
        <v>0</v>
      </c>
      <c r="R52" s="33">
        <f t="shared" si="10"/>
        <v>0</v>
      </c>
      <c r="S52" s="33">
        <f t="shared" si="10"/>
        <v>0</v>
      </c>
      <c r="T52" s="33">
        <f t="shared" si="10"/>
        <v>0</v>
      </c>
      <c r="U52" s="33">
        <f t="shared" si="10"/>
        <v>0</v>
      </c>
      <c r="V52" s="33">
        <f t="shared" si="10"/>
        <v>0</v>
      </c>
      <c r="W52" s="33">
        <f t="shared" si="10"/>
        <v>0</v>
      </c>
      <c r="X52" s="33">
        <f t="shared" si="10"/>
        <v>0</v>
      </c>
      <c r="Y52" s="36">
        <f t="shared" si="8"/>
        <v>0</v>
      </c>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row>
    <row r="53" spans="1:80">
      <c r="B53" s="300">
        <f>VLOOKUP($C$35,[1]!APPLIC,MATCH(C53,BLDGTYP,0)+1,FALSE)</f>
        <v>1</v>
      </c>
      <c r="C53" s="18" t="str">
        <f t="shared" si="6"/>
        <v>Other</v>
      </c>
      <c r="E53" s="33">
        <f t="shared" si="10"/>
        <v>0</v>
      </c>
      <c r="F53" s="33">
        <f t="shared" si="10"/>
        <v>0</v>
      </c>
      <c r="G53" s="33">
        <f t="shared" si="10"/>
        <v>0</v>
      </c>
      <c r="H53" s="33">
        <f t="shared" si="10"/>
        <v>0</v>
      </c>
      <c r="I53" s="33">
        <f t="shared" si="10"/>
        <v>0</v>
      </c>
      <c r="J53" s="33">
        <f t="shared" si="10"/>
        <v>0</v>
      </c>
      <c r="K53" s="33">
        <f t="shared" si="10"/>
        <v>0</v>
      </c>
      <c r="L53" s="33">
        <f t="shared" si="10"/>
        <v>0</v>
      </c>
      <c r="M53" s="33">
        <f t="shared" si="10"/>
        <v>0</v>
      </c>
      <c r="N53" s="33">
        <f t="shared" si="10"/>
        <v>0</v>
      </c>
      <c r="O53" s="33">
        <f t="shared" si="10"/>
        <v>0</v>
      </c>
      <c r="P53" s="33">
        <f t="shared" si="10"/>
        <v>0</v>
      </c>
      <c r="Q53" s="33">
        <f t="shared" si="10"/>
        <v>0</v>
      </c>
      <c r="R53" s="33">
        <f t="shared" si="10"/>
        <v>0</v>
      </c>
      <c r="S53" s="33">
        <f t="shared" si="10"/>
        <v>0</v>
      </c>
      <c r="T53" s="33">
        <f t="shared" si="10"/>
        <v>0</v>
      </c>
      <c r="U53" s="33">
        <f t="shared" si="10"/>
        <v>0</v>
      </c>
      <c r="V53" s="33">
        <f t="shared" si="10"/>
        <v>0</v>
      </c>
      <c r="W53" s="33">
        <f t="shared" si="10"/>
        <v>0</v>
      </c>
      <c r="X53" s="33">
        <f t="shared" si="10"/>
        <v>0</v>
      </c>
      <c r="Y53" s="36">
        <f t="shared" si="8"/>
        <v>0</v>
      </c>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row>
    <row r="54" spans="1:80">
      <c r="E54" s="33">
        <f>SUM(E34:E53)</f>
        <v>2016.0025643970769</v>
      </c>
      <c r="F54" s="33">
        <f t="shared" ref="F54:Y54" si="11">SUM(F34:F53)</f>
        <v>2017.0076904586297</v>
      </c>
      <c r="G54" s="33">
        <f t="shared" si="11"/>
        <v>2018.0167920130475</v>
      </c>
      <c r="H54" s="33">
        <f t="shared" si="11"/>
        <v>2019.0315969387775</v>
      </c>
      <c r="I54" s="33">
        <f t="shared" si="11"/>
        <v>2020.054068748198</v>
      </c>
      <c r="J54" s="33">
        <f t="shared" si="11"/>
        <v>2021.0862531810119</v>
      </c>
      <c r="K54" s="33">
        <f t="shared" si="11"/>
        <v>2022.1300328481839</v>
      </c>
      <c r="L54" s="33">
        <f t="shared" si="11"/>
        <v>2023.1867871089387</v>
      </c>
      <c r="M54" s="33">
        <f t="shared" si="11"/>
        <v>2024.2569823480073</v>
      </c>
      <c r="N54" s="33">
        <f t="shared" si="11"/>
        <v>2025.3397592098499</v>
      </c>
      <c r="O54" s="33">
        <f t="shared" si="11"/>
        <v>2026.4326294693576</v>
      </c>
      <c r="P54" s="33">
        <f t="shared" si="11"/>
        <v>2027.5314259400366</v>
      </c>
      <c r="Q54" s="33">
        <f t="shared" si="11"/>
        <v>2028.6306348729265</v>
      </c>
      <c r="R54" s="33">
        <f t="shared" si="11"/>
        <v>2029.7241560234206</v>
      </c>
      <c r="S54" s="33">
        <f t="shared" si="11"/>
        <v>2030.8063820313175</v>
      </c>
      <c r="T54" s="33">
        <f t="shared" si="11"/>
        <v>2031.873315597345</v>
      </c>
      <c r="U54" s="33">
        <f t="shared" si="11"/>
        <v>2032.9233451624884</v>
      </c>
      <c r="V54" s="33">
        <f t="shared" si="11"/>
        <v>2033.9573700277074</v>
      </c>
      <c r="W54" s="33">
        <f t="shared" si="11"/>
        <v>2034.9782160870482</v>
      </c>
      <c r="X54" s="33">
        <f t="shared" si="11"/>
        <v>2035.9882160870482</v>
      </c>
      <c r="Y54" s="33">
        <f t="shared" si="11"/>
        <v>0</v>
      </c>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row>
    <row r="55" spans="1:80">
      <c r="E55" s="33"/>
      <c r="F55" s="33"/>
      <c r="G55" s="33"/>
      <c r="H55" s="33"/>
      <c r="I55" s="33"/>
      <c r="J55" s="33"/>
      <c r="K55" s="33"/>
      <c r="L55" s="33"/>
      <c r="M55" s="33"/>
      <c r="N55" s="33"/>
      <c r="O55" s="33"/>
      <c r="P55" s="33"/>
      <c r="Q55" s="33"/>
      <c r="R55" s="33"/>
      <c r="S55" s="33"/>
      <c r="T55" s="33"/>
      <c r="U55" s="33"/>
      <c r="V55" s="33"/>
      <c r="W55" s="33"/>
      <c r="X55" s="33"/>
      <c r="Y55" s="36"/>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row>
    <row r="56" spans="1:80">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80" ht="15">
      <c r="A57" s="38" t="s">
        <v>41</v>
      </c>
      <c r="C57" s="39" t="str">
        <f>C8</f>
        <v>Commercial EM-New</v>
      </c>
      <c r="D57" s="39"/>
      <c r="E57" s="18" t="s">
        <v>2</v>
      </c>
      <c r="AA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80" ht="15">
      <c r="A58" s="39"/>
      <c r="B58" s="39"/>
      <c r="C58" s="39"/>
      <c r="D58" s="39"/>
      <c r="E58" s="40">
        <f>E11</f>
        <v>2016</v>
      </c>
      <c r="F58" s="40">
        <f t="shared" ref="F58:X58" si="12">F11</f>
        <v>2017</v>
      </c>
      <c r="G58" s="40">
        <f t="shared" si="12"/>
        <v>2018</v>
      </c>
      <c r="H58" s="40">
        <f t="shared" si="12"/>
        <v>2019</v>
      </c>
      <c r="I58" s="40">
        <f t="shared" si="12"/>
        <v>2020</v>
      </c>
      <c r="J58" s="40">
        <f t="shared" si="12"/>
        <v>2021</v>
      </c>
      <c r="K58" s="40">
        <f t="shared" si="12"/>
        <v>2022</v>
      </c>
      <c r="L58" s="40">
        <f t="shared" si="12"/>
        <v>2023</v>
      </c>
      <c r="M58" s="40">
        <f t="shared" si="12"/>
        <v>2024</v>
      </c>
      <c r="N58" s="40">
        <f t="shared" si="12"/>
        <v>2025</v>
      </c>
      <c r="O58" s="40">
        <f t="shared" si="12"/>
        <v>2026</v>
      </c>
      <c r="P58" s="40">
        <f t="shared" si="12"/>
        <v>2027</v>
      </c>
      <c r="Q58" s="40">
        <f t="shared" si="12"/>
        <v>2028</v>
      </c>
      <c r="R58" s="40">
        <f t="shared" si="12"/>
        <v>2029</v>
      </c>
      <c r="S58" s="40">
        <f t="shared" si="12"/>
        <v>2030</v>
      </c>
      <c r="T58" s="40">
        <f t="shared" si="12"/>
        <v>2031</v>
      </c>
      <c r="U58" s="40">
        <f t="shared" si="12"/>
        <v>2032</v>
      </c>
      <c r="V58" s="40">
        <f t="shared" si="12"/>
        <v>2033</v>
      </c>
      <c r="W58" s="40">
        <f t="shared" si="12"/>
        <v>2034</v>
      </c>
      <c r="X58" s="40">
        <f t="shared" si="12"/>
        <v>2035</v>
      </c>
      <c r="Y58" s="192" t="s">
        <v>38</v>
      </c>
      <c r="AA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80" ht="15">
      <c r="A59" s="39" t="s">
        <v>42</v>
      </c>
      <c r="B59" s="39" t="s">
        <v>43</v>
      </c>
      <c r="C59" s="39" t="s">
        <v>44</v>
      </c>
      <c r="D59" s="39" t="s">
        <v>45</v>
      </c>
      <c r="E59" s="41" t="str">
        <f>CONCATENATE("aMW_",E$11)</f>
        <v>aMW_2016</v>
      </c>
      <c r="F59" s="41" t="str">
        <f t="shared" ref="F59:X59" si="13">CONCATENATE("aMW_",F$11)</f>
        <v>aMW_2017</v>
      </c>
      <c r="G59" s="41" t="str">
        <f t="shared" si="13"/>
        <v>aMW_2018</v>
      </c>
      <c r="H59" s="41" t="str">
        <f t="shared" si="13"/>
        <v>aMW_2019</v>
      </c>
      <c r="I59" s="41" t="str">
        <f t="shared" si="13"/>
        <v>aMW_2020</v>
      </c>
      <c r="J59" s="41" t="str">
        <f t="shared" si="13"/>
        <v>aMW_2021</v>
      </c>
      <c r="K59" s="41" t="str">
        <f t="shared" si="13"/>
        <v>aMW_2022</v>
      </c>
      <c r="L59" s="41" t="str">
        <f t="shared" si="13"/>
        <v>aMW_2023</v>
      </c>
      <c r="M59" s="41" t="str">
        <f t="shared" si="13"/>
        <v>aMW_2024</v>
      </c>
      <c r="N59" s="41" t="str">
        <f t="shared" si="13"/>
        <v>aMW_2025</v>
      </c>
      <c r="O59" s="41" t="str">
        <f t="shared" si="13"/>
        <v>aMW_2026</v>
      </c>
      <c r="P59" s="41" t="str">
        <f t="shared" si="13"/>
        <v>aMW_2027</v>
      </c>
      <c r="Q59" s="41" t="str">
        <f t="shared" si="13"/>
        <v>aMW_2028</v>
      </c>
      <c r="R59" s="41" t="str">
        <f t="shared" si="13"/>
        <v>aMW_2029</v>
      </c>
      <c r="S59" s="41" t="str">
        <f t="shared" si="13"/>
        <v>aMW_2030</v>
      </c>
      <c r="T59" s="41" t="str">
        <f t="shared" si="13"/>
        <v>aMW_2031</v>
      </c>
      <c r="U59" s="41" t="str">
        <f t="shared" si="13"/>
        <v>aMW_2032</v>
      </c>
      <c r="V59" s="41" t="str">
        <f t="shared" si="13"/>
        <v>aMW_2033</v>
      </c>
      <c r="W59" s="41" t="str">
        <f t="shared" si="13"/>
        <v>aMW_2034</v>
      </c>
      <c r="X59" s="41" t="str">
        <f t="shared" si="13"/>
        <v>aMW_2035</v>
      </c>
      <c r="Y59" s="193" t="s">
        <v>38</v>
      </c>
      <c r="AA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80">
      <c r="A60" s="278">
        <f>VLOOKUP(D60,'Measure InputOutput-New_Out'!$A$4:$M$21,3,FALSE)</f>
        <v>918.51241916941115</v>
      </c>
      <c r="B60" s="278">
        <f>VLOOKUP(D60,'Measure InputOutput-New_Out'!$A$4:$M$21,11,FALSE)</f>
        <v>21.910285702394578</v>
      </c>
      <c r="C60" s="18" t="str">
        <f>C36</f>
        <v>Large Off</v>
      </c>
      <c r="D60" s="18" t="str">
        <f>CONCATENATE($C$57,"-",C60)</f>
        <v>Commercial EM-New-Large Off</v>
      </c>
      <c r="E60" s="37">
        <f t="shared" ref="E60:X60" si="14">E36*$A60/8760000*1000</f>
        <v>0</v>
      </c>
      <c r="F60" s="37">
        <f t="shared" si="14"/>
        <v>0</v>
      </c>
      <c r="G60" s="37">
        <f t="shared" si="14"/>
        <v>0</v>
      </c>
      <c r="H60" s="37">
        <f t="shared" si="14"/>
        <v>0</v>
      </c>
      <c r="I60" s="37">
        <f t="shared" si="14"/>
        <v>0</v>
      </c>
      <c r="J60" s="37">
        <f t="shared" si="14"/>
        <v>0</v>
      </c>
      <c r="K60" s="37">
        <f t="shared" si="14"/>
        <v>0</v>
      </c>
      <c r="L60" s="37">
        <f t="shared" si="14"/>
        <v>0</v>
      </c>
      <c r="M60" s="37">
        <f t="shared" si="14"/>
        <v>0</v>
      </c>
      <c r="N60" s="37">
        <f t="shared" si="14"/>
        <v>0</v>
      </c>
      <c r="O60" s="37">
        <f t="shared" si="14"/>
        <v>0</v>
      </c>
      <c r="P60" s="37">
        <f t="shared" si="14"/>
        <v>0</v>
      </c>
      <c r="Q60" s="37">
        <f t="shared" si="14"/>
        <v>0</v>
      </c>
      <c r="R60" s="37">
        <f t="shared" si="14"/>
        <v>0</v>
      </c>
      <c r="S60" s="37">
        <f t="shared" si="14"/>
        <v>0</v>
      </c>
      <c r="T60" s="37">
        <f t="shared" si="14"/>
        <v>0</v>
      </c>
      <c r="U60" s="37">
        <f t="shared" si="14"/>
        <v>0</v>
      </c>
      <c r="V60" s="37">
        <f t="shared" si="14"/>
        <v>0</v>
      </c>
      <c r="W60" s="37">
        <f t="shared" si="14"/>
        <v>0</v>
      </c>
      <c r="X60" s="37">
        <f t="shared" si="14"/>
        <v>0</v>
      </c>
      <c r="Y60" s="37">
        <f>SUM(E60:X60)</f>
        <v>0</v>
      </c>
      <c r="AA60" s="49">
        <f>SUM(E60:X60)</f>
        <v>0</v>
      </c>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80">
      <c r="A61" s="278">
        <f>VLOOKUP(D61,'Measure InputOutput-New_Out'!$A$4:$M$21,3,FALSE)</f>
        <v>290.29394518662707</v>
      </c>
      <c r="B61" s="278">
        <f>VLOOKUP(D61,'Measure InputOutput-New_Out'!$A$4:$M$21,11,FALSE)</f>
        <v>28.94614235143305</v>
      </c>
      <c r="C61" s="18" t="str">
        <f t="shared" ref="C61:C77" si="15">C37</f>
        <v>Medium Off</v>
      </c>
      <c r="D61" s="18" t="str">
        <f t="shared" ref="D61:D77" si="16">CONCATENATE($C$57,"-",C61)</f>
        <v>Commercial EM-New-Medium Off</v>
      </c>
      <c r="E61" s="37">
        <f t="shared" ref="E61:X61" si="17">E37*$A61/8760000*1000</f>
        <v>0</v>
      </c>
      <c r="F61" s="37">
        <f t="shared" si="17"/>
        <v>0</v>
      </c>
      <c r="G61" s="37">
        <f t="shared" si="17"/>
        <v>0</v>
      </c>
      <c r="H61" s="37">
        <f t="shared" si="17"/>
        <v>0</v>
      </c>
      <c r="I61" s="37">
        <f t="shared" si="17"/>
        <v>0</v>
      </c>
      <c r="J61" s="37">
        <f t="shared" si="17"/>
        <v>0</v>
      </c>
      <c r="K61" s="37">
        <f t="shared" si="17"/>
        <v>0</v>
      </c>
      <c r="L61" s="37">
        <f t="shared" si="17"/>
        <v>0</v>
      </c>
      <c r="M61" s="37">
        <f t="shared" si="17"/>
        <v>0</v>
      </c>
      <c r="N61" s="37">
        <f t="shared" si="17"/>
        <v>0</v>
      </c>
      <c r="O61" s="37">
        <f t="shared" si="17"/>
        <v>0</v>
      </c>
      <c r="P61" s="37">
        <f t="shared" si="17"/>
        <v>0</v>
      </c>
      <c r="Q61" s="37">
        <f t="shared" si="17"/>
        <v>0</v>
      </c>
      <c r="R61" s="37">
        <f t="shared" si="17"/>
        <v>0</v>
      </c>
      <c r="S61" s="37">
        <f t="shared" si="17"/>
        <v>0</v>
      </c>
      <c r="T61" s="37">
        <f t="shared" si="17"/>
        <v>0</v>
      </c>
      <c r="U61" s="37">
        <f t="shared" si="17"/>
        <v>0</v>
      </c>
      <c r="V61" s="37">
        <f t="shared" si="17"/>
        <v>0</v>
      </c>
      <c r="W61" s="37">
        <f t="shared" si="17"/>
        <v>0</v>
      </c>
      <c r="X61" s="37">
        <f t="shared" si="17"/>
        <v>0</v>
      </c>
      <c r="Y61" s="37">
        <f t="shared" ref="Y61:Y77" si="18">SUM(E61:X61)</f>
        <v>0</v>
      </c>
      <c r="AA61" s="49">
        <f t="shared" ref="AA61:AA77" si="19">SUM(E61:X61)</f>
        <v>0</v>
      </c>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80">
      <c r="A62" s="278">
        <f>VLOOKUP(D62,'Measure InputOutput-New_Out'!$A$4:$M$21,3,FALSE)</f>
        <v>19.453785339199513</v>
      </c>
      <c r="B62" s="278">
        <f>VLOOKUP(D62,'Measure InputOutput-New_Out'!$A$4:$M$21,11,FALSE)</f>
        <v>138.57858167229179</v>
      </c>
      <c r="C62" s="18" t="str">
        <f t="shared" si="15"/>
        <v>Small Off</v>
      </c>
      <c r="D62" s="18" t="str">
        <f t="shared" si="16"/>
        <v>Commercial EM-New-Small Off</v>
      </c>
      <c r="E62" s="37">
        <f t="shared" ref="E62:X62" si="20">E38*$A62/8760000*1000</f>
        <v>0</v>
      </c>
      <c r="F62" s="37">
        <f t="shared" si="20"/>
        <v>0</v>
      </c>
      <c r="G62" s="37">
        <f t="shared" si="20"/>
        <v>0</v>
      </c>
      <c r="H62" s="37">
        <f t="shared" si="20"/>
        <v>0</v>
      </c>
      <c r="I62" s="37">
        <f t="shared" si="20"/>
        <v>0</v>
      </c>
      <c r="J62" s="37">
        <f t="shared" si="20"/>
        <v>0</v>
      </c>
      <c r="K62" s="37">
        <f t="shared" si="20"/>
        <v>0</v>
      </c>
      <c r="L62" s="37">
        <f t="shared" si="20"/>
        <v>0</v>
      </c>
      <c r="M62" s="37">
        <f t="shared" si="20"/>
        <v>0</v>
      </c>
      <c r="N62" s="37">
        <f t="shared" si="20"/>
        <v>0</v>
      </c>
      <c r="O62" s="37">
        <f t="shared" si="20"/>
        <v>0</v>
      </c>
      <c r="P62" s="37">
        <f t="shared" si="20"/>
        <v>0</v>
      </c>
      <c r="Q62" s="37">
        <f t="shared" si="20"/>
        <v>0</v>
      </c>
      <c r="R62" s="37">
        <f t="shared" si="20"/>
        <v>0</v>
      </c>
      <c r="S62" s="37">
        <f t="shared" si="20"/>
        <v>0</v>
      </c>
      <c r="T62" s="37">
        <f t="shared" si="20"/>
        <v>0</v>
      </c>
      <c r="U62" s="37">
        <f t="shared" si="20"/>
        <v>0</v>
      </c>
      <c r="V62" s="37">
        <f t="shared" si="20"/>
        <v>0</v>
      </c>
      <c r="W62" s="37">
        <f t="shared" si="20"/>
        <v>0</v>
      </c>
      <c r="X62" s="37">
        <f t="shared" si="20"/>
        <v>0</v>
      </c>
      <c r="Y62" s="37">
        <f t="shared" si="18"/>
        <v>0</v>
      </c>
      <c r="AA62" s="49">
        <f t="shared" si="19"/>
        <v>0</v>
      </c>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80">
      <c r="A63" s="278">
        <f>VLOOKUP(D63,'Measure InputOutput-New_Out'!$A$4:$M$21,3,FALSE)</f>
        <v>32.483392354420594</v>
      </c>
      <c r="B63" s="278">
        <f>VLOOKUP(D63,'Measure InputOutput-New_Out'!$A$4:$M$21,11,FALSE)</f>
        <v>42.948876353405723</v>
      </c>
      <c r="C63" s="18" t="str">
        <f t="shared" si="15"/>
        <v>XLarge Ret</v>
      </c>
      <c r="D63" s="18" t="str">
        <f t="shared" si="16"/>
        <v>Commercial EM-New-XLarge Ret</v>
      </c>
      <c r="E63" s="37">
        <f t="shared" ref="E63:X63" si="21">E39*$A63/8760000*1000</f>
        <v>0</v>
      </c>
      <c r="F63" s="37">
        <f t="shared" si="21"/>
        <v>0</v>
      </c>
      <c r="G63" s="37">
        <f t="shared" si="21"/>
        <v>0</v>
      </c>
      <c r="H63" s="37">
        <f t="shared" si="21"/>
        <v>0</v>
      </c>
      <c r="I63" s="37">
        <f t="shared" si="21"/>
        <v>0</v>
      </c>
      <c r="J63" s="37">
        <f t="shared" si="21"/>
        <v>0</v>
      </c>
      <c r="K63" s="37">
        <f t="shared" si="21"/>
        <v>0</v>
      </c>
      <c r="L63" s="37">
        <f t="shared" si="21"/>
        <v>0</v>
      </c>
      <c r="M63" s="37">
        <f t="shared" si="21"/>
        <v>0</v>
      </c>
      <c r="N63" s="37">
        <f t="shared" si="21"/>
        <v>0</v>
      </c>
      <c r="O63" s="37">
        <f t="shared" si="21"/>
        <v>0</v>
      </c>
      <c r="P63" s="37">
        <f t="shared" si="21"/>
        <v>0</v>
      </c>
      <c r="Q63" s="37">
        <f t="shared" si="21"/>
        <v>0</v>
      </c>
      <c r="R63" s="37">
        <f t="shared" si="21"/>
        <v>0</v>
      </c>
      <c r="S63" s="37">
        <f t="shared" si="21"/>
        <v>0</v>
      </c>
      <c r="T63" s="37">
        <f t="shared" si="21"/>
        <v>0</v>
      </c>
      <c r="U63" s="37">
        <f t="shared" si="21"/>
        <v>0</v>
      </c>
      <c r="V63" s="37">
        <f t="shared" si="21"/>
        <v>0</v>
      </c>
      <c r="W63" s="37">
        <f t="shared" si="21"/>
        <v>0</v>
      </c>
      <c r="X63" s="37">
        <f t="shared" si="21"/>
        <v>0</v>
      </c>
      <c r="Y63" s="37">
        <f t="shared" si="18"/>
        <v>0</v>
      </c>
      <c r="AA63" s="49">
        <f t="shared" si="19"/>
        <v>0</v>
      </c>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80">
      <c r="A64" s="278">
        <f>VLOOKUP(D64,'Measure InputOutput-New_Out'!$A$4:$M$21,3,FALSE)</f>
        <v>235.27638694603962</v>
      </c>
      <c r="B64" s="278">
        <f>VLOOKUP(D64,'Measure InputOutput-New_Out'!$A$4:$M$21,11,FALSE)</f>
        <v>108.11136544211456</v>
      </c>
      <c r="C64" s="18" t="str">
        <f t="shared" si="15"/>
        <v>Large Ret</v>
      </c>
      <c r="D64" s="18" t="str">
        <f t="shared" si="16"/>
        <v>Commercial EM-New-Large Ret</v>
      </c>
      <c r="E64" s="37">
        <f t="shared" ref="E64:X64" si="22">E40*$A64/8760000*1000</f>
        <v>0</v>
      </c>
      <c r="F64" s="37">
        <f t="shared" si="22"/>
        <v>0</v>
      </c>
      <c r="G64" s="37">
        <f t="shared" si="22"/>
        <v>0</v>
      </c>
      <c r="H64" s="37">
        <f t="shared" si="22"/>
        <v>0</v>
      </c>
      <c r="I64" s="37">
        <f t="shared" si="22"/>
        <v>0</v>
      </c>
      <c r="J64" s="37">
        <f t="shared" si="22"/>
        <v>0</v>
      </c>
      <c r="K64" s="37">
        <f t="shared" si="22"/>
        <v>0</v>
      </c>
      <c r="L64" s="37">
        <f t="shared" si="22"/>
        <v>0</v>
      </c>
      <c r="M64" s="37">
        <f t="shared" si="22"/>
        <v>0</v>
      </c>
      <c r="N64" s="37">
        <f t="shared" si="22"/>
        <v>0</v>
      </c>
      <c r="O64" s="37">
        <f t="shared" si="22"/>
        <v>0</v>
      </c>
      <c r="P64" s="37">
        <f t="shared" si="22"/>
        <v>0</v>
      </c>
      <c r="Q64" s="37">
        <f t="shared" si="22"/>
        <v>0</v>
      </c>
      <c r="R64" s="37">
        <f t="shared" si="22"/>
        <v>0</v>
      </c>
      <c r="S64" s="37">
        <f t="shared" si="22"/>
        <v>0</v>
      </c>
      <c r="T64" s="37">
        <f t="shared" si="22"/>
        <v>0</v>
      </c>
      <c r="U64" s="37">
        <f t="shared" si="22"/>
        <v>0</v>
      </c>
      <c r="V64" s="37">
        <f t="shared" si="22"/>
        <v>0</v>
      </c>
      <c r="W64" s="37">
        <f t="shared" si="22"/>
        <v>0</v>
      </c>
      <c r="X64" s="37">
        <f t="shared" si="22"/>
        <v>0</v>
      </c>
      <c r="Y64" s="37">
        <f t="shared" si="18"/>
        <v>0</v>
      </c>
      <c r="AA64" s="49">
        <f t="shared" si="19"/>
        <v>0</v>
      </c>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c r="A65" s="278">
        <f>VLOOKUP(D65,'Measure InputOutput-New_Out'!$A$4:$M$21,3,FALSE)</f>
        <v>35.017405316066764</v>
      </c>
      <c r="B65" s="278">
        <f>VLOOKUP(D65,'Measure InputOutput-New_Out'!$A$4:$M$21,11,FALSE)</f>
        <v>71.221441789992696</v>
      </c>
      <c r="C65" s="18" t="str">
        <f t="shared" si="15"/>
        <v>Medium Ret</v>
      </c>
      <c r="D65" s="18" t="str">
        <f t="shared" si="16"/>
        <v>Commercial EM-New-Medium Ret</v>
      </c>
      <c r="E65" s="37">
        <f t="shared" ref="E65:X65" si="23">E41*$A65/8760000*1000</f>
        <v>0</v>
      </c>
      <c r="F65" s="37">
        <f t="shared" si="23"/>
        <v>0</v>
      </c>
      <c r="G65" s="37">
        <f t="shared" si="23"/>
        <v>0</v>
      </c>
      <c r="H65" s="37">
        <f t="shared" si="23"/>
        <v>0</v>
      </c>
      <c r="I65" s="37">
        <f t="shared" si="23"/>
        <v>0</v>
      </c>
      <c r="J65" s="37">
        <f t="shared" si="23"/>
        <v>0</v>
      </c>
      <c r="K65" s="37">
        <f t="shared" si="23"/>
        <v>0</v>
      </c>
      <c r="L65" s="37">
        <f t="shared" si="23"/>
        <v>0</v>
      </c>
      <c r="M65" s="37">
        <f t="shared" si="23"/>
        <v>0</v>
      </c>
      <c r="N65" s="37">
        <f t="shared" si="23"/>
        <v>0</v>
      </c>
      <c r="O65" s="37">
        <f t="shared" si="23"/>
        <v>0</v>
      </c>
      <c r="P65" s="37">
        <f t="shared" si="23"/>
        <v>0</v>
      </c>
      <c r="Q65" s="37">
        <f t="shared" si="23"/>
        <v>0</v>
      </c>
      <c r="R65" s="37">
        <f t="shared" si="23"/>
        <v>0</v>
      </c>
      <c r="S65" s="37">
        <f t="shared" si="23"/>
        <v>0</v>
      </c>
      <c r="T65" s="37">
        <f t="shared" si="23"/>
        <v>0</v>
      </c>
      <c r="U65" s="37">
        <f t="shared" si="23"/>
        <v>0</v>
      </c>
      <c r="V65" s="37">
        <f t="shared" si="23"/>
        <v>0</v>
      </c>
      <c r="W65" s="37">
        <f t="shared" si="23"/>
        <v>0</v>
      </c>
      <c r="X65" s="37">
        <f t="shared" si="23"/>
        <v>0</v>
      </c>
      <c r="Y65" s="37">
        <f t="shared" si="18"/>
        <v>0</v>
      </c>
      <c r="AA65" s="49">
        <f t="shared" si="19"/>
        <v>0</v>
      </c>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c r="A66" s="278">
        <f>VLOOKUP(D66,'Measure InputOutput-New_Out'!$A$4:$M$21,3,FALSE)</f>
        <v>134.89158457975824</v>
      </c>
      <c r="B66" s="278">
        <f>VLOOKUP(D66,'Measure InputOutput-New_Out'!$A$4:$M$21,11,FALSE)</f>
        <v>20.549694597948474</v>
      </c>
      <c r="C66" s="18" t="str">
        <f t="shared" si="15"/>
        <v>Small Ret</v>
      </c>
      <c r="D66" s="18" t="str">
        <f t="shared" si="16"/>
        <v>Commercial EM-New-Small Ret</v>
      </c>
      <c r="E66" s="37">
        <f t="shared" ref="E66:X66" si="24">E42*$A66/8760000*1000</f>
        <v>0</v>
      </c>
      <c r="F66" s="37">
        <f t="shared" si="24"/>
        <v>0</v>
      </c>
      <c r="G66" s="37">
        <f t="shared" si="24"/>
        <v>0</v>
      </c>
      <c r="H66" s="37">
        <f t="shared" si="24"/>
        <v>0</v>
      </c>
      <c r="I66" s="37">
        <f t="shared" si="24"/>
        <v>0</v>
      </c>
      <c r="J66" s="37">
        <f t="shared" si="24"/>
        <v>0</v>
      </c>
      <c r="K66" s="37">
        <f t="shared" si="24"/>
        <v>0</v>
      </c>
      <c r="L66" s="37">
        <f t="shared" si="24"/>
        <v>0</v>
      </c>
      <c r="M66" s="37">
        <f t="shared" si="24"/>
        <v>0</v>
      </c>
      <c r="N66" s="37">
        <f t="shared" si="24"/>
        <v>0</v>
      </c>
      <c r="O66" s="37">
        <f t="shared" si="24"/>
        <v>0</v>
      </c>
      <c r="P66" s="37">
        <f t="shared" si="24"/>
        <v>0</v>
      </c>
      <c r="Q66" s="37">
        <f t="shared" si="24"/>
        <v>0</v>
      </c>
      <c r="R66" s="37">
        <f t="shared" si="24"/>
        <v>0</v>
      </c>
      <c r="S66" s="37">
        <f t="shared" si="24"/>
        <v>0</v>
      </c>
      <c r="T66" s="37">
        <f t="shared" si="24"/>
        <v>0</v>
      </c>
      <c r="U66" s="37">
        <f t="shared" si="24"/>
        <v>0</v>
      </c>
      <c r="V66" s="37">
        <f t="shared" si="24"/>
        <v>0</v>
      </c>
      <c r="W66" s="37">
        <f t="shared" si="24"/>
        <v>0</v>
      </c>
      <c r="X66" s="37">
        <f t="shared" si="24"/>
        <v>0</v>
      </c>
      <c r="Y66" s="37">
        <f t="shared" si="18"/>
        <v>0</v>
      </c>
      <c r="AA66" s="49">
        <f t="shared" si="19"/>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c r="A67" s="278">
        <f>VLOOKUP(D67,'Measure InputOutput-New_Out'!$A$4:$M$21,3,FALSE)</f>
        <v>181.55278780226234</v>
      </c>
      <c r="B67" s="278">
        <f>VLOOKUP(D67,'Measure InputOutput-New_Out'!$A$4:$M$21,11,FALSE)</f>
        <v>63.176339159462458</v>
      </c>
      <c r="C67" s="18" t="str">
        <f t="shared" si="15"/>
        <v>School K-12</v>
      </c>
      <c r="D67" s="18" t="str">
        <f t="shared" si="16"/>
        <v>Commercial EM-New-School K-12</v>
      </c>
      <c r="E67" s="37">
        <f t="shared" ref="E67:X67" si="25">E43*$A67/8760000*1000</f>
        <v>0</v>
      </c>
      <c r="F67" s="37">
        <f t="shared" si="25"/>
        <v>0</v>
      </c>
      <c r="G67" s="37">
        <f t="shared" si="25"/>
        <v>0</v>
      </c>
      <c r="H67" s="37">
        <f t="shared" si="25"/>
        <v>0</v>
      </c>
      <c r="I67" s="37">
        <f t="shared" si="25"/>
        <v>0</v>
      </c>
      <c r="J67" s="37">
        <f t="shared" si="25"/>
        <v>0</v>
      </c>
      <c r="K67" s="37">
        <f t="shared" si="25"/>
        <v>0</v>
      </c>
      <c r="L67" s="37">
        <f t="shared" si="25"/>
        <v>0</v>
      </c>
      <c r="M67" s="37">
        <f t="shared" si="25"/>
        <v>0</v>
      </c>
      <c r="N67" s="37">
        <f t="shared" si="25"/>
        <v>0</v>
      </c>
      <c r="O67" s="37">
        <f t="shared" si="25"/>
        <v>0</v>
      </c>
      <c r="P67" s="37">
        <f t="shared" si="25"/>
        <v>0</v>
      </c>
      <c r="Q67" s="37">
        <f t="shared" si="25"/>
        <v>0</v>
      </c>
      <c r="R67" s="37">
        <f t="shared" si="25"/>
        <v>0</v>
      </c>
      <c r="S67" s="37">
        <f t="shared" si="25"/>
        <v>0</v>
      </c>
      <c r="T67" s="37">
        <f t="shared" si="25"/>
        <v>0</v>
      </c>
      <c r="U67" s="37">
        <f t="shared" si="25"/>
        <v>0</v>
      </c>
      <c r="V67" s="37">
        <f t="shared" si="25"/>
        <v>0</v>
      </c>
      <c r="W67" s="37">
        <f t="shared" si="25"/>
        <v>0</v>
      </c>
      <c r="X67" s="37">
        <f t="shared" si="25"/>
        <v>0</v>
      </c>
      <c r="Y67" s="37">
        <f t="shared" si="18"/>
        <v>0</v>
      </c>
      <c r="AA67" s="49">
        <f t="shared" si="19"/>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c r="A68" s="278">
        <f>VLOOKUP(D68,'Measure InputOutput-New_Out'!$A$4:$M$21,3,FALSE)</f>
        <v>786.86843936637206</v>
      </c>
      <c r="B68" s="278">
        <f>VLOOKUP(D68,'Measure InputOutput-New_Out'!$A$4:$M$21,11,FALSE)</f>
        <v>30.151009464921778</v>
      </c>
      <c r="C68" s="18" t="str">
        <f t="shared" si="15"/>
        <v>University</v>
      </c>
      <c r="D68" s="18" t="str">
        <f t="shared" si="16"/>
        <v>Commercial EM-New-University</v>
      </c>
      <c r="E68" s="37">
        <f t="shared" ref="E68:X68" si="26">E44*$A68/8760000*1000</f>
        <v>0</v>
      </c>
      <c r="F68" s="37">
        <f t="shared" si="26"/>
        <v>0</v>
      </c>
      <c r="G68" s="37">
        <f t="shared" si="26"/>
        <v>0</v>
      </c>
      <c r="H68" s="37">
        <f t="shared" si="26"/>
        <v>0</v>
      </c>
      <c r="I68" s="37">
        <f t="shared" si="26"/>
        <v>0</v>
      </c>
      <c r="J68" s="37">
        <f t="shared" si="26"/>
        <v>0</v>
      </c>
      <c r="K68" s="37">
        <f t="shared" si="26"/>
        <v>0</v>
      </c>
      <c r="L68" s="37">
        <f t="shared" si="26"/>
        <v>0</v>
      </c>
      <c r="M68" s="37">
        <f t="shared" si="26"/>
        <v>0</v>
      </c>
      <c r="N68" s="37">
        <f t="shared" si="26"/>
        <v>0</v>
      </c>
      <c r="O68" s="37">
        <f t="shared" si="26"/>
        <v>0</v>
      </c>
      <c r="P68" s="37">
        <f t="shared" si="26"/>
        <v>0</v>
      </c>
      <c r="Q68" s="37">
        <f t="shared" si="26"/>
        <v>0</v>
      </c>
      <c r="R68" s="37">
        <f t="shared" si="26"/>
        <v>0</v>
      </c>
      <c r="S68" s="37">
        <f t="shared" si="26"/>
        <v>0</v>
      </c>
      <c r="T68" s="37">
        <f t="shared" si="26"/>
        <v>0</v>
      </c>
      <c r="U68" s="37">
        <f t="shared" si="26"/>
        <v>0</v>
      </c>
      <c r="V68" s="37">
        <f t="shared" si="26"/>
        <v>0</v>
      </c>
      <c r="W68" s="37">
        <f t="shared" si="26"/>
        <v>0</v>
      </c>
      <c r="X68" s="37">
        <f t="shared" si="26"/>
        <v>0</v>
      </c>
      <c r="Y68" s="37">
        <f t="shared" si="18"/>
        <v>0</v>
      </c>
      <c r="AA68" s="49">
        <f t="shared" si="19"/>
        <v>0</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c r="A69" s="278">
        <f>VLOOKUP(D69,'Measure InputOutput-New_Out'!$A$4:$M$21,3,FALSE)</f>
        <v>28.555722339495329</v>
      </c>
      <c r="B69" s="278">
        <f>VLOOKUP(D69,'Measure InputOutput-New_Out'!$A$4:$M$21,11,FALSE)</f>
        <v>75.821833005703837</v>
      </c>
      <c r="C69" s="18" t="str">
        <f t="shared" si="15"/>
        <v>Warehouse</v>
      </c>
      <c r="D69" s="18" t="str">
        <f t="shared" si="16"/>
        <v>Commercial EM-New-Warehouse</v>
      </c>
      <c r="E69" s="37">
        <f t="shared" ref="E69:X69" si="27">E45*$A69/8760000*1000</f>
        <v>0</v>
      </c>
      <c r="F69" s="37">
        <f t="shared" si="27"/>
        <v>0</v>
      </c>
      <c r="G69" s="37">
        <f t="shared" si="27"/>
        <v>0</v>
      </c>
      <c r="H69" s="37">
        <f t="shared" si="27"/>
        <v>0</v>
      </c>
      <c r="I69" s="37">
        <f t="shared" si="27"/>
        <v>0</v>
      </c>
      <c r="J69" s="37">
        <f t="shared" si="27"/>
        <v>0</v>
      </c>
      <c r="K69" s="37">
        <f t="shared" si="27"/>
        <v>0</v>
      </c>
      <c r="L69" s="37">
        <f t="shared" si="27"/>
        <v>0</v>
      </c>
      <c r="M69" s="37">
        <f t="shared" si="27"/>
        <v>0</v>
      </c>
      <c r="N69" s="37">
        <f t="shared" si="27"/>
        <v>0</v>
      </c>
      <c r="O69" s="37">
        <f t="shared" si="27"/>
        <v>0</v>
      </c>
      <c r="P69" s="37">
        <f t="shared" si="27"/>
        <v>0</v>
      </c>
      <c r="Q69" s="37">
        <f t="shared" si="27"/>
        <v>0</v>
      </c>
      <c r="R69" s="37">
        <f t="shared" si="27"/>
        <v>0</v>
      </c>
      <c r="S69" s="37">
        <f t="shared" si="27"/>
        <v>0</v>
      </c>
      <c r="T69" s="37">
        <f t="shared" si="27"/>
        <v>0</v>
      </c>
      <c r="U69" s="37">
        <f t="shared" si="27"/>
        <v>0</v>
      </c>
      <c r="V69" s="37">
        <f t="shared" si="27"/>
        <v>0</v>
      </c>
      <c r="W69" s="37">
        <f t="shared" si="27"/>
        <v>0</v>
      </c>
      <c r="X69" s="37">
        <f t="shared" si="27"/>
        <v>0</v>
      </c>
      <c r="Y69" s="37">
        <f t="shared" si="18"/>
        <v>0</v>
      </c>
      <c r="AA69" s="49">
        <f t="shared" si="19"/>
        <v>0</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c r="A70" s="278">
        <f>VLOOKUP(D70,'Measure InputOutput-New_Out'!$A$4:$M$21,3,FALSE)</f>
        <v>107.74372927182733</v>
      </c>
      <c r="B70" s="278">
        <f>VLOOKUP(D70,'Measure InputOutput-New_Out'!$A$4:$M$21,11,FALSE)</f>
        <v>13.331638507516843</v>
      </c>
      <c r="C70" s="18" t="str">
        <f t="shared" si="15"/>
        <v>Supermarket</v>
      </c>
      <c r="D70" s="18" t="str">
        <f t="shared" si="16"/>
        <v>Commercial EM-New-Supermarket</v>
      </c>
      <c r="E70" s="37">
        <f t="shared" ref="E70:X70" si="28">E46*$A70/8760000*1000</f>
        <v>0</v>
      </c>
      <c r="F70" s="37">
        <f t="shared" si="28"/>
        <v>0</v>
      </c>
      <c r="G70" s="37">
        <f t="shared" si="28"/>
        <v>0</v>
      </c>
      <c r="H70" s="37">
        <f t="shared" si="28"/>
        <v>0</v>
      </c>
      <c r="I70" s="37">
        <f t="shared" si="28"/>
        <v>0</v>
      </c>
      <c r="J70" s="37">
        <f t="shared" si="28"/>
        <v>0</v>
      </c>
      <c r="K70" s="37">
        <f t="shared" si="28"/>
        <v>0</v>
      </c>
      <c r="L70" s="37">
        <f t="shared" si="28"/>
        <v>0</v>
      </c>
      <c r="M70" s="37">
        <f t="shared" si="28"/>
        <v>0</v>
      </c>
      <c r="N70" s="37">
        <f t="shared" si="28"/>
        <v>0</v>
      </c>
      <c r="O70" s="37">
        <f t="shared" si="28"/>
        <v>0</v>
      </c>
      <c r="P70" s="37">
        <f t="shared" si="28"/>
        <v>0</v>
      </c>
      <c r="Q70" s="37">
        <f t="shared" si="28"/>
        <v>0</v>
      </c>
      <c r="R70" s="37">
        <f t="shared" si="28"/>
        <v>0</v>
      </c>
      <c r="S70" s="37">
        <f t="shared" si="28"/>
        <v>0</v>
      </c>
      <c r="T70" s="37">
        <f t="shared" si="28"/>
        <v>0</v>
      </c>
      <c r="U70" s="37">
        <f t="shared" si="28"/>
        <v>0</v>
      </c>
      <c r="V70" s="37">
        <f t="shared" si="28"/>
        <v>0</v>
      </c>
      <c r="W70" s="37">
        <f t="shared" si="28"/>
        <v>0</v>
      </c>
      <c r="X70" s="37">
        <f t="shared" si="28"/>
        <v>0</v>
      </c>
      <c r="Y70" s="37">
        <f t="shared" si="18"/>
        <v>0</v>
      </c>
      <c r="AA70" s="49">
        <f t="shared" si="19"/>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c r="A71" s="278">
        <f>VLOOKUP(D71,'Measure InputOutput-New_Out'!$A$4:$M$21,3,FALSE)</f>
        <v>0</v>
      </c>
      <c r="B71" s="278">
        <f>VLOOKUP(D71,'Measure InputOutput-New_Out'!$A$4:$M$21,11,FALSE)</f>
        <v>9999</v>
      </c>
      <c r="C71" s="18" t="str">
        <f t="shared" si="15"/>
        <v>MiniMart</v>
      </c>
      <c r="D71" s="18" t="str">
        <f t="shared" si="16"/>
        <v>Commercial EM-New-MiniMart</v>
      </c>
      <c r="E71" s="37">
        <f t="shared" ref="E71:X71" si="29">E47*$A71/8760000*1000</f>
        <v>0</v>
      </c>
      <c r="F71" s="37">
        <f t="shared" si="29"/>
        <v>0</v>
      </c>
      <c r="G71" s="37">
        <f t="shared" si="29"/>
        <v>0</v>
      </c>
      <c r="H71" s="37">
        <f t="shared" si="29"/>
        <v>0</v>
      </c>
      <c r="I71" s="37">
        <f t="shared" si="29"/>
        <v>0</v>
      </c>
      <c r="J71" s="37">
        <f t="shared" si="29"/>
        <v>0</v>
      </c>
      <c r="K71" s="37">
        <f t="shared" si="29"/>
        <v>0</v>
      </c>
      <c r="L71" s="37">
        <f t="shared" si="29"/>
        <v>0</v>
      </c>
      <c r="M71" s="37">
        <f t="shared" si="29"/>
        <v>0</v>
      </c>
      <c r="N71" s="37">
        <f t="shared" si="29"/>
        <v>0</v>
      </c>
      <c r="O71" s="37">
        <f t="shared" si="29"/>
        <v>0</v>
      </c>
      <c r="P71" s="37">
        <f t="shared" si="29"/>
        <v>0</v>
      </c>
      <c r="Q71" s="37">
        <f t="shared" si="29"/>
        <v>0</v>
      </c>
      <c r="R71" s="37">
        <f t="shared" si="29"/>
        <v>0</v>
      </c>
      <c r="S71" s="37">
        <f t="shared" si="29"/>
        <v>0</v>
      </c>
      <c r="T71" s="37">
        <f t="shared" si="29"/>
        <v>0</v>
      </c>
      <c r="U71" s="37">
        <f t="shared" si="29"/>
        <v>0</v>
      </c>
      <c r="V71" s="37">
        <f t="shared" si="29"/>
        <v>0</v>
      </c>
      <c r="W71" s="37">
        <f t="shared" si="29"/>
        <v>0</v>
      </c>
      <c r="X71" s="37">
        <f t="shared" si="29"/>
        <v>0</v>
      </c>
      <c r="Y71" s="37">
        <f t="shared" si="18"/>
        <v>0</v>
      </c>
      <c r="AA71" s="49">
        <f t="shared" si="19"/>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c r="A72" s="278">
        <f>VLOOKUP(D72,'Measure InputOutput-New_Out'!$A$4:$M$21,3,FALSE)</f>
        <v>47.147792945627636</v>
      </c>
      <c r="B72" s="278">
        <f>VLOOKUP(D72,'Measure InputOutput-New_Out'!$A$4:$M$21,11,FALSE)</f>
        <v>29.909072330150956</v>
      </c>
      <c r="C72" s="18" t="str">
        <f t="shared" si="15"/>
        <v>Restaurant</v>
      </c>
      <c r="D72" s="18" t="str">
        <f t="shared" si="16"/>
        <v>Commercial EM-New-Restaurant</v>
      </c>
      <c r="E72" s="37">
        <f t="shared" ref="E72:X72" si="30">E48*$A72/8760000*1000</f>
        <v>0</v>
      </c>
      <c r="F72" s="37">
        <f t="shared" si="30"/>
        <v>0</v>
      </c>
      <c r="G72" s="37">
        <f t="shared" si="30"/>
        <v>0</v>
      </c>
      <c r="H72" s="37">
        <f t="shared" si="30"/>
        <v>0</v>
      </c>
      <c r="I72" s="37">
        <f t="shared" si="30"/>
        <v>0</v>
      </c>
      <c r="J72" s="37">
        <f t="shared" si="30"/>
        <v>0</v>
      </c>
      <c r="K72" s="37">
        <f t="shared" si="30"/>
        <v>0</v>
      </c>
      <c r="L72" s="37">
        <f t="shared" si="30"/>
        <v>0</v>
      </c>
      <c r="M72" s="37">
        <f t="shared" si="30"/>
        <v>0</v>
      </c>
      <c r="N72" s="37">
        <f t="shared" si="30"/>
        <v>0</v>
      </c>
      <c r="O72" s="37">
        <f t="shared" si="30"/>
        <v>0</v>
      </c>
      <c r="P72" s="37">
        <f t="shared" si="30"/>
        <v>0</v>
      </c>
      <c r="Q72" s="37">
        <f t="shared" si="30"/>
        <v>0</v>
      </c>
      <c r="R72" s="37">
        <f t="shared" si="30"/>
        <v>0</v>
      </c>
      <c r="S72" s="37">
        <f t="shared" si="30"/>
        <v>0</v>
      </c>
      <c r="T72" s="37">
        <f t="shared" si="30"/>
        <v>0</v>
      </c>
      <c r="U72" s="37">
        <f t="shared" si="30"/>
        <v>0</v>
      </c>
      <c r="V72" s="37">
        <f t="shared" si="30"/>
        <v>0</v>
      </c>
      <c r="W72" s="37">
        <f t="shared" si="30"/>
        <v>0</v>
      </c>
      <c r="X72" s="37">
        <f t="shared" si="30"/>
        <v>0</v>
      </c>
      <c r="Y72" s="37">
        <f t="shared" si="18"/>
        <v>0</v>
      </c>
      <c r="AA72" s="49">
        <f t="shared" si="19"/>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c r="A73" s="278">
        <f>VLOOKUP(D73,'Measure InputOutput-New_Out'!$A$4:$M$21,3,FALSE)</f>
        <v>104.98486468699653</v>
      </c>
      <c r="B73" s="278">
        <f>VLOOKUP(D73,'Measure InputOutput-New_Out'!$A$4:$M$21,11,FALSE)</f>
        <v>19.028504099811833</v>
      </c>
      <c r="C73" s="18" t="str">
        <f t="shared" si="15"/>
        <v>Lodging</v>
      </c>
      <c r="D73" s="18" t="str">
        <f t="shared" si="16"/>
        <v>Commercial EM-New-Lodging</v>
      </c>
      <c r="E73" s="37">
        <f t="shared" ref="E73:X73" si="31">E49*$A73/8760000*1000</f>
        <v>0</v>
      </c>
      <c r="F73" s="37">
        <f t="shared" si="31"/>
        <v>0</v>
      </c>
      <c r="G73" s="37">
        <f t="shared" si="31"/>
        <v>0</v>
      </c>
      <c r="H73" s="37">
        <f t="shared" si="31"/>
        <v>0</v>
      </c>
      <c r="I73" s="37">
        <f t="shared" si="31"/>
        <v>0</v>
      </c>
      <c r="J73" s="37">
        <f t="shared" si="31"/>
        <v>0</v>
      </c>
      <c r="K73" s="37">
        <f t="shared" si="31"/>
        <v>0</v>
      </c>
      <c r="L73" s="37">
        <f t="shared" si="31"/>
        <v>0</v>
      </c>
      <c r="M73" s="37">
        <f t="shared" si="31"/>
        <v>0</v>
      </c>
      <c r="N73" s="37">
        <f t="shared" si="31"/>
        <v>0</v>
      </c>
      <c r="O73" s="37">
        <f t="shared" si="31"/>
        <v>0</v>
      </c>
      <c r="P73" s="37">
        <f t="shared" si="31"/>
        <v>0</v>
      </c>
      <c r="Q73" s="37">
        <f t="shared" si="31"/>
        <v>0</v>
      </c>
      <c r="R73" s="37">
        <f t="shared" si="31"/>
        <v>0</v>
      </c>
      <c r="S73" s="37">
        <f t="shared" si="31"/>
        <v>0</v>
      </c>
      <c r="T73" s="37">
        <f t="shared" si="31"/>
        <v>0</v>
      </c>
      <c r="U73" s="37">
        <f t="shared" si="31"/>
        <v>0</v>
      </c>
      <c r="V73" s="37">
        <f t="shared" si="31"/>
        <v>0</v>
      </c>
      <c r="W73" s="37">
        <f t="shared" si="31"/>
        <v>0</v>
      </c>
      <c r="X73" s="37">
        <f t="shared" si="31"/>
        <v>0</v>
      </c>
      <c r="Y73" s="37">
        <f t="shared" si="18"/>
        <v>0</v>
      </c>
      <c r="AA73" s="49">
        <f t="shared" si="19"/>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c r="A74" s="278">
        <f>VLOOKUP(D74,'Measure InputOutput-New_Out'!$A$4:$M$21,3,FALSE)</f>
        <v>1557.8748791164633</v>
      </c>
      <c r="B74" s="278">
        <f>VLOOKUP(D74,'Measure InputOutput-New_Out'!$A$4:$M$21,11,FALSE)</f>
        <v>5.758515397976617</v>
      </c>
      <c r="C74" s="18" t="str">
        <f t="shared" si="15"/>
        <v>Hospital</v>
      </c>
      <c r="D74" s="18" t="str">
        <f t="shared" si="16"/>
        <v>Commercial EM-New-Hospital</v>
      </c>
      <c r="E74" s="37">
        <f t="shared" ref="E74:X74" si="32">E50*$A74/8760000*1000</f>
        <v>0</v>
      </c>
      <c r="F74" s="37">
        <f t="shared" si="32"/>
        <v>0</v>
      </c>
      <c r="G74" s="37">
        <f t="shared" si="32"/>
        <v>0</v>
      </c>
      <c r="H74" s="37">
        <f t="shared" si="32"/>
        <v>0</v>
      </c>
      <c r="I74" s="37">
        <f t="shared" si="32"/>
        <v>0</v>
      </c>
      <c r="J74" s="37">
        <f t="shared" si="32"/>
        <v>0</v>
      </c>
      <c r="K74" s="37">
        <f t="shared" si="32"/>
        <v>0</v>
      </c>
      <c r="L74" s="37">
        <f t="shared" si="32"/>
        <v>0</v>
      </c>
      <c r="M74" s="37">
        <f t="shared" si="32"/>
        <v>0</v>
      </c>
      <c r="N74" s="37">
        <f t="shared" si="32"/>
        <v>0</v>
      </c>
      <c r="O74" s="37">
        <f t="shared" si="32"/>
        <v>0</v>
      </c>
      <c r="P74" s="37">
        <f t="shared" si="32"/>
        <v>0</v>
      </c>
      <c r="Q74" s="37">
        <f t="shared" si="32"/>
        <v>0</v>
      </c>
      <c r="R74" s="37">
        <f t="shared" si="32"/>
        <v>0</v>
      </c>
      <c r="S74" s="37">
        <f t="shared" si="32"/>
        <v>0</v>
      </c>
      <c r="T74" s="37">
        <f t="shared" si="32"/>
        <v>0</v>
      </c>
      <c r="U74" s="37">
        <f t="shared" si="32"/>
        <v>0</v>
      </c>
      <c r="V74" s="37">
        <f t="shared" si="32"/>
        <v>0</v>
      </c>
      <c r="W74" s="37">
        <f t="shared" si="32"/>
        <v>0</v>
      </c>
      <c r="X74" s="37">
        <f t="shared" si="32"/>
        <v>0</v>
      </c>
      <c r="Y74" s="37">
        <f t="shared" si="18"/>
        <v>0</v>
      </c>
      <c r="AA74" s="49">
        <f t="shared" si="19"/>
        <v>0</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c r="A75" s="278">
        <f>VLOOKUP(D75,'Measure InputOutput-New_Out'!$A$4:$M$21,3,FALSE)</f>
        <v>117.9786521379376</v>
      </c>
      <c r="B75" s="278">
        <f>VLOOKUP(D75,'Measure InputOutput-New_Out'!$A$4:$M$21,11,FALSE)</f>
        <v>3.1067213756039616</v>
      </c>
      <c r="C75" s="18" t="str">
        <f t="shared" si="15"/>
        <v>Residential Care</v>
      </c>
      <c r="D75" s="18" t="str">
        <f t="shared" si="16"/>
        <v>Commercial EM-New-Residential Care</v>
      </c>
      <c r="E75" s="37">
        <f t="shared" ref="E75:X75" si="33">E51*$A75/8760000*1000</f>
        <v>0</v>
      </c>
      <c r="F75" s="37">
        <f t="shared" si="33"/>
        <v>0</v>
      </c>
      <c r="G75" s="37">
        <f t="shared" si="33"/>
        <v>0</v>
      </c>
      <c r="H75" s="37">
        <f t="shared" si="33"/>
        <v>0</v>
      </c>
      <c r="I75" s="37">
        <f t="shared" si="33"/>
        <v>0</v>
      </c>
      <c r="J75" s="37">
        <f t="shared" si="33"/>
        <v>0</v>
      </c>
      <c r="K75" s="37">
        <f t="shared" si="33"/>
        <v>0</v>
      </c>
      <c r="L75" s="37">
        <f t="shared" si="33"/>
        <v>0</v>
      </c>
      <c r="M75" s="37">
        <f t="shared" si="33"/>
        <v>0</v>
      </c>
      <c r="N75" s="37">
        <f t="shared" si="33"/>
        <v>0</v>
      </c>
      <c r="O75" s="37">
        <f t="shared" si="33"/>
        <v>0</v>
      </c>
      <c r="P75" s="37">
        <f t="shared" si="33"/>
        <v>0</v>
      </c>
      <c r="Q75" s="37">
        <f t="shared" si="33"/>
        <v>0</v>
      </c>
      <c r="R75" s="37">
        <f t="shared" si="33"/>
        <v>0</v>
      </c>
      <c r="S75" s="37">
        <f t="shared" si="33"/>
        <v>0</v>
      </c>
      <c r="T75" s="37">
        <f t="shared" si="33"/>
        <v>0</v>
      </c>
      <c r="U75" s="37">
        <f t="shared" si="33"/>
        <v>0</v>
      </c>
      <c r="V75" s="37">
        <f t="shared" si="33"/>
        <v>0</v>
      </c>
      <c r="W75" s="37">
        <f t="shared" si="33"/>
        <v>0</v>
      </c>
      <c r="X75" s="37">
        <f t="shared" si="33"/>
        <v>0</v>
      </c>
      <c r="Y75" s="37">
        <f t="shared" si="18"/>
        <v>0</v>
      </c>
      <c r="AA75" s="49">
        <f t="shared" si="19"/>
        <v>0</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c r="A76" s="278">
        <f>VLOOKUP(D76,'Measure InputOutput-New_Out'!$A$4:$M$21,3,FALSE)</f>
        <v>153.83615008744098</v>
      </c>
      <c r="B76" s="278">
        <f>VLOOKUP(D76,'Measure InputOutput-New_Out'!$A$4:$M$21,11,FALSE)</f>
        <v>14.195763976224121</v>
      </c>
      <c r="C76" s="18" t="str">
        <f t="shared" si="15"/>
        <v>Assembly</v>
      </c>
      <c r="D76" s="18" t="str">
        <f t="shared" si="16"/>
        <v>Commercial EM-New-Assembly</v>
      </c>
      <c r="E76" s="37">
        <f t="shared" ref="E76:X76" si="34">E52*$A76/8760000*1000</f>
        <v>0</v>
      </c>
      <c r="F76" s="37">
        <f t="shared" si="34"/>
        <v>0</v>
      </c>
      <c r="G76" s="37">
        <f t="shared" si="34"/>
        <v>0</v>
      </c>
      <c r="H76" s="37">
        <f t="shared" si="34"/>
        <v>0</v>
      </c>
      <c r="I76" s="37">
        <f t="shared" si="34"/>
        <v>0</v>
      </c>
      <c r="J76" s="37">
        <f t="shared" si="34"/>
        <v>0</v>
      </c>
      <c r="K76" s="37">
        <f t="shared" si="34"/>
        <v>0</v>
      </c>
      <c r="L76" s="37">
        <f t="shared" si="34"/>
        <v>0</v>
      </c>
      <c r="M76" s="37">
        <f t="shared" si="34"/>
        <v>0</v>
      </c>
      <c r="N76" s="37">
        <f t="shared" si="34"/>
        <v>0</v>
      </c>
      <c r="O76" s="37">
        <f t="shared" si="34"/>
        <v>0</v>
      </c>
      <c r="P76" s="37">
        <f t="shared" si="34"/>
        <v>0</v>
      </c>
      <c r="Q76" s="37">
        <f t="shared" si="34"/>
        <v>0</v>
      </c>
      <c r="R76" s="37">
        <f t="shared" si="34"/>
        <v>0</v>
      </c>
      <c r="S76" s="37">
        <f t="shared" si="34"/>
        <v>0</v>
      </c>
      <c r="T76" s="37">
        <f t="shared" si="34"/>
        <v>0</v>
      </c>
      <c r="U76" s="37">
        <f t="shared" si="34"/>
        <v>0</v>
      </c>
      <c r="V76" s="37">
        <f t="shared" si="34"/>
        <v>0</v>
      </c>
      <c r="W76" s="37">
        <f t="shared" si="34"/>
        <v>0</v>
      </c>
      <c r="X76" s="37">
        <f t="shared" si="34"/>
        <v>0</v>
      </c>
      <c r="Y76" s="37">
        <f t="shared" si="18"/>
        <v>0</v>
      </c>
      <c r="AA76" s="49">
        <f t="shared" si="19"/>
        <v>0</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c r="A77" s="278">
        <f>VLOOKUP(D77,'Measure InputOutput-New_Out'!$A$4:$M$21,3,FALSE)</f>
        <v>183.02175929235841</v>
      </c>
      <c r="B77" s="278">
        <f>VLOOKUP(D77,'Measure InputOutput-New_Out'!$A$4:$M$21,11,FALSE)</f>
        <v>13.205179162635952</v>
      </c>
      <c r="C77" s="18" t="str">
        <f t="shared" si="15"/>
        <v>Other</v>
      </c>
      <c r="D77" s="18" t="str">
        <f t="shared" si="16"/>
        <v>Commercial EM-New-Other</v>
      </c>
      <c r="E77" s="37">
        <f t="shared" ref="E77:X77" si="35">E53*$A77/8760000*1000</f>
        <v>0</v>
      </c>
      <c r="F77" s="37">
        <f t="shared" si="35"/>
        <v>0</v>
      </c>
      <c r="G77" s="37">
        <f t="shared" si="35"/>
        <v>0</v>
      </c>
      <c r="H77" s="37">
        <f t="shared" si="35"/>
        <v>0</v>
      </c>
      <c r="I77" s="37">
        <f t="shared" si="35"/>
        <v>0</v>
      </c>
      <c r="J77" s="37">
        <f t="shared" si="35"/>
        <v>0</v>
      </c>
      <c r="K77" s="37">
        <f t="shared" si="35"/>
        <v>0</v>
      </c>
      <c r="L77" s="37">
        <f t="shared" si="35"/>
        <v>0</v>
      </c>
      <c r="M77" s="37">
        <f t="shared" si="35"/>
        <v>0</v>
      </c>
      <c r="N77" s="37">
        <f t="shared" si="35"/>
        <v>0</v>
      </c>
      <c r="O77" s="37">
        <f t="shared" si="35"/>
        <v>0</v>
      </c>
      <c r="P77" s="37">
        <f t="shared" si="35"/>
        <v>0</v>
      </c>
      <c r="Q77" s="37">
        <f t="shared" si="35"/>
        <v>0</v>
      </c>
      <c r="R77" s="37">
        <f t="shared" si="35"/>
        <v>0</v>
      </c>
      <c r="S77" s="37">
        <f t="shared" si="35"/>
        <v>0</v>
      </c>
      <c r="T77" s="37">
        <f t="shared" si="35"/>
        <v>0</v>
      </c>
      <c r="U77" s="37">
        <f t="shared" si="35"/>
        <v>0</v>
      </c>
      <c r="V77" s="37">
        <f t="shared" si="35"/>
        <v>0</v>
      </c>
      <c r="W77" s="37">
        <f t="shared" si="35"/>
        <v>0</v>
      </c>
      <c r="X77" s="37">
        <f t="shared" si="35"/>
        <v>0</v>
      </c>
      <c r="Y77" s="37">
        <f t="shared" si="18"/>
        <v>0</v>
      </c>
      <c r="AA77" s="49">
        <f t="shared" si="19"/>
        <v>0</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c r="A78" s="194"/>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c r="D79" s="42"/>
      <c r="E79" s="42"/>
      <c r="F79" s="42"/>
      <c r="G79" s="42"/>
      <c r="H79" s="42"/>
      <c r="I79" s="42"/>
      <c r="J79" s="42"/>
      <c r="K79" s="42"/>
      <c r="L79" s="42"/>
      <c r="M79" s="42"/>
      <c r="N79" s="42"/>
      <c r="O79" s="42"/>
      <c r="P79" s="42"/>
      <c r="Q79" s="42"/>
      <c r="R79" s="42"/>
      <c r="S79" s="42"/>
      <c r="T79" s="42"/>
      <c r="U79" s="42"/>
      <c r="V79" s="42"/>
      <c r="W79" s="42"/>
      <c r="X79" s="42"/>
      <c r="Y79" s="42">
        <f>SUM(Y60:Y78)</f>
        <v>0</v>
      </c>
      <c r="Z79" s="42"/>
      <c r="AA79" s="42">
        <f>SUM(AA60:AA78)</f>
        <v>0</v>
      </c>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ht="15">
      <c r="A82" s="43" t="s">
        <v>46</v>
      </c>
      <c r="B82" s="44"/>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C83" s="45"/>
      <c r="D83" s="45"/>
      <c r="E83" s="40">
        <f>E58</f>
        <v>2016</v>
      </c>
      <c r="F83" s="40">
        <f t="shared" ref="F83:X83" si="36">F58</f>
        <v>2017</v>
      </c>
      <c r="G83" s="40">
        <f t="shared" si="36"/>
        <v>2018</v>
      </c>
      <c r="H83" s="40">
        <f t="shared" si="36"/>
        <v>2019</v>
      </c>
      <c r="I83" s="40">
        <f t="shared" si="36"/>
        <v>2020</v>
      </c>
      <c r="J83" s="40">
        <f t="shared" si="36"/>
        <v>2021</v>
      </c>
      <c r="K83" s="40">
        <f t="shared" si="36"/>
        <v>2022</v>
      </c>
      <c r="L83" s="40">
        <f t="shared" si="36"/>
        <v>2023</v>
      </c>
      <c r="M83" s="40">
        <f t="shared" si="36"/>
        <v>2024</v>
      </c>
      <c r="N83" s="40">
        <f t="shared" si="36"/>
        <v>2025</v>
      </c>
      <c r="O83" s="40">
        <f t="shared" si="36"/>
        <v>2026</v>
      </c>
      <c r="P83" s="40">
        <f t="shared" si="36"/>
        <v>2027</v>
      </c>
      <c r="Q83" s="40">
        <f t="shared" si="36"/>
        <v>2028</v>
      </c>
      <c r="R83" s="40">
        <f t="shared" si="36"/>
        <v>2029</v>
      </c>
      <c r="S83" s="40">
        <f t="shared" si="36"/>
        <v>2030</v>
      </c>
      <c r="T83" s="40">
        <f t="shared" si="36"/>
        <v>2031</v>
      </c>
      <c r="U83" s="40">
        <f t="shared" si="36"/>
        <v>2032</v>
      </c>
      <c r="V83" s="40">
        <f t="shared" si="36"/>
        <v>2033</v>
      </c>
      <c r="W83" s="40">
        <f t="shared" si="36"/>
        <v>2034</v>
      </c>
      <c r="X83" s="40">
        <f t="shared" si="36"/>
        <v>2035</v>
      </c>
      <c r="Y83" s="40" t="s">
        <v>444</v>
      </c>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46" t="s">
        <v>43</v>
      </c>
      <c r="D84" s="46" t="s">
        <v>43</v>
      </c>
      <c r="E84" s="41" t="str">
        <f>CONCATENATE("aMW_",E$11)</f>
        <v>aMW_2016</v>
      </c>
      <c r="F84" s="41" t="str">
        <f t="shared" ref="F84:X84" si="37">CONCATENATE("aMW_",F$11)</f>
        <v>aMW_2017</v>
      </c>
      <c r="G84" s="41" t="str">
        <f t="shared" si="37"/>
        <v>aMW_2018</v>
      </c>
      <c r="H84" s="41" t="str">
        <f t="shared" si="37"/>
        <v>aMW_2019</v>
      </c>
      <c r="I84" s="41" t="str">
        <f t="shared" si="37"/>
        <v>aMW_2020</v>
      </c>
      <c r="J84" s="41" t="str">
        <f t="shared" si="37"/>
        <v>aMW_2021</v>
      </c>
      <c r="K84" s="41" t="str">
        <f t="shared" si="37"/>
        <v>aMW_2022</v>
      </c>
      <c r="L84" s="41" t="str">
        <f t="shared" si="37"/>
        <v>aMW_2023</v>
      </c>
      <c r="M84" s="41" t="str">
        <f t="shared" si="37"/>
        <v>aMW_2024</v>
      </c>
      <c r="N84" s="41" t="str">
        <f t="shared" si="37"/>
        <v>aMW_2025</v>
      </c>
      <c r="O84" s="41" t="str">
        <f t="shared" si="37"/>
        <v>aMW_2026</v>
      </c>
      <c r="P84" s="41" t="str">
        <f t="shared" si="37"/>
        <v>aMW_2027</v>
      </c>
      <c r="Q84" s="41" t="str">
        <f t="shared" si="37"/>
        <v>aMW_2028</v>
      </c>
      <c r="R84" s="41" t="str">
        <f t="shared" si="37"/>
        <v>aMW_2029</v>
      </c>
      <c r="S84" s="41" t="str">
        <f t="shared" si="37"/>
        <v>aMW_2030</v>
      </c>
      <c r="T84" s="41" t="str">
        <f t="shared" si="37"/>
        <v>aMW_2031</v>
      </c>
      <c r="U84" s="41" t="str">
        <f t="shared" si="37"/>
        <v>aMW_2032</v>
      </c>
      <c r="V84" s="41" t="str">
        <f t="shared" si="37"/>
        <v>aMW_2033</v>
      </c>
      <c r="W84" s="41" t="str">
        <f t="shared" si="37"/>
        <v>aMW_2034</v>
      </c>
      <c r="X84" s="41" t="str">
        <f t="shared" si="37"/>
        <v>aMW_2035</v>
      </c>
      <c r="Y84" s="41" t="s">
        <v>445</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c r="B85" s="18" t="s">
        <v>47</v>
      </c>
      <c r="C85" s="47" t="s">
        <v>48</v>
      </c>
      <c r="D85" s="47" t="s">
        <v>49</v>
      </c>
      <c r="E85" s="37">
        <f>DSUM($B$59:$Y$77,E$59,$C$84:$D85)</f>
        <v>0</v>
      </c>
      <c r="F85" s="37">
        <f>DSUM($B$59:$Y$77,F$59,$C$84:$D85)</f>
        <v>0</v>
      </c>
      <c r="G85" s="37">
        <f>DSUM($B$59:$Y$77,G$59,$C$84:$D85)</f>
        <v>0</v>
      </c>
      <c r="H85" s="37">
        <f>DSUM($B$59:$Y$77,H$59,$C$84:$D85)</f>
        <v>0</v>
      </c>
      <c r="I85" s="37">
        <f>DSUM($B$59:$Y$77,I$59,$C$84:$D85)</f>
        <v>0</v>
      </c>
      <c r="J85" s="37">
        <f>DSUM($B$59:$Y$77,J$59,$C$84:$D85)</f>
        <v>0</v>
      </c>
      <c r="K85" s="37">
        <f>DSUM($B$59:$Y$77,K$59,$C$84:$D85)</f>
        <v>0</v>
      </c>
      <c r="L85" s="37">
        <f>DSUM($B$59:$Y$77,L$59,$C$84:$D85)</f>
        <v>0</v>
      </c>
      <c r="M85" s="37">
        <f>DSUM($B$59:$Y$77,M$59,$C$84:$D85)</f>
        <v>0</v>
      </c>
      <c r="N85" s="37">
        <f>DSUM($B$59:$Y$77,N$59,$C$84:$D85)</f>
        <v>0</v>
      </c>
      <c r="O85" s="37">
        <f>DSUM($B$59:$Y$77,O$59,$C$84:$D85)</f>
        <v>0</v>
      </c>
      <c r="P85" s="37">
        <f>DSUM($B$59:$Y$77,P$59,$C$84:$D85)</f>
        <v>0</v>
      </c>
      <c r="Q85" s="37">
        <f>DSUM($B$59:$Y$77,Q$59,$C$84:$D85)</f>
        <v>0</v>
      </c>
      <c r="R85" s="37">
        <f>DSUM($B$59:$Y$77,R$59,$C$84:$D85)</f>
        <v>0</v>
      </c>
      <c r="S85" s="37">
        <f>DSUM($B$59:$Y$77,S$59,$C$84:$D85)</f>
        <v>0</v>
      </c>
      <c r="T85" s="37">
        <f>DSUM($B$59:$Y$77,T$59,$C$84:$D85)</f>
        <v>0</v>
      </c>
      <c r="U85" s="37">
        <f>DSUM($B$59:$Y$77,U$59,$C$84:$D85)</f>
        <v>0</v>
      </c>
      <c r="V85" s="37">
        <f>DSUM($B$59:$Y$77,V$59,$C$84:$D85)</f>
        <v>0</v>
      </c>
      <c r="W85" s="37">
        <f>DSUM($B$59:$Y$77,W$59,$C$84:$D85)</f>
        <v>0</v>
      </c>
      <c r="X85" s="37">
        <f>DSUM($B$59:$Y$77,X$59,$C$84:$D85)</f>
        <v>0</v>
      </c>
      <c r="Y85" s="37">
        <f>DSUM($B$59:$Y$77,Y$59,$C$84:$D85)</f>
        <v>0</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18" t="s">
        <v>50</v>
      </c>
      <c r="C86" s="47" t="s">
        <v>51</v>
      </c>
      <c r="D86" s="47" t="s">
        <v>52</v>
      </c>
      <c r="E86" s="37">
        <f>DSUM($B$59:$Y$77,E$59,$C$84:$D86)</f>
        <v>0</v>
      </c>
      <c r="F86" s="37">
        <f>DSUM($B$59:$Y$77,F$59,$C$84:$D86)</f>
        <v>0</v>
      </c>
      <c r="G86" s="37">
        <f>DSUM($B$59:$Y$77,G$59,$C$84:$D86)</f>
        <v>0</v>
      </c>
      <c r="H86" s="37">
        <f>DSUM($B$59:$Y$77,H$59,$C$84:$D86)</f>
        <v>0</v>
      </c>
      <c r="I86" s="37">
        <f>DSUM($B$59:$Y$77,I$59,$C$84:$D86)</f>
        <v>0</v>
      </c>
      <c r="J86" s="37">
        <f>DSUM($B$59:$Y$77,J$59,$C$84:$D86)</f>
        <v>0</v>
      </c>
      <c r="K86" s="37">
        <f>DSUM($B$59:$Y$77,K$59,$C$84:$D86)</f>
        <v>0</v>
      </c>
      <c r="L86" s="37">
        <f>DSUM($B$59:$Y$77,L$59,$C$84:$D86)</f>
        <v>0</v>
      </c>
      <c r="M86" s="37">
        <f>DSUM($B$59:$Y$77,M$59,$C$84:$D86)</f>
        <v>0</v>
      </c>
      <c r="N86" s="37">
        <f>DSUM($B$59:$Y$77,N$59,$C$84:$D86)</f>
        <v>0</v>
      </c>
      <c r="O86" s="37">
        <f>DSUM($B$59:$Y$77,O$59,$C$84:$D86)</f>
        <v>0</v>
      </c>
      <c r="P86" s="37">
        <f>DSUM($B$59:$Y$77,P$59,$C$84:$D86)</f>
        <v>0</v>
      </c>
      <c r="Q86" s="37">
        <f>DSUM($B$59:$Y$77,Q$59,$C$84:$D86)</f>
        <v>0</v>
      </c>
      <c r="R86" s="37">
        <f>DSUM($B$59:$Y$77,R$59,$C$84:$D86)</f>
        <v>0</v>
      </c>
      <c r="S86" s="37">
        <f>DSUM($B$59:$Y$77,S$59,$C$84:$D86)</f>
        <v>0</v>
      </c>
      <c r="T86" s="37">
        <f>DSUM($B$59:$Y$77,T$59,$C$84:$D86)</f>
        <v>0</v>
      </c>
      <c r="U86" s="37">
        <f>DSUM($B$59:$Y$77,U$59,$C$84:$D86)</f>
        <v>0</v>
      </c>
      <c r="V86" s="37">
        <f>DSUM($B$59:$Y$77,V$59,$C$84:$D86)</f>
        <v>0</v>
      </c>
      <c r="W86" s="37">
        <f>DSUM($B$59:$Y$77,W$59,$C$84:$D86)</f>
        <v>0</v>
      </c>
      <c r="X86" s="37">
        <f>DSUM($B$59:$Y$77,X$59,$C$84:$D86)</f>
        <v>0</v>
      </c>
      <c r="Y86" s="37">
        <f>DSUM($B$59:$Y$77,Y$59,$C$84:$D86)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18" t="s">
        <v>53</v>
      </c>
      <c r="C87" s="47" t="s">
        <v>54</v>
      </c>
      <c r="D87" s="47" t="s">
        <v>55</v>
      </c>
      <c r="E87" s="37">
        <f>DSUM($B$59:$Y$77,E$59,$C$84:$D87)</f>
        <v>0</v>
      </c>
      <c r="F87" s="37">
        <f>DSUM($B$59:$Y$77,F$59,$C$84:$D87)</f>
        <v>0</v>
      </c>
      <c r="G87" s="37">
        <f>DSUM($B$59:$Y$77,G$59,$C$84:$D87)</f>
        <v>0</v>
      </c>
      <c r="H87" s="37">
        <f>DSUM($B$59:$Y$77,H$59,$C$84:$D87)</f>
        <v>0</v>
      </c>
      <c r="I87" s="37">
        <f>DSUM($B$59:$Y$77,I$59,$C$84:$D87)</f>
        <v>0</v>
      </c>
      <c r="J87" s="37">
        <f>DSUM($B$59:$Y$77,J$59,$C$84:$D87)</f>
        <v>0</v>
      </c>
      <c r="K87" s="37">
        <f>DSUM($B$59:$Y$77,K$59,$C$84:$D87)</f>
        <v>0</v>
      </c>
      <c r="L87" s="37">
        <f>DSUM($B$59:$Y$77,L$59,$C$84:$D87)</f>
        <v>0</v>
      </c>
      <c r="M87" s="37">
        <f>DSUM($B$59:$Y$77,M$59,$C$84:$D87)</f>
        <v>0</v>
      </c>
      <c r="N87" s="37">
        <f>DSUM($B$59:$Y$77,N$59,$C$84:$D87)</f>
        <v>0</v>
      </c>
      <c r="O87" s="37">
        <f>DSUM($B$59:$Y$77,O$59,$C$84:$D87)</f>
        <v>0</v>
      </c>
      <c r="P87" s="37">
        <f>DSUM($B$59:$Y$77,P$59,$C$84:$D87)</f>
        <v>0</v>
      </c>
      <c r="Q87" s="37">
        <f>DSUM($B$59:$Y$77,Q$59,$C$84:$D87)</f>
        <v>0</v>
      </c>
      <c r="R87" s="37">
        <f>DSUM($B$59:$Y$77,R$59,$C$84:$D87)</f>
        <v>0</v>
      </c>
      <c r="S87" s="37">
        <f>DSUM($B$59:$Y$77,S$59,$C$84:$D87)</f>
        <v>0</v>
      </c>
      <c r="T87" s="37">
        <f>DSUM($B$59:$Y$77,T$59,$C$84:$D87)</f>
        <v>0</v>
      </c>
      <c r="U87" s="37">
        <f>DSUM($B$59:$Y$77,U$59,$C$84:$D87)</f>
        <v>0</v>
      </c>
      <c r="V87" s="37">
        <f>DSUM($B$59:$Y$77,V$59,$C$84:$D87)</f>
        <v>0</v>
      </c>
      <c r="W87" s="37">
        <f>DSUM($B$59:$Y$77,W$59,$C$84:$D87)</f>
        <v>0</v>
      </c>
      <c r="X87" s="37">
        <f>DSUM($B$59:$Y$77,X$59,$C$84:$D87)</f>
        <v>0</v>
      </c>
      <c r="Y87" s="37">
        <f>DSUM($B$59:$Y$77,Y$59,$C$84:$D87)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18" t="s">
        <v>56</v>
      </c>
      <c r="C88" s="47" t="s">
        <v>57</v>
      </c>
      <c r="D88" s="47" t="s">
        <v>58</v>
      </c>
      <c r="E88" s="37">
        <f>DSUM($B$59:$Y$77,E$59,$C$84:$D88)</f>
        <v>0</v>
      </c>
      <c r="F88" s="37">
        <f>DSUM($B$59:$Y$77,F$59,$C$84:$D88)</f>
        <v>0</v>
      </c>
      <c r="G88" s="37">
        <f>DSUM($B$59:$Y$77,G$59,$C$84:$D88)</f>
        <v>0</v>
      </c>
      <c r="H88" s="37">
        <f>DSUM($B$59:$Y$77,H$59,$C$84:$D88)</f>
        <v>0</v>
      </c>
      <c r="I88" s="37">
        <f>DSUM($B$59:$Y$77,I$59,$C$84:$D88)</f>
        <v>0</v>
      </c>
      <c r="J88" s="37">
        <f>DSUM($B$59:$Y$77,J$59,$C$84:$D88)</f>
        <v>0</v>
      </c>
      <c r="K88" s="37">
        <f>DSUM($B$59:$Y$77,K$59,$C$84:$D88)</f>
        <v>0</v>
      </c>
      <c r="L88" s="37">
        <f>DSUM($B$59:$Y$77,L$59,$C$84:$D88)</f>
        <v>0</v>
      </c>
      <c r="M88" s="37">
        <f>DSUM($B$59:$Y$77,M$59,$C$84:$D88)</f>
        <v>0</v>
      </c>
      <c r="N88" s="37">
        <f>DSUM($B$59:$Y$77,N$59,$C$84:$D88)</f>
        <v>0</v>
      </c>
      <c r="O88" s="37">
        <f>DSUM($B$59:$Y$77,O$59,$C$84:$D88)</f>
        <v>0</v>
      </c>
      <c r="P88" s="37">
        <f>DSUM($B$59:$Y$77,P$59,$C$84:$D88)</f>
        <v>0</v>
      </c>
      <c r="Q88" s="37">
        <f>DSUM($B$59:$Y$77,Q$59,$C$84:$D88)</f>
        <v>0</v>
      </c>
      <c r="R88" s="37">
        <f>DSUM($B$59:$Y$77,R$59,$C$84:$D88)</f>
        <v>0</v>
      </c>
      <c r="S88" s="37">
        <f>DSUM($B$59:$Y$77,S$59,$C$84:$D88)</f>
        <v>0</v>
      </c>
      <c r="T88" s="37">
        <f>DSUM($B$59:$Y$77,T$59,$C$84:$D88)</f>
        <v>0</v>
      </c>
      <c r="U88" s="37">
        <f>DSUM($B$59:$Y$77,U$59,$C$84:$D88)</f>
        <v>0</v>
      </c>
      <c r="V88" s="37">
        <f>DSUM($B$59:$Y$77,V$59,$C$84:$D88)</f>
        <v>0</v>
      </c>
      <c r="W88" s="37">
        <f>DSUM($B$59:$Y$77,W$59,$C$84:$D88)</f>
        <v>0</v>
      </c>
      <c r="X88" s="37">
        <f>DSUM($B$59:$Y$77,X$59,$C$84:$D88)</f>
        <v>0</v>
      </c>
      <c r="Y88" s="37">
        <f>DSUM($B$59:$Y$77,Y$59,$C$84:$D88)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18" t="s">
        <v>59</v>
      </c>
      <c r="C89" s="47" t="s">
        <v>60</v>
      </c>
      <c r="D89" s="47" t="s">
        <v>61</v>
      </c>
      <c r="E89" s="37">
        <f>DSUM($B$59:$Y$77,E$59,$C$84:$D89)</f>
        <v>0</v>
      </c>
      <c r="F89" s="37">
        <f>DSUM($B$59:$Y$77,F$59,$C$84:$D89)</f>
        <v>0</v>
      </c>
      <c r="G89" s="37">
        <f>DSUM($B$59:$Y$77,G$59,$C$84:$D89)</f>
        <v>0</v>
      </c>
      <c r="H89" s="37">
        <f>DSUM($B$59:$Y$77,H$59,$C$84:$D89)</f>
        <v>0</v>
      </c>
      <c r="I89" s="37">
        <f>DSUM($B$59:$Y$77,I$59,$C$84:$D89)</f>
        <v>0</v>
      </c>
      <c r="J89" s="37">
        <f>DSUM($B$59:$Y$77,J$59,$C$84:$D89)</f>
        <v>0</v>
      </c>
      <c r="K89" s="37">
        <f>DSUM($B$59:$Y$77,K$59,$C$84:$D89)</f>
        <v>0</v>
      </c>
      <c r="L89" s="37">
        <f>DSUM($B$59:$Y$77,L$59,$C$84:$D89)</f>
        <v>0</v>
      </c>
      <c r="M89" s="37">
        <f>DSUM($B$59:$Y$77,M$59,$C$84:$D89)</f>
        <v>0</v>
      </c>
      <c r="N89" s="37">
        <f>DSUM($B$59:$Y$77,N$59,$C$84:$D89)</f>
        <v>0</v>
      </c>
      <c r="O89" s="37">
        <f>DSUM($B$59:$Y$77,O$59,$C$84:$D89)</f>
        <v>0</v>
      </c>
      <c r="P89" s="37">
        <f>DSUM($B$59:$Y$77,P$59,$C$84:$D89)</f>
        <v>0</v>
      </c>
      <c r="Q89" s="37">
        <f>DSUM($B$59:$Y$77,Q$59,$C$84:$D89)</f>
        <v>0</v>
      </c>
      <c r="R89" s="37">
        <f>DSUM($B$59:$Y$77,R$59,$C$84:$D89)</f>
        <v>0</v>
      </c>
      <c r="S89" s="37">
        <f>DSUM($B$59:$Y$77,S$59,$C$84:$D89)</f>
        <v>0</v>
      </c>
      <c r="T89" s="37">
        <f>DSUM($B$59:$Y$77,T$59,$C$84:$D89)</f>
        <v>0</v>
      </c>
      <c r="U89" s="37">
        <f>DSUM($B$59:$Y$77,U$59,$C$84:$D89)</f>
        <v>0</v>
      </c>
      <c r="V89" s="37">
        <f>DSUM($B$59:$Y$77,V$59,$C$84:$D89)</f>
        <v>0</v>
      </c>
      <c r="W89" s="37">
        <f>DSUM($B$59:$Y$77,W$59,$C$84:$D89)</f>
        <v>0</v>
      </c>
      <c r="X89" s="37">
        <f>DSUM($B$59:$Y$77,X$59,$C$84:$D89)</f>
        <v>0</v>
      </c>
      <c r="Y89" s="37">
        <f>DSUM($B$59:$Y$77,Y$59,$C$84:$D89)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18" t="s">
        <v>62</v>
      </c>
      <c r="C90" s="47" t="s">
        <v>63</v>
      </c>
      <c r="D90" s="47" t="s">
        <v>64</v>
      </c>
      <c r="E90" s="37">
        <f>DSUM($B$59:$Y$77,E$59,$C$84:$D90)</f>
        <v>0</v>
      </c>
      <c r="F90" s="37">
        <f>DSUM($B$59:$Y$77,F$59,$C$84:$D90)</f>
        <v>0</v>
      </c>
      <c r="G90" s="37">
        <f>DSUM($B$59:$Y$77,G$59,$C$84:$D90)</f>
        <v>0</v>
      </c>
      <c r="H90" s="37">
        <f>DSUM($B$59:$Y$77,H$59,$C$84:$D90)</f>
        <v>0</v>
      </c>
      <c r="I90" s="37">
        <f>DSUM($B$59:$Y$77,I$59,$C$84:$D90)</f>
        <v>0</v>
      </c>
      <c r="J90" s="37">
        <f>DSUM($B$59:$Y$77,J$59,$C$84:$D90)</f>
        <v>0</v>
      </c>
      <c r="K90" s="37">
        <f>DSUM($B$59:$Y$77,K$59,$C$84:$D90)</f>
        <v>0</v>
      </c>
      <c r="L90" s="37">
        <f>DSUM($B$59:$Y$77,L$59,$C$84:$D90)</f>
        <v>0</v>
      </c>
      <c r="M90" s="37">
        <f>DSUM($B$59:$Y$77,M$59,$C$84:$D90)</f>
        <v>0</v>
      </c>
      <c r="N90" s="37">
        <f>DSUM($B$59:$Y$77,N$59,$C$84:$D90)</f>
        <v>0</v>
      </c>
      <c r="O90" s="37">
        <f>DSUM($B$59:$Y$77,O$59,$C$84:$D90)</f>
        <v>0</v>
      </c>
      <c r="P90" s="37">
        <f>DSUM($B$59:$Y$77,P$59,$C$84:$D90)</f>
        <v>0</v>
      </c>
      <c r="Q90" s="37">
        <f>DSUM($B$59:$Y$77,Q$59,$C$84:$D90)</f>
        <v>0</v>
      </c>
      <c r="R90" s="37">
        <f>DSUM($B$59:$Y$77,R$59,$C$84:$D90)</f>
        <v>0</v>
      </c>
      <c r="S90" s="37">
        <f>DSUM($B$59:$Y$77,S$59,$C$84:$D90)</f>
        <v>0</v>
      </c>
      <c r="T90" s="37">
        <f>DSUM($B$59:$Y$77,T$59,$C$84:$D90)</f>
        <v>0</v>
      </c>
      <c r="U90" s="37">
        <f>DSUM($B$59:$Y$77,U$59,$C$84:$D90)</f>
        <v>0</v>
      </c>
      <c r="V90" s="37">
        <f>DSUM($B$59:$Y$77,V$59,$C$84:$D90)</f>
        <v>0</v>
      </c>
      <c r="W90" s="37">
        <f>DSUM($B$59:$Y$77,W$59,$C$84:$D90)</f>
        <v>0</v>
      </c>
      <c r="X90" s="37">
        <f>DSUM($B$59:$Y$77,X$59,$C$84:$D90)</f>
        <v>0</v>
      </c>
      <c r="Y90" s="37">
        <f>DSUM($B$59:$Y$77,Y$59,$C$84:$D90)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18" t="s">
        <v>65</v>
      </c>
      <c r="C91" s="47" t="s">
        <v>66</v>
      </c>
      <c r="D91" s="47" t="s">
        <v>67</v>
      </c>
      <c r="E91" s="37">
        <f>DSUM($B$59:$Y$77,E$59,$C$84:$D91)</f>
        <v>0</v>
      </c>
      <c r="F91" s="37">
        <f>DSUM($B$59:$Y$77,F$59,$C$84:$D91)</f>
        <v>0</v>
      </c>
      <c r="G91" s="37">
        <f>DSUM($B$59:$Y$77,G$59,$C$84:$D91)</f>
        <v>0</v>
      </c>
      <c r="H91" s="37">
        <f>DSUM($B$59:$Y$77,H$59,$C$84:$D91)</f>
        <v>0</v>
      </c>
      <c r="I91" s="37">
        <f>DSUM($B$59:$Y$77,I$59,$C$84:$D91)</f>
        <v>0</v>
      </c>
      <c r="J91" s="37">
        <f>DSUM($B$59:$Y$77,J$59,$C$84:$D91)</f>
        <v>0</v>
      </c>
      <c r="K91" s="37">
        <f>DSUM($B$59:$Y$77,K$59,$C$84:$D91)</f>
        <v>0</v>
      </c>
      <c r="L91" s="37">
        <f>DSUM($B$59:$Y$77,L$59,$C$84:$D91)</f>
        <v>0</v>
      </c>
      <c r="M91" s="37">
        <f>DSUM($B$59:$Y$77,M$59,$C$84:$D91)</f>
        <v>0</v>
      </c>
      <c r="N91" s="37">
        <f>DSUM($B$59:$Y$77,N$59,$C$84:$D91)</f>
        <v>0</v>
      </c>
      <c r="O91" s="37">
        <f>DSUM($B$59:$Y$77,O$59,$C$84:$D91)</f>
        <v>0</v>
      </c>
      <c r="P91" s="37">
        <f>DSUM($B$59:$Y$77,P$59,$C$84:$D91)</f>
        <v>0</v>
      </c>
      <c r="Q91" s="37">
        <f>DSUM($B$59:$Y$77,Q$59,$C$84:$D91)</f>
        <v>0</v>
      </c>
      <c r="R91" s="37">
        <f>DSUM($B$59:$Y$77,R$59,$C$84:$D91)</f>
        <v>0</v>
      </c>
      <c r="S91" s="37">
        <f>DSUM($B$59:$Y$77,S$59,$C$84:$D91)</f>
        <v>0</v>
      </c>
      <c r="T91" s="37">
        <f>DSUM($B$59:$Y$77,T$59,$C$84:$D91)</f>
        <v>0</v>
      </c>
      <c r="U91" s="37">
        <f>DSUM($B$59:$Y$77,U$59,$C$84:$D91)</f>
        <v>0</v>
      </c>
      <c r="V91" s="37">
        <f>DSUM($B$59:$Y$77,V$59,$C$84:$D91)</f>
        <v>0</v>
      </c>
      <c r="W91" s="37">
        <f>DSUM($B$59:$Y$77,W$59,$C$84:$D91)</f>
        <v>0</v>
      </c>
      <c r="X91" s="37">
        <f>DSUM($B$59:$Y$77,X$59,$C$84:$D91)</f>
        <v>0</v>
      </c>
      <c r="Y91" s="37">
        <f>DSUM($B$59:$Y$77,Y$59,$C$84:$D91)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18" t="s">
        <v>68</v>
      </c>
      <c r="C92" s="47" t="s">
        <v>69</v>
      </c>
      <c r="D92" s="47" t="s">
        <v>70</v>
      </c>
      <c r="E92" s="37">
        <f>DSUM($B$59:$Y$77,E$59,$C$84:$D92)</f>
        <v>0</v>
      </c>
      <c r="F92" s="37">
        <f>DSUM($B$59:$Y$77,F$59,$C$84:$D92)</f>
        <v>0</v>
      </c>
      <c r="G92" s="37">
        <f>DSUM($B$59:$Y$77,G$59,$C$84:$D92)</f>
        <v>0</v>
      </c>
      <c r="H92" s="37">
        <f>DSUM($B$59:$Y$77,H$59,$C$84:$D92)</f>
        <v>0</v>
      </c>
      <c r="I92" s="37">
        <f>DSUM($B$59:$Y$77,I$59,$C$84:$D92)</f>
        <v>0</v>
      </c>
      <c r="J92" s="37">
        <f>DSUM($B$59:$Y$77,J$59,$C$84:$D92)</f>
        <v>0</v>
      </c>
      <c r="K92" s="37">
        <f>DSUM($B$59:$Y$77,K$59,$C$84:$D92)</f>
        <v>0</v>
      </c>
      <c r="L92" s="37">
        <f>DSUM($B$59:$Y$77,L$59,$C$84:$D92)</f>
        <v>0</v>
      </c>
      <c r="M92" s="37">
        <f>DSUM($B$59:$Y$77,M$59,$C$84:$D92)</f>
        <v>0</v>
      </c>
      <c r="N92" s="37">
        <f>DSUM($B$59:$Y$77,N$59,$C$84:$D92)</f>
        <v>0</v>
      </c>
      <c r="O92" s="37">
        <f>DSUM($B$59:$Y$77,O$59,$C$84:$D92)</f>
        <v>0</v>
      </c>
      <c r="P92" s="37">
        <f>DSUM($B$59:$Y$77,P$59,$C$84:$D92)</f>
        <v>0</v>
      </c>
      <c r="Q92" s="37">
        <f>DSUM($B$59:$Y$77,Q$59,$C$84:$D92)</f>
        <v>0</v>
      </c>
      <c r="R92" s="37">
        <f>DSUM($B$59:$Y$77,R$59,$C$84:$D92)</f>
        <v>0</v>
      </c>
      <c r="S92" s="37">
        <f>DSUM($B$59:$Y$77,S$59,$C$84:$D92)</f>
        <v>0</v>
      </c>
      <c r="T92" s="37">
        <f>DSUM($B$59:$Y$77,T$59,$C$84:$D92)</f>
        <v>0</v>
      </c>
      <c r="U92" s="37">
        <f>DSUM($B$59:$Y$77,U$59,$C$84:$D92)</f>
        <v>0</v>
      </c>
      <c r="V92" s="37">
        <f>DSUM($B$59:$Y$77,V$59,$C$84:$D92)</f>
        <v>0</v>
      </c>
      <c r="W92" s="37">
        <f>DSUM($B$59:$Y$77,W$59,$C$84:$D92)</f>
        <v>0</v>
      </c>
      <c r="X92" s="37">
        <f>DSUM($B$59:$Y$77,X$59,$C$84:$D92)</f>
        <v>0</v>
      </c>
      <c r="Y92" s="37">
        <f>DSUM($B$59:$Y$77,Y$59,$C$84:$D92)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18" t="s">
        <v>71</v>
      </c>
      <c r="C93" s="47" t="s">
        <v>72</v>
      </c>
      <c r="D93" s="47" t="s">
        <v>73</v>
      </c>
      <c r="E93" s="37">
        <f>DSUM($B$59:$Y$77,E$59,$C$84:$D93)</f>
        <v>0</v>
      </c>
      <c r="F93" s="37">
        <f>DSUM($B$59:$Y$77,F$59,$C$84:$D93)</f>
        <v>0</v>
      </c>
      <c r="G93" s="37">
        <f>DSUM($B$59:$Y$77,G$59,$C$84:$D93)</f>
        <v>0</v>
      </c>
      <c r="H93" s="37">
        <f>DSUM($B$59:$Y$77,H$59,$C$84:$D93)</f>
        <v>0</v>
      </c>
      <c r="I93" s="37">
        <f>DSUM($B$59:$Y$77,I$59,$C$84:$D93)</f>
        <v>0</v>
      </c>
      <c r="J93" s="37">
        <f>DSUM($B$59:$Y$77,J$59,$C$84:$D93)</f>
        <v>0</v>
      </c>
      <c r="K93" s="37">
        <f>DSUM($B$59:$Y$77,K$59,$C$84:$D93)</f>
        <v>0</v>
      </c>
      <c r="L93" s="37">
        <f>DSUM($B$59:$Y$77,L$59,$C$84:$D93)</f>
        <v>0</v>
      </c>
      <c r="M93" s="37">
        <f>DSUM($B$59:$Y$77,M$59,$C$84:$D93)</f>
        <v>0</v>
      </c>
      <c r="N93" s="37">
        <f>DSUM($B$59:$Y$77,N$59,$C$84:$D93)</f>
        <v>0</v>
      </c>
      <c r="O93" s="37">
        <f>DSUM($B$59:$Y$77,O$59,$C$84:$D93)</f>
        <v>0</v>
      </c>
      <c r="P93" s="37">
        <f>DSUM($B$59:$Y$77,P$59,$C$84:$D93)</f>
        <v>0</v>
      </c>
      <c r="Q93" s="37">
        <f>DSUM($B$59:$Y$77,Q$59,$C$84:$D93)</f>
        <v>0</v>
      </c>
      <c r="R93" s="37">
        <f>DSUM($B$59:$Y$77,R$59,$C$84:$D93)</f>
        <v>0</v>
      </c>
      <c r="S93" s="37">
        <f>DSUM($B$59:$Y$77,S$59,$C$84:$D93)</f>
        <v>0</v>
      </c>
      <c r="T93" s="37">
        <f>DSUM($B$59:$Y$77,T$59,$C$84:$D93)</f>
        <v>0</v>
      </c>
      <c r="U93" s="37">
        <f>DSUM($B$59:$Y$77,U$59,$C$84:$D93)</f>
        <v>0</v>
      </c>
      <c r="V93" s="37">
        <f>DSUM($B$59:$Y$77,V$59,$C$84:$D93)</f>
        <v>0</v>
      </c>
      <c r="W93" s="37">
        <f>DSUM($B$59:$Y$77,W$59,$C$84:$D93)</f>
        <v>0</v>
      </c>
      <c r="X93" s="37">
        <f>DSUM($B$59:$Y$77,X$59,$C$84:$D93)</f>
        <v>0</v>
      </c>
      <c r="Y93" s="37">
        <f>DSUM($B$59:$Y$77,Y$59,$C$84:$D93)</f>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18" t="s">
        <v>74</v>
      </c>
      <c r="C94" s="47" t="s">
        <v>75</v>
      </c>
      <c r="D94" s="47" t="s">
        <v>76</v>
      </c>
      <c r="E94" s="37">
        <f>DSUM($B$59:$Y$77,E$59,$C$84:$D94)</f>
        <v>0</v>
      </c>
      <c r="F94" s="37">
        <f>DSUM($B$59:$Y$77,F$59,$C$84:$D94)</f>
        <v>0</v>
      </c>
      <c r="G94" s="37">
        <f>DSUM($B$59:$Y$77,G$59,$C$84:$D94)</f>
        <v>0</v>
      </c>
      <c r="H94" s="37">
        <f>DSUM($B$59:$Y$77,H$59,$C$84:$D94)</f>
        <v>0</v>
      </c>
      <c r="I94" s="37">
        <f>DSUM($B$59:$Y$77,I$59,$C$84:$D94)</f>
        <v>0</v>
      </c>
      <c r="J94" s="37">
        <f>DSUM($B$59:$Y$77,J$59,$C$84:$D94)</f>
        <v>0</v>
      </c>
      <c r="K94" s="37">
        <f>DSUM($B$59:$Y$77,K$59,$C$84:$D94)</f>
        <v>0</v>
      </c>
      <c r="L94" s="37">
        <f>DSUM($B$59:$Y$77,L$59,$C$84:$D94)</f>
        <v>0</v>
      </c>
      <c r="M94" s="37">
        <f>DSUM($B$59:$Y$77,M$59,$C$84:$D94)</f>
        <v>0</v>
      </c>
      <c r="N94" s="37">
        <f>DSUM($B$59:$Y$77,N$59,$C$84:$D94)</f>
        <v>0</v>
      </c>
      <c r="O94" s="37">
        <f>DSUM($B$59:$Y$77,O$59,$C$84:$D94)</f>
        <v>0</v>
      </c>
      <c r="P94" s="37">
        <f>DSUM($B$59:$Y$77,P$59,$C$84:$D94)</f>
        <v>0</v>
      </c>
      <c r="Q94" s="37">
        <f>DSUM($B$59:$Y$77,Q$59,$C$84:$D94)</f>
        <v>0</v>
      </c>
      <c r="R94" s="37">
        <f>DSUM($B$59:$Y$77,R$59,$C$84:$D94)</f>
        <v>0</v>
      </c>
      <c r="S94" s="37">
        <f>DSUM($B$59:$Y$77,S$59,$C$84:$D94)</f>
        <v>0</v>
      </c>
      <c r="T94" s="37">
        <f>DSUM($B$59:$Y$77,T$59,$C$84:$D94)</f>
        <v>0</v>
      </c>
      <c r="U94" s="37">
        <f>DSUM($B$59:$Y$77,U$59,$C$84:$D94)</f>
        <v>0</v>
      </c>
      <c r="V94" s="37">
        <f>DSUM($B$59:$Y$77,V$59,$C$84:$D94)</f>
        <v>0</v>
      </c>
      <c r="W94" s="37">
        <f>DSUM($B$59:$Y$77,W$59,$C$84:$D94)</f>
        <v>0</v>
      </c>
      <c r="X94" s="37">
        <f>DSUM($B$59:$Y$77,X$59,$C$84:$D94)</f>
        <v>0</v>
      </c>
      <c r="Y94" s="37">
        <f>DSUM($B$59:$Y$77,Y$59,$C$84:$D94)</f>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18" t="s">
        <v>77</v>
      </c>
      <c r="C95" s="47" t="s">
        <v>78</v>
      </c>
      <c r="D95" s="47" t="s">
        <v>79</v>
      </c>
      <c r="E95" s="37">
        <f>DSUM($B$59:$Y$77,E$59,$C$84:$D95)</f>
        <v>0</v>
      </c>
      <c r="F95" s="37">
        <f>DSUM($B$59:$Y$77,F$59,$C$84:$D95)</f>
        <v>0</v>
      </c>
      <c r="G95" s="37">
        <f>DSUM($B$59:$Y$77,G$59,$C$84:$D95)</f>
        <v>0</v>
      </c>
      <c r="H95" s="37">
        <f>DSUM($B$59:$Y$77,H$59,$C$84:$D95)</f>
        <v>0</v>
      </c>
      <c r="I95" s="37">
        <f>DSUM($B$59:$Y$77,I$59,$C$84:$D95)</f>
        <v>0</v>
      </c>
      <c r="J95" s="37">
        <f>DSUM($B$59:$Y$77,J$59,$C$84:$D95)</f>
        <v>0</v>
      </c>
      <c r="K95" s="37">
        <f>DSUM($B$59:$Y$77,K$59,$C$84:$D95)</f>
        <v>0</v>
      </c>
      <c r="L95" s="37">
        <f>DSUM($B$59:$Y$77,L$59,$C$84:$D95)</f>
        <v>0</v>
      </c>
      <c r="M95" s="37">
        <f>DSUM($B$59:$Y$77,M$59,$C$84:$D95)</f>
        <v>0</v>
      </c>
      <c r="N95" s="37">
        <f>DSUM($B$59:$Y$77,N$59,$C$84:$D95)</f>
        <v>0</v>
      </c>
      <c r="O95" s="37">
        <f>DSUM($B$59:$Y$77,O$59,$C$84:$D95)</f>
        <v>0</v>
      </c>
      <c r="P95" s="37">
        <f>DSUM($B$59:$Y$77,P$59,$C$84:$D95)</f>
        <v>0</v>
      </c>
      <c r="Q95" s="37">
        <f>DSUM($B$59:$Y$77,Q$59,$C$84:$D95)</f>
        <v>0</v>
      </c>
      <c r="R95" s="37">
        <f>DSUM($B$59:$Y$77,R$59,$C$84:$D95)</f>
        <v>0</v>
      </c>
      <c r="S95" s="37">
        <f>DSUM($B$59:$Y$77,S$59,$C$84:$D95)</f>
        <v>0</v>
      </c>
      <c r="T95" s="37">
        <f>DSUM($B$59:$Y$77,T$59,$C$84:$D95)</f>
        <v>0</v>
      </c>
      <c r="U95" s="37">
        <f>DSUM($B$59:$Y$77,U$59,$C$84:$D95)</f>
        <v>0</v>
      </c>
      <c r="V95" s="37">
        <f>DSUM($B$59:$Y$77,V$59,$C$84:$D95)</f>
        <v>0</v>
      </c>
      <c r="W95" s="37">
        <f>DSUM($B$59:$Y$77,W$59,$C$84:$D95)</f>
        <v>0</v>
      </c>
      <c r="X95" s="37">
        <f>DSUM($B$59:$Y$77,X$59,$C$84:$D95)</f>
        <v>0</v>
      </c>
      <c r="Y95" s="37">
        <f>DSUM($B$59:$Y$77,Y$59,$C$84:$D95)</f>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18" t="s">
        <v>80</v>
      </c>
      <c r="C96" s="47" t="s">
        <v>81</v>
      </c>
      <c r="D96" s="47" t="s">
        <v>82</v>
      </c>
      <c r="E96" s="37">
        <f>DSUM($B$59:$Y$77,E$59,$C$84:$D96)</f>
        <v>0</v>
      </c>
      <c r="F96" s="37">
        <f>DSUM($B$59:$Y$77,F$59,$C$84:$D96)</f>
        <v>0</v>
      </c>
      <c r="G96" s="37">
        <f>DSUM($B$59:$Y$77,G$59,$C$84:$D96)</f>
        <v>0</v>
      </c>
      <c r="H96" s="37">
        <f>DSUM($B$59:$Y$77,H$59,$C$84:$D96)</f>
        <v>0</v>
      </c>
      <c r="I96" s="37">
        <f>DSUM($B$59:$Y$77,I$59,$C$84:$D96)</f>
        <v>0</v>
      </c>
      <c r="J96" s="37">
        <f>DSUM($B$59:$Y$77,J$59,$C$84:$D96)</f>
        <v>0</v>
      </c>
      <c r="K96" s="37">
        <f>DSUM($B$59:$Y$77,K$59,$C$84:$D96)</f>
        <v>0</v>
      </c>
      <c r="L96" s="37">
        <f>DSUM($B$59:$Y$77,L$59,$C$84:$D96)</f>
        <v>0</v>
      </c>
      <c r="M96" s="37">
        <f>DSUM($B$59:$Y$77,M$59,$C$84:$D96)</f>
        <v>0</v>
      </c>
      <c r="N96" s="37">
        <f>DSUM($B$59:$Y$77,N$59,$C$84:$D96)</f>
        <v>0</v>
      </c>
      <c r="O96" s="37">
        <f>DSUM($B$59:$Y$77,O$59,$C$84:$D96)</f>
        <v>0</v>
      </c>
      <c r="P96" s="37">
        <f>DSUM($B$59:$Y$77,P$59,$C$84:$D96)</f>
        <v>0</v>
      </c>
      <c r="Q96" s="37">
        <f>DSUM($B$59:$Y$77,Q$59,$C$84:$D96)</f>
        <v>0</v>
      </c>
      <c r="R96" s="37">
        <f>DSUM($B$59:$Y$77,R$59,$C$84:$D96)</f>
        <v>0</v>
      </c>
      <c r="S96" s="37">
        <f>DSUM($B$59:$Y$77,S$59,$C$84:$D96)</f>
        <v>0</v>
      </c>
      <c r="T96" s="37">
        <f>DSUM($B$59:$Y$77,T$59,$C$84:$D96)</f>
        <v>0</v>
      </c>
      <c r="U96" s="37">
        <f>DSUM($B$59:$Y$77,U$59,$C$84:$D96)</f>
        <v>0</v>
      </c>
      <c r="V96" s="37">
        <f>DSUM($B$59:$Y$77,V$59,$C$84:$D96)</f>
        <v>0</v>
      </c>
      <c r="W96" s="37">
        <f>DSUM($B$59:$Y$77,W$59,$C$84:$D96)</f>
        <v>0</v>
      </c>
      <c r="X96" s="37">
        <f>DSUM($B$59:$Y$77,X$59,$C$84:$D96)</f>
        <v>0</v>
      </c>
      <c r="Y96" s="37">
        <f>DSUM($B$59:$Y$77,Y$59,$C$84:$D96)</f>
        <v>0</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18" t="s">
        <v>83</v>
      </c>
      <c r="C97" s="47" t="s">
        <v>84</v>
      </c>
      <c r="D97" s="47" t="s">
        <v>85</v>
      </c>
      <c r="E97" s="37">
        <f>DSUM($B$59:$Y$77,E$59,$C$84:$D97)</f>
        <v>0</v>
      </c>
      <c r="F97" s="37">
        <f>DSUM($B$59:$Y$77,F$59,$C$84:$D97)</f>
        <v>0</v>
      </c>
      <c r="G97" s="37">
        <f>DSUM($B$59:$Y$77,G$59,$C$84:$D97)</f>
        <v>0</v>
      </c>
      <c r="H97" s="37">
        <f>DSUM($B$59:$Y$77,H$59,$C$84:$D97)</f>
        <v>0</v>
      </c>
      <c r="I97" s="37">
        <f>DSUM($B$59:$Y$77,I$59,$C$84:$D97)</f>
        <v>0</v>
      </c>
      <c r="J97" s="37">
        <f>DSUM($B$59:$Y$77,J$59,$C$84:$D97)</f>
        <v>0</v>
      </c>
      <c r="K97" s="37">
        <f>DSUM($B$59:$Y$77,K$59,$C$84:$D97)</f>
        <v>0</v>
      </c>
      <c r="L97" s="37">
        <f>DSUM($B$59:$Y$77,L$59,$C$84:$D97)</f>
        <v>0</v>
      </c>
      <c r="M97" s="37">
        <f>DSUM($B$59:$Y$77,M$59,$C$84:$D97)</f>
        <v>0</v>
      </c>
      <c r="N97" s="37">
        <f>DSUM($B$59:$Y$77,N$59,$C$84:$D97)</f>
        <v>0</v>
      </c>
      <c r="O97" s="37">
        <f>DSUM($B$59:$Y$77,O$59,$C$84:$D97)</f>
        <v>0</v>
      </c>
      <c r="P97" s="37">
        <f>DSUM($B$59:$Y$77,P$59,$C$84:$D97)</f>
        <v>0</v>
      </c>
      <c r="Q97" s="37">
        <f>DSUM($B$59:$Y$77,Q$59,$C$84:$D97)</f>
        <v>0</v>
      </c>
      <c r="R97" s="37">
        <f>DSUM($B$59:$Y$77,R$59,$C$84:$D97)</f>
        <v>0</v>
      </c>
      <c r="S97" s="37">
        <f>DSUM($B$59:$Y$77,S$59,$C$84:$D97)</f>
        <v>0</v>
      </c>
      <c r="T97" s="37">
        <f>DSUM($B$59:$Y$77,T$59,$C$84:$D97)</f>
        <v>0</v>
      </c>
      <c r="U97" s="37">
        <f>DSUM($B$59:$Y$77,U$59,$C$84:$D97)</f>
        <v>0</v>
      </c>
      <c r="V97" s="37">
        <f>DSUM($B$59:$Y$77,V$59,$C$84:$D97)</f>
        <v>0</v>
      </c>
      <c r="W97" s="37">
        <f>DSUM($B$59:$Y$77,W$59,$C$84:$D97)</f>
        <v>0</v>
      </c>
      <c r="X97" s="37">
        <f>DSUM($B$59:$Y$77,X$59,$C$84:$D97)</f>
        <v>0</v>
      </c>
      <c r="Y97" s="37">
        <f>DSUM($B$59:$Y$77,Y$59,$C$84:$D97)</f>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18" t="s">
        <v>86</v>
      </c>
      <c r="C98" s="47" t="s">
        <v>87</v>
      </c>
      <c r="D98" s="47" t="s">
        <v>88</v>
      </c>
      <c r="E98" s="37">
        <f>DSUM($B$59:$Y$77,E$59,$C$84:$D98)</f>
        <v>0</v>
      </c>
      <c r="F98" s="37">
        <f>DSUM($B$59:$Y$77,F$59,$C$84:$D98)</f>
        <v>0</v>
      </c>
      <c r="G98" s="37">
        <f>DSUM($B$59:$Y$77,G$59,$C$84:$D98)</f>
        <v>0</v>
      </c>
      <c r="H98" s="37">
        <f>DSUM($B$59:$Y$77,H$59,$C$84:$D98)</f>
        <v>0</v>
      </c>
      <c r="I98" s="37">
        <f>DSUM($B$59:$Y$77,I$59,$C$84:$D98)</f>
        <v>0</v>
      </c>
      <c r="J98" s="37">
        <f>DSUM($B$59:$Y$77,J$59,$C$84:$D98)</f>
        <v>0</v>
      </c>
      <c r="K98" s="37">
        <f>DSUM($B$59:$Y$77,K$59,$C$84:$D98)</f>
        <v>0</v>
      </c>
      <c r="L98" s="37">
        <f>DSUM($B$59:$Y$77,L$59,$C$84:$D98)</f>
        <v>0</v>
      </c>
      <c r="M98" s="37">
        <f>DSUM($B$59:$Y$77,M$59,$C$84:$D98)</f>
        <v>0</v>
      </c>
      <c r="N98" s="37">
        <f>DSUM($B$59:$Y$77,N$59,$C$84:$D98)</f>
        <v>0</v>
      </c>
      <c r="O98" s="37">
        <f>DSUM($B$59:$Y$77,O$59,$C$84:$D98)</f>
        <v>0</v>
      </c>
      <c r="P98" s="37">
        <f>DSUM($B$59:$Y$77,P$59,$C$84:$D98)</f>
        <v>0</v>
      </c>
      <c r="Q98" s="37">
        <f>DSUM($B$59:$Y$77,Q$59,$C$84:$D98)</f>
        <v>0</v>
      </c>
      <c r="R98" s="37">
        <f>DSUM($B$59:$Y$77,R$59,$C$84:$D98)</f>
        <v>0</v>
      </c>
      <c r="S98" s="37">
        <f>DSUM($B$59:$Y$77,S$59,$C$84:$D98)</f>
        <v>0</v>
      </c>
      <c r="T98" s="37">
        <f>DSUM($B$59:$Y$77,T$59,$C$84:$D98)</f>
        <v>0</v>
      </c>
      <c r="U98" s="37">
        <f>DSUM($B$59:$Y$77,U$59,$C$84:$D98)</f>
        <v>0</v>
      </c>
      <c r="V98" s="37">
        <f>DSUM($B$59:$Y$77,V$59,$C$84:$D98)</f>
        <v>0</v>
      </c>
      <c r="W98" s="37">
        <f>DSUM($B$59:$Y$77,W$59,$C$84:$D98)</f>
        <v>0</v>
      </c>
      <c r="X98" s="37">
        <f>DSUM($B$59:$Y$77,X$59,$C$84:$D98)</f>
        <v>0</v>
      </c>
      <c r="Y98" s="37">
        <f>DSUM($B$59:$Y$77,Y$59,$C$84:$D98)</f>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18" t="s">
        <v>89</v>
      </c>
      <c r="C99" s="47" t="s">
        <v>90</v>
      </c>
      <c r="D99" s="47" t="s">
        <v>91</v>
      </c>
      <c r="E99" s="37">
        <f>DSUM($B$59:$Y$77,E$59,$C$84:$D99)</f>
        <v>0</v>
      </c>
      <c r="F99" s="37">
        <f>DSUM($B$59:$Y$77,F$59,$C$84:$D99)</f>
        <v>0</v>
      </c>
      <c r="G99" s="37">
        <f>DSUM($B$59:$Y$77,G$59,$C$84:$D99)</f>
        <v>0</v>
      </c>
      <c r="H99" s="37">
        <f>DSUM($B$59:$Y$77,H$59,$C$84:$D99)</f>
        <v>0</v>
      </c>
      <c r="I99" s="37">
        <f>DSUM($B$59:$Y$77,I$59,$C$84:$D99)</f>
        <v>0</v>
      </c>
      <c r="J99" s="37">
        <f>DSUM($B$59:$Y$77,J$59,$C$84:$D99)</f>
        <v>0</v>
      </c>
      <c r="K99" s="37">
        <f>DSUM($B$59:$Y$77,K$59,$C$84:$D99)</f>
        <v>0</v>
      </c>
      <c r="L99" s="37">
        <f>DSUM($B$59:$Y$77,L$59,$C$84:$D99)</f>
        <v>0</v>
      </c>
      <c r="M99" s="37">
        <f>DSUM($B$59:$Y$77,M$59,$C$84:$D99)</f>
        <v>0</v>
      </c>
      <c r="N99" s="37">
        <f>DSUM($B$59:$Y$77,N$59,$C$84:$D99)</f>
        <v>0</v>
      </c>
      <c r="O99" s="37">
        <f>DSUM($B$59:$Y$77,O$59,$C$84:$D99)</f>
        <v>0</v>
      </c>
      <c r="P99" s="37">
        <f>DSUM($B$59:$Y$77,P$59,$C$84:$D99)</f>
        <v>0</v>
      </c>
      <c r="Q99" s="37">
        <f>DSUM($B$59:$Y$77,Q$59,$C$84:$D99)</f>
        <v>0</v>
      </c>
      <c r="R99" s="37">
        <f>DSUM($B$59:$Y$77,R$59,$C$84:$D99)</f>
        <v>0</v>
      </c>
      <c r="S99" s="37">
        <f>DSUM($B$59:$Y$77,S$59,$C$84:$D99)</f>
        <v>0</v>
      </c>
      <c r="T99" s="37">
        <f>DSUM($B$59:$Y$77,T$59,$C$84:$D99)</f>
        <v>0</v>
      </c>
      <c r="U99" s="37">
        <f>DSUM($B$59:$Y$77,U$59,$C$84:$D99)</f>
        <v>0</v>
      </c>
      <c r="V99" s="37">
        <f>DSUM($B$59:$Y$77,V$59,$C$84:$D99)</f>
        <v>0</v>
      </c>
      <c r="W99" s="37">
        <f>DSUM($B$59:$Y$77,W$59,$C$84:$D99)</f>
        <v>0</v>
      </c>
      <c r="X99" s="37">
        <f>DSUM($B$59:$Y$77,X$59,$C$84:$D99)</f>
        <v>0</v>
      </c>
      <c r="Y99" s="37">
        <f>DSUM($B$59:$Y$77,Y$59,$C$84:$D99)</f>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18" t="s">
        <v>92</v>
      </c>
      <c r="C100" s="47" t="s">
        <v>93</v>
      </c>
      <c r="D100" s="47" t="s">
        <v>94</v>
      </c>
      <c r="E100" s="37">
        <f>DSUM($B$59:$Y$77,E$59,$C$84:$D100)</f>
        <v>0</v>
      </c>
      <c r="F100" s="37">
        <f>DSUM($B$59:$Y$77,F$59,$C$84:$D100)</f>
        <v>0</v>
      </c>
      <c r="G100" s="37">
        <f>DSUM($B$59:$Y$77,G$59,$C$84:$D100)</f>
        <v>0</v>
      </c>
      <c r="H100" s="37">
        <f>DSUM($B$59:$Y$77,H$59,$C$84:$D100)</f>
        <v>0</v>
      </c>
      <c r="I100" s="37">
        <f>DSUM($B$59:$Y$77,I$59,$C$84:$D100)</f>
        <v>0</v>
      </c>
      <c r="J100" s="37">
        <f>DSUM($B$59:$Y$77,J$59,$C$84:$D100)</f>
        <v>0</v>
      </c>
      <c r="K100" s="37">
        <f>DSUM($B$59:$Y$77,K$59,$C$84:$D100)</f>
        <v>0</v>
      </c>
      <c r="L100" s="37">
        <f>DSUM($B$59:$Y$77,L$59,$C$84:$D100)</f>
        <v>0</v>
      </c>
      <c r="M100" s="37">
        <f>DSUM($B$59:$Y$77,M$59,$C$84:$D100)</f>
        <v>0</v>
      </c>
      <c r="N100" s="37">
        <f>DSUM($B$59:$Y$77,N$59,$C$84:$D100)</f>
        <v>0</v>
      </c>
      <c r="O100" s="37">
        <f>DSUM($B$59:$Y$77,O$59,$C$84:$D100)</f>
        <v>0</v>
      </c>
      <c r="P100" s="37">
        <f>DSUM($B$59:$Y$77,P$59,$C$84:$D100)</f>
        <v>0</v>
      </c>
      <c r="Q100" s="37">
        <f>DSUM($B$59:$Y$77,Q$59,$C$84:$D100)</f>
        <v>0</v>
      </c>
      <c r="R100" s="37">
        <f>DSUM($B$59:$Y$77,R$59,$C$84:$D100)</f>
        <v>0</v>
      </c>
      <c r="S100" s="37">
        <f>DSUM($B$59:$Y$77,S$59,$C$84:$D100)</f>
        <v>0</v>
      </c>
      <c r="T100" s="37">
        <f>DSUM($B$59:$Y$77,T$59,$C$84:$D100)</f>
        <v>0</v>
      </c>
      <c r="U100" s="37">
        <f>DSUM($B$59:$Y$77,U$59,$C$84:$D100)</f>
        <v>0</v>
      </c>
      <c r="V100" s="37">
        <f>DSUM($B$59:$Y$77,V$59,$C$84:$D100)</f>
        <v>0</v>
      </c>
      <c r="W100" s="37">
        <f>DSUM($B$59:$Y$77,W$59,$C$84:$D100)</f>
        <v>0</v>
      </c>
      <c r="X100" s="37">
        <f>DSUM($B$59:$Y$77,X$59,$C$84:$D100)</f>
        <v>0</v>
      </c>
      <c r="Y100" s="37">
        <f>DSUM($B$59:$Y$77,Y$59,$C$84:$D100)</f>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18" t="s">
        <v>95</v>
      </c>
      <c r="C101" s="47" t="s">
        <v>96</v>
      </c>
      <c r="D101" s="47" t="s">
        <v>97</v>
      </c>
      <c r="E101" s="37">
        <f>DSUM($B$59:$Y$77,E$59,$C$84:$D101)</f>
        <v>0</v>
      </c>
      <c r="F101" s="37">
        <f>DSUM($B$59:$Y$77,F$59,$C$84:$D101)</f>
        <v>0</v>
      </c>
      <c r="G101" s="37">
        <f>DSUM($B$59:$Y$77,G$59,$C$84:$D101)</f>
        <v>0</v>
      </c>
      <c r="H101" s="37">
        <f>DSUM($B$59:$Y$77,H$59,$C$84:$D101)</f>
        <v>0</v>
      </c>
      <c r="I101" s="37">
        <f>DSUM($B$59:$Y$77,I$59,$C$84:$D101)</f>
        <v>0</v>
      </c>
      <c r="J101" s="37">
        <f>DSUM($B$59:$Y$77,J$59,$C$84:$D101)</f>
        <v>0</v>
      </c>
      <c r="K101" s="37">
        <f>DSUM($B$59:$Y$77,K$59,$C$84:$D101)</f>
        <v>0</v>
      </c>
      <c r="L101" s="37">
        <f>DSUM($B$59:$Y$77,L$59,$C$84:$D101)</f>
        <v>0</v>
      </c>
      <c r="M101" s="37">
        <f>DSUM($B$59:$Y$77,M$59,$C$84:$D101)</f>
        <v>0</v>
      </c>
      <c r="N101" s="37">
        <f>DSUM($B$59:$Y$77,N$59,$C$84:$D101)</f>
        <v>0</v>
      </c>
      <c r="O101" s="37">
        <f>DSUM($B$59:$Y$77,O$59,$C$84:$D101)</f>
        <v>0</v>
      </c>
      <c r="P101" s="37">
        <f>DSUM($B$59:$Y$77,P$59,$C$84:$D101)</f>
        <v>0</v>
      </c>
      <c r="Q101" s="37">
        <f>DSUM($B$59:$Y$77,Q$59,$C$84:$D101)</f>
        <v>0</v>
      </c>
      <c r="R101" s="37">
        <f>DSUM($B$59:$Y$77,R$59,$C$84:$D101)</f>
        <v>0</v>
      </c>
      <c r="S101" s="37">
        <f>DSUM($B$59:$Y$77,S$59,$C$84:$D101)</f>
        <v>0</v>
      </c>
      <c r="T101" s="37">
        <f>DSUM($B$59:$Y$77,T$59,$C$84:$D101)</f>
        <v>0</v>
      </c>
      <c r="U101" s="37">
        <f>DSUM($B$59:$Y$77,U$59,$C$84:$D101)</f>
        <v>0</v>
      </c>
      <c r="V101" s="37">
        <f>DSUM($B$59:$Y$77,V$59,$C$84:$D101)</f>
        <v>0</v>
      </c>
      <c r="W101" s="37">
        <f>DSUM($B$59:$Y$77,W$59,$C$84:$D101)</f>
        <v>0</v>
      </c>
      <c r="X101" s="37">
        <f>DSUM($B$59:$Y$77,X$59,$C$84:$D101)</f>
        <v>0</v>
      </c>
      <c r="Y101" s="37">
        <f>DSUM($B$59:$Y$77,Y$59,$C$84:$D101)</f>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18" t="s">
        <v>98</v>
      </c>
      <c r="C102" s="47" t="s">
        <v>99</v>
      </c>
      <c r="D102" s="47" t="s">
        <v>100</v>
      </c>
      <c r="E102" s="37">
        <f>DSUM($B$59:$Y$77,E$59,$C$84:$D102)</f>
        <v>0</v>
      </c>
      <c r="F102" s="37">
        <f>DSUM($B$59:$Y$77,F$59,$C$84:$D102)</f>
        <v>0</v>
      </c>
      <c r="G102" s="37">
        <f>DSUM($B$59:$Y$77,G$59,$C$84:$D102)</f>
        <v>0</v>
      </c>
      <c r="H102" s="37">
        <f>DSUM($B$59:$Y$77,H$59,$C$84:$D102)</f>
        <v>0</v>
      </c>
      <c r="I102" s="37">
        <f>DSUM($B$59:$Y$77,I$59,$C$84:$D102)</f>
        <v>0</v>
      </c>
      <c r="J102" s="37">
        <f>DSUM($B$59:$Y$77,J$59,$C$84:$D102)</f>
        <v>0</v>
      </c>
      <c r="K102" s="37">
        <f>DSUM($B$59:$Y$77,K$59,$C$84:$D102)</f>
        <v>0</v>
      </c>
      <c r="L102" s="37">
        <f>DSUM($B$59:$Y$77,L$59,$C$84:$D102)</f>
        <v>0</v>
      </c>
      <c r="M102" s="37">
        <f>DSUM($B$59:$Y$77,M$59,$C$84:$D102)</f>
        <v>0</v>
      </c>
      <c r="N102" s="37">
        <f>DSUM($B$59:$Y$77,N$59,$C$84:$D102)</f>
        <v>0</v>
      </c>
      <c r="O102" s="37">
        <f>DSUM($B$59:$Y$77,O$59,$C$84:$D102)</f>
        <v>0</v>
      </c>
      <c r="P102" s="37">
        <f>DSUM($B$59:$Y$77,P$59,$C$84:$D102)</f>
        <v>0</v>
      </c>
      <c r="Q102" s="37">
        <f>DSUM($B$59:$Y$77,Q$59,$C$84:$D102)</f>
        <v>0</v>
      </c>
      <c r="R102" s="37">
        <f>DSUM($B$59:$Y$77,R$59,$C$84:$D102)</f>
        <v>0</v>
      </c>
      <c r="S102" s="37">
        <f>DSUM($B$59:$Y$77,S$59,$C$84:$D102)</f>
        <v>0</v>
      </c>
      <c r="T102" s="37">
        <f>DSUM($B$59:$Y$77,T$59,$C$84:$D102)</f>
        <v>0</v>
      </c>
      <c r="U102" s="37">
        <f>DSUM($B$59:$Y$77,U$59,$C$84:$D102)</f>
        <v>0</v>
      </c>
      <c r="V102" s="37">
        <f>DSUM($B$59:$Y$77,V$59,$C$84:$D102)</f>
        <v>0</v>
      </c>
      <c r="W102" s="37">
        <f>DSUM($B$59:$Y$77,W$59,$C$84:$D102)</f>
        <v>0</v>
      </c>
      <c r="X102" s="37">
        <f>DSUM($B$59:$Y$77,X$59,$C$84:$D102)</f>
        <v>0</v>
      </c>
      <c r="Y102" s="37">
        <f>DSUM($B$59:$Y$77,Y$59,$C$84:$D102)</f>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18" t="s">
        <v>101</v>
      </c>
      <c r="C103" s="47" t="s">
        <v>102</v>
      </c>
      <c r="D103" s="47" t="s">
        <v>103</v>
      </c>
      <c r="E103" s="37">
        <f>DSUM($B$59:$Y$77,E$59,$C$84:$D103)</f>
        <v>0</v>
      </c>
      <c r="F103" s="37">
        <f>DSUM($B$59:$Y$77,F$59,$C$84:$D103)</f>
        <v>0</v>
      </c>
      <c r="G103" s="37">
        <f>DSUM($B$59:$Y$77,G$59,$C$84:$D103)</f>
        <v>0</v>
      </c>
      <c r="H103" s="37">
        <f>DSUM($B$59:$Y$77,H$59,$C$84:$D103)</f>
        <v>0</v>
      </c>
      <c r="I103" s="37">
        <f>DSUM($B$59:$Y$77,I$59,$C$84:$D103)</f>
        <v>0</v>
      </c>
      <c r="J103" s="37">
        <f>DSUM($B$59:$Y$77,J$59,$C$84:$D103)</f>
        <v>0</v>
      </c>
      <c r="K103" s="37">
        <f>DSUM($B$59:$Y$77,K$59,$C$84:$D103)</f>
        <v>0</v>
      </c>
      <c r="L103" s="37">
        <f>DSUM($B$59:$Y$77,L$59,$C$84:$D103)</f>
        <v>0</v>
      </c>
      <c r="M103" s="37">
        <f>DSUM($B$59:$Y$77,M$59,$C$84:$D103)</f>
        <v>0</v>
      </c>
      <c r="N103" s="37">
        <f>DSUM($B$59:$Y$77,N$59,$C$84:$D103)</f>
        <v>0</v>
      </c>
      <c r="O103" s="37">
        <f>DSUM($B$59:$Y$77,O$59,$C$84:$D103)</f>
        <v>0</v>
      </c>
      <c r="P103" s="37">
        <f>DSUM($B$59:$Y$77,P$59,$C$84:$D103)</f>
        <v>0</v>
      </c>
      <c r="Q103" s="37">
        <f>DSUM($B$59:$Y$77,Q$59,$C$84:$D103)</f>
        <v>0</v>
      </c>
      <c r="R103" s="37">
        <f>DSUM($B$59:$Y$77,R$59,$C$84:$D103)</f>
        <v>0</v>
      </c>
      <c r="S103" s="37">
        <f>DSUM($B$59:$Y$77,S$59,$C$84:$D103)</f>
        <v>0</v>
      </c>
      <c r="T103" s="37">
        <f>DSUM($B$59:$Y$77,T$59,$C$84:$D103)</f>
        <v>0</v>
      </c>
      <c r="U103" s="37">
        <f>DSUM($B$59:$Y$77,U$59,$C$84:$D103)</f>
        <v>0</v>
      </c>
      <c r="V103" s="37">
        <f>DSUM($B$59:$Y$77,V$59,$C$84:$D103)</f>
        <v>0</v>
      </c>
      <c r="W103" s="37">
        <f>DSUM($B$59:$Y$77,W$59,$C$84:$D103)</f>
        <v>0</v>
      </c>
      <c r="X103" s="37">
        <f>DSUM($B$59:$Y$77,X$59,$C$84:$D103)</f>
        <v>0</v>
      </c>
      <c r="Y103" s="37">
        <f>DSUM($B$59:$Y$77,Y$59,$C$84:$D103)</f>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18" t="s">
        <v>104</v>
      </c>
      <c r="C104" s="47" t="s">
        <v>105</v>
      </c>
      <c r="D104" s="47" t="s">
        <v>106</v>
      </c>
      <c r="E104" s="37">
        <f>DSUM($B$59:$Y$77,E$59,$C$84:$D104)</f>
        <v>0</v>
      </c>
      <c r="F104" s="37">
        <f>DSUM($B$59:$Y$77,F$59,$C$84:$D104)</f>
        <v>0</v>
      </c>
      <c r="G104" s="37">
        <f>DSUM($B$59:$Y$77,G$59,$C$84:$D104)</f>
        <v>0</v>
      </c>
      <c r="H104" s="37">
        <f>DSUM($B$59:$Y$77,H$59,$C$84:$D104)</f>
        <v>0</v>
      </c>
      <c r="I104" s="37">
        <f>DSUM($B$59:$Y$77,I$59,$C$84:$D104)</f>
        <v>0</v>
      </c>
      <c r="J104" s="37">
        <f>DSUM($B$59:$Y$77,J$59,$C$84:$D104)</f>
        <v>0</v>
      </c>
      <c r="K104" s="37">
        <f>DSUM($B$59:$Y$77,K$59,$C$84:$D104)</f>
        <v>0</v>
      </c>
      <c r="L104" s="37">
        <f>DSUM($B$59:$Y$77,L$59,$C$84:$D104)</f>
        <v>0</v>
      </c>
      <c r="M104" s="37">
        <f>DSUM($B$59:$Y$77,M$59,$C$84:$D104)</f>
        <v>0</v>
      </c>
      <c r="N104" s="37">
        <f>DSUM($B$59:$Y$77,N$59,$C$84:$D104)</f>
        <v>0</v>
      </c>
      <c r="O104" s="37">
        <f>DSUM($B$59:$Y$77,O$59,$C$84:$D104)</f>
        <v>0</v>
      </c>
      <c r="P104" s="37">
        <f>DSUM($B$59:$Y$77,P$59,$C$84:$D104)</f>
        <v>0</v>
      </c>
      <c r="Q104" s="37">
        <f>DSUM($B$59:$Y$77,Q$59,$C$84:$D104)</f>
        <v>0</v>
      </c>
      <c r="R104" s="37">
        <f>DSUM($B$59:$Y$77,R$59,$C$84:$D104)</f>
        <v>0</v>
      </c>
      <c r="S104" s="37">
        <f>DSUM($B$59:$Y$77,S$59,$C$84:$D104)</f>
        <v>0</v>
      </c>
      <c r="T104" s="37">
        <f>DSUM($B$59:$Y$77,T$59,$C$84:$D104)</f>
        <v>0</v>
      </c>
      <c r="U104" s="37">
        <f>DSUM($B$59:$Y$77,U$59,$C$84:$D104)</f>
        <v>0</v>
      </c>
      <c r="V104" s="37">
        <f>DSUM($B$59:$Y$77,V$59,$C$84:$D104)</f>
        <v>0</v>
      </c>
      <c r="W104" s="37">
        <f>DSUM($B$59:$Y$77,W$59,$C$84:$D104)</f>
        <v>0</v>
      </c>
      <c r="X104" s="37">
        <f>DSUM($B$59:$Y$77,X$59,$C$84:$D104)</f>
        <v>0</v>
      </c>
      <c r="Y104" s="37">
        <f>DSUM($B$59:$Y$77,Y$59,$C$84:$D104)</f>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18" t="s">
        <v>107</v>
      </c>
      <c r="C105" s="47" t="s">
        <v>108</v>
      </c>
      <c r="D105" s="47" t="s">
        <v>109</v>
      </c>
      <c r="E105" s="37">
        <f>DSUM($B$59:$Y$77,E$59,$C$84:$D105)</f>
        <v>0</v>
      </c>
      <c r="F105" s="37">
        <f>DSUM($B$59:$Y$77,F$59,$C$84:$D105)</f>
        <v>0</v>
      </c>
      <c r="G105" s="37">
        <f>DSUM($B$59:$Y$77,G$59,$C$84:$D105)</f>
        <v>0</v>
      </c>
      <c r="H105" s="37">
        <f>DSUM($B$59:$Y$77,H$59,$C$84:$D105)</f>
        <v>0</v>
      </c>
      <c r="I105" s="37">
        <f>DSUM($B$59:$Y$77,I$59,$C$84:$D105)</f>
        <v>0</v>
      </c>
      <c r="J105" s="37">
        <f>DSUM($B$59:$Y$77,J$59,$C$84:$D105)</f>
        <v>0</v>
      </c>
      <c r="K105" s="37">
        <f>DSUM($B$59:$Y$77,K$59,$C$84:$D105)</f>
        <v>0</v>
      </c>
      <c r="L105" s="37">
        <f>DSUM($B$59:$Y$77,L$59,$C$84:$D105)</f>
        <v>0</v>
      </c>
      <c r="M105" s="37">
        <f>DSUM($B$59:$Y$77,M$59,$C$84:$D105)</f>
        <v>0</v>
      </c>
      <c r="N105" s="37">
        <f>DSUM($B$59:$Y$77,N$59,$C$84:$D105)</f>
        <v>0</v>
      </c>
      <c r="O105" s="37">
        <f>DSUM($B$59:$Y$77,O$59,$C$84:$D105)</f>
        <v>0</v>
      </c>
      <c r="P105" s="37">
        <f>DSUM($B$59:$Y$77,P$59,$C$84:$D105)</f>
        <v>0</v>
      </c>
      <c r="Q105" s="37">
        <f>DSUM($B$59:$Y$77,Q$59,$C$84:$D105)</f>
        <v>0</v>
      </c>
      <c r="R105" s="37">
        <f>DSUM($B$59:$Y$77,R$59,$C$84:$D105)</f>
        <v>0</v>
      </c>
      <c r="S105" s="37">
        <f>DSUM($B$59:$Y$77,S$59,$C$84:$D105)</f>
        <v>0</v>
      </c>
      <c r="T105" s="37">
        <f>DSUM($B$59:$Y$77,T$59,$C$84:$D105)</f>
        <v>0</v>
      </c>
      <c r="U105" s="37">
        <f>DSUM($B$59:$Y$77,U$59,$C$84:$D105)</f>
        <v>0</v>
      </c>
      <c r="V105" s="37">
        <f>DSUM($B$59:$Y$77,V$59,$C$84:$D105)</f>
        <v>0</v>
      </c>
      <c r="W105" s="37">
        <f>DSUM($B$59:$Y$77,W$59,$C$84:$D105)</f>
        <v>0</v>
      </c>
      <c r="X105" s="37">
        <f>DSUM($B$59:$Y$77,X$59,$C$84:$D105)</f>
        <v>0</v>
      </c>
      <c r="Y105" s="37">
        <f>DSUM($B$59:$Y$77,Y$59,$C$84:$D105)</f>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18" t="s">
        <v>110</v>
      </c>
      <c r="C106" s="47" t="s">
        <v>111</v>
      </c>
      <c r="D106" s="47" t="s">
        <v>112</v>
      </c>
      <c r="E106" s="37">
        <f>DSUM($B$59:$Y$77,E$59,$C$84:$D106)</f>
        <v>0</v>
      </c>
      <c r="F106" s="37">
        <f>DSUM($B$59:$Y$77,F$59,$C$84:$D106)</f>
        <v>0</v>
      </c>
      <c r="G106" s="37">
        <f>DSUM($B$59:$Y$77,G$59,$C$84:$D106)</f>
        <v>0</v>
      </c>
      <c r="H106" s="37">
        <f>DSUM($B$59:$Y$77,H$59,$C$84:$D106)</f>
        <v>0</v>
      </c>
      <c r="I106" s="37">
        <f>DSUM($B$59:$Y$77,I$59,$C$84:$D106)</f>
        <v>0</v>
      </c>
      <c r="J106" s="37">
        <f>DSUM($B$59:$Y$77,J$59,$C$84:$D106)</f>
        <v>0</v>
      </c>
      <c r="K106" s="37">
        <f>DSUM($B$59:$Y$77,K$59,$C$84:$D106)</f>
        <v>0</v>
      </c>
      <c r="L106" s="37">
        <f>DSUM($B$59:$Y$77,L$59,$C$84:$D106)</f>
        <v>0</v>
      </c>
      <c r="M106" s="37">
        <f>DSUM($B$59:$Y$77,M$59,$C$84:$D106)</f>
        <v>0</v>
      </c>
      <c r="N106" s="37">
        <f>DSUM($B$59:$Y$77,N$59,$C$84:$D106)</f>
        <v>0</v>
      </c>
      <c r="O106" s="37">
        <f>DSUM($B$59:$Y$77,O$59,$C$84:$D106)</f>
        <v>0</v>
      </c>
      <c r="P106" s="37">
        <f>DSUM($B$59:$Y$77,P$59,$C$84:$D106)</f>
        <v>0</v>
      </c>
      <c r="Q106" s="37">
        <f>DSUM($B$59:$Y$77,Q$59,$C$84:$D106)</f>
        <v>0</v>
      </c>
      <c r="R106" s="37">
        <f>DSUM($B$59:$Y$77,R$59,$C$84:$D106)</f>
        <v>0</v>
      </c>
      <c r="S106" s="37">
        <f>DSUM($B$59:$Y$77,S$59,$C$84:$D106)</f>
        <v>0</v>
      </c>
      <c r="T106" s="37">
        <f>DSUM($B$59:$Y$77,T$59,$C$84:$D106)</f>
        <v>0</v>
      </c>
      <c r="U106" s="37">
        <f>DSUM($B$59:$Y$77,U$59,$C$84:$D106)</f>
        <v>0</v>
      </c>
      <c r="V106" s="37">
        <f>DSUM($B$59:$Y$77,V$59,$C$84:$D106)</f>
        <v>0</v>
      </c>
      <c r="W106" s="37">
        <f>DSUM($B$59:$Y$77,W$59,$C$84:$D106)</f>
        <v>0</v>
      </c>
      <c r="X106" s="37">
        <f>DSUM($B$59:$Y$77,X$59,$C$84:$D106)</f>
        <v>0</v>
      </c>
      <c r="Y106" s="37">
        <f>DSUM($B$59:$Y$77,Y$59,$C$84:$D106)</f>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18" t="s">
        <v>113</v>
      </c>
      <c r="C107" s="47" t="s">
        <v>114</v>
      </c>
      <c r="D107" s="47" t="s">
        <v>115</v>
      </c>
      <c r="E107" s="37">
        <f>DSUM($B$59:$Y$77,E$59,$C$84:$D107)</f>
        <v>0</v>
      </c>
      <c r="F107" s="37">
        <f>DSUM($B$59:$Y$77,F$59,$C$84:$D107)</f>
        <v>0</v>
      </c>
      <c r="G107" s="37">
        <f>DSUM($B$59:$Y$77,G$59,$C$84:$D107)</f>
        <v>0</v>
      </c>
      <c r="H107" s="37">
        <f>DSUM($B$59:$Y$77,H$59,$C$84:$D107)</f>
        <v>0</v>
      </c>
      <c r="I107" s="37">
        <f>DSUM($B$59:$Y$77,I$59,$C$84:$D107)</f>
        <v>0</v>
      </c>
      <c r="J107" s="37">
        <f>DSUM($B$59:$Y$77,J$59,$C$84:$D107)</f>
        <v>0</v>
      </c>
      <c r="K107" s="37">
        <f>DSUM($B$59:$Y$77,K$59,$C$84:$D107)</f>
        <v>0</v>
      </c>
      <c r="L107" s="37">
        <f>DSUM($B$59:$Y$77,L$59,$C$84:$D107)</f>
        <v>0</v>
      </c>
      <c r="M107" s="37">
        <f>DSUM($B$59:$Y$77,M$59,$C$84:$D107)</f>
        <v>0</v>
      </c>
      <c r="N107" s="37">
        <f>DSUM($B$59:$Y$77,N$59,$C$84:$D107)</f>
        <v>0</v>
      </c>
      <c r="O107" s="37">
        <f>DSUM($B$59:$Y$77,O$59,$C$84:$D107)</f>
        <v>0</v>
      </c>
      <c r="P107" s="37">
        <f>DSUM($B$59:$Y$77,P$59,$C$84:$D107)</f>
        <v>0</v>
      </c>
      <c r="Q107" s="37">
        <f>DSUM($B$59:$Y$77,Q$59,$C$84:$D107)</f>
        <v>0</v>
      </c>
      <c r="R107" s="37">
        <f>DSUM($B$59:$Y$77,R$59,$C$84:$D107)</f>
        <v>0</v>
      </c>
      <c r="S107" s="37">
        <f>DSUM($B$59:$Y$77,S$59,$C$84:$D107)</f>
        <v>0</v>
      </c>
      <c r="T107" s="37">
        <f>DSUM($B$59:$Y$77,T$59,$C$84:$D107)</f>
        <v>0</v>
      </c>
      <c r="U107" s="37">
        <f>DSUM($B$59:$Y$77,U$59,$C$84:$D107)</f>
        <v>0</v>
      </c>
      <c r="V107" s="37">
        <f>DSUM($B$59:$Y$77,V$59,$C$84:$D107)</f>
        <v>0</v>
      </c>
      <c r="W107" s="37">
        <f>DSUM($B$59:$Y$77,W$59,$C$84:$D107)</f>
        <v>0</v>
      </c>
      <c r="X107" s="37">
        <f>DSUM($B$59:$Y$77,X$59,$C$84:$D107)</f>
        <v>0</v>
      </c>
      <c r="Y107" s="37">
        <f>DSUM($B$59:$Y$77,Y$59,$C$84:$D107)</f>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18" t="s">
        <v>116</v>
      </c>
      <c r="C108" s="47" t="s">
        <v>117</v>
      </c>
      <c r="D108" s="47" t="s">
        <v>118</v>
      </c>
      <c r="E108" s="37">
        <f>DSUM($B$59:$Y$77,E$59,$C$84:$D108)</f>
        <v>0</v>
      </c>
      <c r="F108" s="37">
        <f>DSUM($B$59:$Y$77,F$59,$C$84:$D108)</f>
        <v>0</v>
      </c>
      <c r="G108" s="37">
        <f>DSUM($B$59:$Y$77,G$59,$C$84:$D108)</f>
        <v>0</v>
      </c>
      <c r="H108" s="37">
        <f>DSUM($B$59:$Y$77,H$59,$C$84:$D108)</f>
        <v>0</v>
      </c>
      <c r="I108" s="37">
        <f>DSUM($B$59:$Y$77,I$59,$C$84:$D108)</f>
        <v>0</v>
      </c>
      <c r="J108" s="37">
        <f>DSUM($B$59:$Y$77,J$59,$C$84:$D108)</f>
        <v>0</v>
      </c>
      <c r="K108" s="37">
        <f>DSUM($B$59:$Y$77,K$59,$C$84:$D108)</f>
        <v>0</v>
      </c>
      <c r="L108" s="37">
        <f>DSUM($B$59:$Y$77,L$59,$C$84:$D108)</f>
        <v>0</v>
      </c>
      <c r="M108" s="37">
        <f>DSUM($B$59:$Y$77,M$59,$C$84:$D108)</f>
        <v>0</v>
      </c>
      <c r="N108" s="37">
        <f>DSUM($B$59:$Y$77,N$59,$C$84:$D108)</f>
        <v>0</v>
      </c>
      <c r="O108" s="37">
        <f>DSUM($B$59:$Y$77,O$59,$C$84:$D108)</f>
        <v>0</v>
      </c>
      <c r="P108" s="37">
        <f>DSUM($B$59:$Y$77,P$59,$C$84:$D108)</f>
        <v>0</v>
      </c>
      <c r="Q108" s="37">
        <f>DSUM($B$59:$Y$77,Q$59,$C$84:$D108)</f>
        <v>0</v>
      </c>
      <c r="R108" s="37">
        <f>DSUM($B$59:$Y$77,R$59,$C$84:$D108)</f>
        <v>0</v>
      </c>
      <c r="S108" s="37">
        <f>DSUM($B$59:$Y$77,S$59,$C$84:$D108)</f>
        <v>0</v>
      </c>
      <c r="T108" s="37">
        <f>DSUM($B$59:$Y$77,T$59,$C$84:$D108)</f>
        <v>0</v>
      </c>
      <c r="U108" s="37">
        <f>DSUM($B$59:$Y$77,U$59,$C$84:$D108)</f>
        <v>0</v>
      </c>
      <c r="V108" s="37">
        <f>DSUM($B$59:$Y$77,V$59,$C$84:$D108)</f>
        <v>0</v>
      </c>
      <c r="W108" s="37">
        <f>DSUM($B$59:$Y$77,W$59,$C$84:$D108)</f>
        <v>0</v>
      </c>
      <c r="X108" s="37">
        <f>DSUM($B$59:$Y$77,X$59,$C$84:$D108)</f>
        <v>0</v>
      </c>
      <c r="Y108" s="37">
        <f>DSUM($B$59:$Y$77,Y$59,$C$84:$D108)</f>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18" t="s">
        <v>119</v>
      </c>
      <c r="C109" s="47" t="s">
        <v>120</v>
      </c>
      <c r="D109" s="47" t="s">
        <v>121</v>
      </c>
      <c r="E109" s="37">
        <f>DSUM($B$59:$Y$77,E$59,$C$84:$D109)</f>
        <v>0</v>
      </c>
      <c r="F109" s="37">
        <f>DSUM($B$59:$Y$77,F$59,$C$84:$D109)</f>
        <v>0</v>
      </c>
      <c r="G109" s="37">
        <f>DSUM($B$59:$Y$77,G$59,$C$84:$D109)</f>
        <v>0</v>
      </c>
      <c r="H109" s="37">
        <f>DSUM($B$59:$Y$77,H$59,$C$84:$D109)</f>
        <v>0</v>
      </c>
      <c r="I109" s="37">
        <f>DSUM($B$59:$Y$77,I$59,$C$84:$D109)</f>
        <v>0</v>
      </c>
      <c r="J109" s="37">
        <f>DSUM($B$59:$Y$77,J$59,$C$84:$D109)</f>
        <v>0</v>
      </c>
      <c r="K109" s="37">
        <f>DSUM($B$59:$Y$77,K$59,$C$84:$D109)</f>
        <v>0</v>
      </c>
      <c r="L109" s="37">
        <f>DSUM($B$59:$Y$77,L$59,$C$84:$D109)</f>
        <v>0</v>
      </c>
      <c r="M109" s="37">
        <f>DSUM($B$59:$Y$77,M$59,$C$84:$D109)</f>
        <v>0</v>
      </c>
      <c r="N109" s="37">
        <f>DSUM($B$59:$Y$77,N$59,$C$84:$D109)</f>
        <v>0</v>
      </c>
      <c r="O109" s="37">
        <f>DSUM($B$59:$Y$77,O$59,$C$84:$D109)</f>
        <v>0</v>
      </c>
      <c r="P109" s="37">
        <f>DSUM($B$59:$Y$77,P$59,$C$84:$D109)</f>
        <v>0</v>
      </c>
      <c r="Q109" s="37">
        <f>DSUM($B$59:$Y$77,Q$59,$C$84:$D109)</f>
        <v>0</v>
      </c>
      <c r="R109" s="37">
        <f>DSUM($B$59:$Y$77,R$59,$C$84:$D109)</f>
        <v>0</v>
      </c>
      <c r="S109" s="37">
        <f>DSUM($B$59:$Y$77,S$59,$C$84:$D109)</f>
        <v>0</v>
      </c>
      <c r="T109" s="37">
        <f>DSUM($B$59:$Y$77,T$59,$C$84:$D109)</f>
        <v>0</v>
      </c>
      <c r="U109" s="37">
        <f>DSUM($B$59:$Y$77,U$59,$C$84:$D109)</f>
        <v>0</v>
      </c>
      <c r="V109" s="37">
        <f>DSUM($B$59:$Y$77,V$59,$C$84:$D109)</f>
        <v>0</v>
      </c>
      <c r="W109" s="37">
        <f>DSUM($B$59:$Y$77,W$59,$C$84:$D109)</f>
        <v>0</v>
      </c>
      <c r="X109" s="37">
        <f>DSUM($B$59:$Y$77,X$59,$C$84:$D109)</f>
        <v>0</v>
      </c>
      <c r="Y109" s="37">
        <f>DSUM($B$59:$Y$77,Y$59,$C$84:$D109)</f>
        <v>0</v>
      </c>
    </row>
    <row r="110" spans="2:79">
      <c r="B110" s="18" t="s">
        <v>122</v>
      </c>
      <c r="C110" s="47" t="s">
        <v>123</v>
      </c>
      <c r="D110" s="47" t="s">
        <v>124</v>
      </c>
      <c r="E110" s="37">
        <f>DSUM($B$59:$Y$77,E$59,$C$84:$D110)</f>
        <v>0</v>
      </c>
      <c r="F110" s="37">
        <f>DSUM($B$59:$Y$77,F$59,$C$84:$D110)</f>
        <v>0</v>
      </c>
      <c r="G110" s="37">
        <f>DSUM($B$59:$Y$77,G$59,$C$84:$D110)</f>
        <v>0</v>
      </c>
      <c r="H110" s="37">
        <f>DSUM($B$59:$Y$77,H$59,$C$84:$D110)</f>
        <v>0</v>
      </c>
      <c r="I110" s="37">
        <f>DSUM($B$59:$Y$77,I$59,$C$84:$D110)</f>
        <v>0</v>
      </c>
      <c r="J110" s="37">
        <f>DSUM($B$59:$Y$77,J$59,$C$84:$D110)</f>
        <v>0</v>
      </c>
      <c r="K110" s="37">
        <f>DSUM($B$59:$Y$77,K$59,$C$84:$D110)</f>
        <v>0</v>
      </c>
      <c r="L110" s="37">
        <f>DSUM($B$59:$Y$77,L$59,$C$84:$D110)</f>
        <v>0</v>
      </c>
      <c r="M110" s="37">
        <f>DSUM($B$59:$Y$77,M$59,$C$84:$D110)</f>
        <v>0</v>
      </c>
      <c r="N110" s="37">
        <f>DSUM($B$59:$Y$77,N$59,$C$84:$D110)</f>
        <v>0</v>
      </c>
      <c r="O110" s="37">
        <f>DSUM($B$59:$Y$77,O$59,$C$84:$D110)</f>
        <v>0</v>
      </c>
      <c r="P110" s="37">
        <f>DSUM($B$59:$Y$77,P$59,$C$84:$D110)</f>
        <v>0</v>
      </c>
      <c r="Q110" s="37">
        <f>DSUM($B$59:$Y$77,Q$59,$C$84:$D110)</f>
        <v>0</v>
      </c>
      <c r="R110" s="37">
        <f>DSUM($B$59:$Y$77,R$59,$C$84:$D110)</f>
        <v>0</v>
      </c>
      <c r="S110" s="37">
        <f>DSUM($B$59:$Y$77,S$59,$C$84:$D110)</f>
        <v>0</v>
      </c>
      <c r="T110" s="37">
        <f>DSUM($B$59:$Y$77,T$59,$C$84:$D110)</f>
        <v>0</v>
      </c>
      <c r="U110" s="37">
        <f>DSUM($B$59:$Y$77,U$59,$C$84:$D110)</f>
        <v>0</v>
      </c>
      <c r="V110" s="37">
        <f>DSUM($B$59:$Y$77,V$59,$C$84:$D110)</f>
        <v>0</v>
      </c>
      <c r="W110" s="37">
        <f>DSUM($B$59:$Y$77,W$59,$C$84:$D110)</f>
        <v>0</v>
      </c>
      <c r="X110" s="37">
        <f>DSUM($B$59:$Y$77,X$59,$C$84:$D110)</f>
        <v>0</v>
      </c>
      <c r="Y110" s="37">
        <f>DSUM($B$59:$Y$77,Y$59,$C$84:$D110)</f>
        <v>0</v>
      </c>
    </row>
    <row r="111" spans="2:79">
      <c r="B111" s="18" t="s">
        <v>125</v>
      </c>
      <c r="C111" s="47" t="s">
        <v>126</v>
      </c>
      <c r="D111" s="47" t="s">
        <v>127</v>
      </c>
      <c r="E111" s="37">
        <f>DSUM($B$59:$Y$77,E$59,$C$84:$D111)</f>
        <v>0</v>
      </c>
      <c r="F111" s="37">
        <f>DSUM($B$59:$Y$77,F$59,$C$84:$D111)</f>
        <v>0</v>
      </c>
      <c r="G111" s="37">
        <f>DSUM($B$59:$Y$77,G$59,$C$84:$D111)</f>
        <v>0</v>
      </c>
      <c r="H111" s="37">
        <f>DSUM($B$59:$Y$77,H$59,$C$84:$D111)</f>
        <v>0</v>
      </c>
      <c r="I111" s="37">
        <f>DSUM($B$59:$Y$77,I$59,$C$84:$D111)</f>
        <v>0</v>
      </c>
      <c r="J111" s="37">
        <f>DSUM($B$59:$Y$77,J$59,$C$84:$D111)</f>
        <v>0</v>
      </c>
      <c r="K111" s="37">
        <f>DSUM($B$59:$Y$77,K$59,$C$84:$D111)</f>
        <v>0</v>
      </c>
      <c r="L111" s="37">
        <f>DSUM($B$59:$Y$77,L$59,$C$84:$D111)</f>
        <v>0</v>
      </c>
      <c r="M111" s="37">
        <f>DSUM($B$59:$Y$77,M$59,$C$84:$D111)</f>
        <v>0</v>
      </c>
      <c r="N111" s="37">
        <f>DSUM($B$59:$Y$77,N$59,$C$84:$D111)</f>
        <v>0</v>
      </c>
      <c r="O111" s="37">
        <f>DSUM($B$59:$Y$77,O$59,$C$84:$D111)</f>
        <v>0</v>
      </c>
      <c r="P111" s="37">
        <f>DSUM($B$59:$Y$77,P$59,$C$84:$D111)</f>
        <v>0</v>
      </c>
      <c r="Q111" s="37">
        <f>DSUM($B$59:$Y$77,Q$59,$C$84:$D111)</f>
        <v>0</v>
      </c>
      <c r="R111" s="37">
        <f>DSUM($B$59:$Y$77,R$59,$C$84:$D111)</f>
        <v>0</v>
      </c>
      <c r="S111" s="37">
        <f>DSUM($B$59:$Y$77,S$59,$C$84:$D111)</f>
        <v>0</v>
      </c>
      <c r="T111" s="37">
        <f>DSUM($B$59:$Y$77,T$59,$C$84:$D111)</f>
        <v>0</v>
      </c>
      <c r="U111" s="37">
        <f>DSUM($B$59:$Y$77,U$59,$C$84:$D111)</f>
        <v>0</v>
      </c>
      <c r="V111" s="37">
        <f>DSUM($B$59:$Y$77,V$59,$C$84:$D111)</f>
        <v>0</v>
      </c>
      <c r="W111" s="37">
        <f>DSUM($B$59:$Y$77,W$59,$C$84:$D111)</f>
        <v>0</v>
      </c>
      <c r="X111" s="37">
        <f>DSUM($B$59:$Y$77,X$59,$C$84:$D111)</f>
        <v>0</v>
      </c>
      <c r="Y111" s="37">
        <f>DSUM($B$59:$Y$77,Y$59,$C$84:$D111)</f>
        <v>0</v>
      </c>
    </row>
    <row r="112" spans="2:79">
      <c r="B112" s="18" t="s">
        <v>128</v>
      </c>
      <c r="C112" s="47" t="s">
        <v>129</v>
      </c>
      <c r="D112" s="47" t="s">
        <v>130</v>
      </c>
      <c r="E112" s="37">
        <f>DSUM($B$59:$Y$77,E$59,$C$84:$D112)</f>
        <v>0</v>
      </c>
      <c r="F112" s="37">
        <f>DSUM($B$59:$Y$77,F$59,$C$84:$D112)</f>
        <v>0</v>
      </c>
      <c r="G112" s="37">
        <f>DSUM($B$59:$Y$77,G$59,$C$84:$D112)</f>
        <v>0</v>
      </c>
      <c r="H112" s="37">
        <f>DSUM($B$59:$Y$77,H$59,$C$84:$D112)</f>
        <v>0</v>
      </c>
      <c r="I112" s="37">
        <f>DSUM($B$59:$Y$77,I$59,$C$84:$D112)</f>
        <v>0</v>
      </c>
      <c r="J112" s="37">
        <f>DSUM($B$59:$Y$77,J$59,$C$84:$D112)</f>
        <v>0</v>
      </c>
      <c r="K112" s="37">
        <f>DSUM($B$59:$Y$77,K$59,$C$84:$D112)</f>
        <v>0</v>
      </c>
      <c r="L112" s="37">
        <f>DSUM($B$59:$Y$77,L$59,$C$84:$D112)</f>
        <v>0</v>
      </c>
      <c r="M112" s="37">
        <f>DSUM($B$59:$Y$77,M$59,$C$84:$D112)</f>
        <v>0</v>
      </c>
      <c r="N112" s="37">
        <f>DSUM($B$59:$Y$77,N$59,$C$84:$D112)</f>
        <v>0</v>
      </c>
      <c r="O112" s="37">
        <f>DSUM($B$59:$Y$77,O$59,$C$84:$D112)</f>
        <v>0</v>
      </c>
      <c r="P112" s="37">
        <f>DSUM($B$59:$Y$77,P$59,$C$84:$D112)</f>
        <v>0</v>
      </c>
      <c r="Q112" s="37">
        <f>DSUM($B$59:$Y$77,Q$59,$C$84:$D112)</f>
        <v>0</v>
      </c>
      <c r="R112" s="37">
        <f>DSUM($B$59:$Y$77,R$59,$C$84:$D112)</f>
        <v>0</v>
      </c>
      <c r="S112" s="37">
        <f>DSUM($B$59:$Y$77,S$59,$C$84:$D112)</f>
        <v>0</v>
      </c>
      <c r="T112" s="37">
        <f>DSUM($B$59:$Y$77,T$59,$C$84:$D112)</f>
        <v>0</v>
      </c>
      <c r="U112" s="37">
        <f>DSUM($B$59:$Y$77,U$59,$C$84:$D112)</f>
        <v>0</v>
      </c>
      <c r="V112" s="37">
        <f>DSUM($B$59:$Y$77,V$59,$C$84:$D112)</f>
        <v>0</v>
      </c>
      <c r="W112" s="37">
        <f>DSUM($B$59:$Y$77,W$59,$C$84:$D112)</f>
        <v>0</v>
      </c>
      <c r="X112" s="37">
        <f>DSUM($B$59:$Y$77,X$59,$C$84:$D112)</f>
        <v>0</v>
      </c>
      <c r="Y112" s="37">
        <f>DSUM($B$59:$Y$77,Y$59,$C$84:$D112)</f>
        <v>0</v>
      </c>
    </row>
    <row r="113" spans="1:25">
      <c r="B113" s="18" t="s">
        <v>131</v>
      </c>
      <c r="C113" s="47" t="s">
        <v>132</v>
      </c>
      <c r="D113" s="47" t="s">
        <v>133</v>
      </c>
      <c r="E113" s="37">
        <f>DSUM($B$59:$Y$77,E$59,$C$84:$D113)</f>
        <v>0</v>
      </c>
      <c r="F113" s="37">
        <f>DSUM($B$59:$Y$77,F$59,$C$84:$D113)</f>
        <v>0</v>
      </c>
      <c r="G113" s="37">
        <f>DSUM($B$59:$Y$77,G$59,$C$84:$D113)</f>
        <v>0</v>
      </c>
      <c r="H113" s="37">
        <f>DSUM($B$59:$Y$77,H$59,$C$84:$D113)</f>
        <v>0</v>
      </c>
      <c r="I113" s="37">
        <f>DSUM($B$59:$Y$77,I$59,$C$84:$D113)</f>
        <v>0</v>
      </c>
      <c r="J113" s="37">
        <f>DSUM($B$59:$Y$77,J$59,$C$84:$D113)</f>
        <v>0</v>
      </c>
      <c r="K113" s="37">
        <f>DSUM($B$59:$Y$77,K$59,$C$84:$D113)</f>
        <v>0</v>
      </c>
      <c r="L113" s="37">
        <f>DSUM($B$59:$Y$77,L$59,$C$84:$D113)</f>
        <v>0</v>
      </c>
      <c r="M113" s="37">
        <f>DSUM($B$59:$Y$77,M$59,$C$84:$D113)</f>
        <v>0</v>
      </c>
      <c r="N113" s="37">
        <f>DSUM($B$59:$Y$77,N$59,$C$84:$D113)</f>
        <v>0</v>
      </c>
      <c r="O113" s="37">
        <f>DSUM($B$59:$Y$77,O$59,$C$84:$D113)</f>
        <v>0</v>
      </c>
      <c r="P113" s="37">
        <f>DSUM($B$59:$Y$77,P$59,$C$84:$D113)</f>
        <v>0</v>
      </c>
      <c r="Q113" s="37">
        <f>DSUM($B$59:$Y$77,Q$59,$C$84:$D113)</f>
        <v>0</v>
      </c>
      <c r="R113" s="37">
        <f>DSUM($B$59:$Y$77,R$59,$C$84:$D113)</f>
        <v>0</v>
      </c>
      <c r="S113" s="37">
        <f>DSUM($B$59:$Y$77,S$59,$C$84:$D113)</f>
        <v>0</v>
      </c>
      <c r="T113" s="37">
        <f>DSUM($B$59:$Y$77,T$59,$C$84:$D113)</f>
        <v>0</v>
      </c>
      <c r="U113" s="37">
        <f>DSUM($B$59:$Y$77,U$59,$C$84:$D113)</f>
        <v>0</v>
      </c>
      <c r="V113" s="37">
        <f>DSUM($B$59:$Y$77,V$59,$C$84:$D113)</f>
        <v>0</v>
      </c>
      <c r="W113" s="37">
        <f>DSUM($B$59:$Y$77,W$59,$C$84:$D113)</f>
        <v>0</v>
      </c>
      <c r="X113" s="37">
        <f>DSUM($B$59:$Y$77,X$59,$C$84:$D113)</f>
        <v>0</v>
      </c>
      <c r="Y113" s="37">
        <f>DSUM($B$59:$Y$77,Y$59,$C$84:$D113)</f>
        <v>0</v>
      </c>
    </row>
    <row r="114" spans="1:25">
      <c r="B114" s="18" t="s">
        <v>134</v>
      </c>
      <c r="C114" s="47" t="s">
        <v>135</v>
      </c>
      <c r="D114" s="47" t="s">
        <v>136</v>
      </c>
      <c r="E114" s="37">
        <f>DSUM($B$59:$Y$77,E$59,$C$84:$D114)</f>
        <v>0</v>
      </c>
      <c r="F114" s="37">
        <f>DSUM($B$59:$Y$77,F$59,$C$84:$D114)</f>
        <v>0</v>
      </c>
      <c r="G114" s="37">
        <f>DSUM($B$59:$Y$77,G$59,$C$84:$D114)</f>
        <v>0</v>
      </c>
      <c r="H114" s="37">
        <f>DSUM($B$59:$Y$77,H$59,$C$84:$D114)</f>
        <v>0</v>
      </c>
      <c r="I114" s="37">
        <f>DSUM($B$59:$Y$77,I$59,$C$84:$D114)</f>
        <v>0</v>
      </c>
      <c r="J114" s="37">
        <f>DSUM($B$59:$Y$77,J$59,$C$84:$D114)</f>
        <v>0</v>
      </c>
      <c r="K114" s="37">
        <f>DSUM($B$59:$Y$77,K$59,$C$84:$D114)</f>
        <v>0</v>
      </c>
      <c r="L114" s="37">
        <f>DSUM($B$59:$Y$77,L$59,$C$84:$D114)</f>
        <v>0</v>
      </c>
      <c r="M114" s="37">
        <f>DSUM($B$59:$Y$77,M$59,$C$84:$D114)</f>
        <v>0</v>
      </c>
      <c r="N114" s="37">
        <f>DSUM($B$59:$Y$77,N$59,$C$84:$D114)</f>
        <v>0</v>
      </c>
      <c r="O114" s="37">
        <f>DSUM($B$59:$Y$77,O$59,$C$84:$D114)</f>
        <v>0</v>
      </c>
      <c r="P114" s="37">
        <f>DSUM($B$59:$Y$77,P$59,$C$84:$D114)</f>
        <v>0</v>
      </c>
      <c r="Q114" s="37">
        <f>DSUM($B$59:$Y$77,Q$59,$C$84:$D114)</f>
        <v>0</v>
      </c>
      <c r="R114" s="37">
        <f>DSUM($B$59:$Y$77,R$59,$C$84:$D114)</f>
        <v>0</v>
      </c>
      <c r="S114" s="37">
        <f>DSUM($B$59:$Y$77,S$59,$C$84:$D114)</f>
        <v>0</v>
      </c>
      <c r="T114" s="37">
        <f>DSUM($B$59:$Y$77,T$59,$C$84:$D114)</f>
        <v>0</v>
      </c>
      <c r="U114" s="37">
        <f>DSUM($B$59:$Y$77,U$59,$C$84:$D114)</f>
        <v>0</v>
      </c>
      <c r="V114" s="37">
        <f>DSUM($B$59:$Y$77,V$59,$C$84:$D114)</f>
        <v>0</v>
      </c>
      <c r="W114" s="37">
        <f>DSUM($B$59:$Y$77,W$59,$C$84:$D114)</f>
        <v>0</v>
      </c>
      <c r="X114" s="37">
        <f>DSUM($B$59:$Y$77,X$59,$C$84:$D114)</f>
        <v>0</v>
      </c>
      <c r="Y114" s="37">
        <f>DSUM($B$59:$Y$77,Y$59,$C$84:$D114)</f>
        <v>0</v>
      </c>
    </row>
    <row r="115" spans="1:25">
      <c r="B115" s="18" t="s">
        <v>137</v>
      </c>
      <c r="C115" s="47" t="s">
        <v>138</v>
      </c>
      <c r="D115" s="47" t="s">
        <v>139</v>
      </c>
      <c r="E115" s="37">
        <f>DSUM($B$59:$Y$77,E$59,$C$84:$D115)</f>
        <v>0</v>
      </c>
      <c r="F115" s="37">
        <f>DSUM($B$59:$Y$77,F$59,$C$84:$D115)</f>
        <v>0</v>
      </c>
      <c r="G115" s="37">
        <f>DSUM($B$59:$Y$77,G$59,$C$84:$D115)</f>
        <v>0</v>
      </c>
      <c r="H115" s="37">
        <f>DSUM($B$59:$Y$77,H$59,$C$84:$D115)</f>
        <v>0</v>
      </c>
      <c r="I115" s="37">
        <f>DSUM($B$59:$Y$77,I$59,$C$84:$D115)</f>
        <v>0</v>
      </c>
      <c r="J115" s="37">
        <f>DSUM($B$59:$Y$77,J$59,$C$84:$D115)</f>
        <v>0</v>
      </c>
      <c r="K115" s="37">
        <f>DSUM($B$59:$Y$77,K$59,$C$84:$D115)</f>
        <v>0</v>
      </c>
      <c r="L115" s="37">
        <f>DSUM($B$59:$Y$77,L$59,$C$84:$D115)</f>
        <v>0</v>
      </c>
      <c r="M115" s="37">
        <f>DSUM($B$59:$Y$77,M$59,$C$84:$D115)</f>
        <v>0</v>
      </c>
      <c r="N115" s="37">
        <f>DSUM($B$59:$Y$77,N$59,$C$84:$D115)</f>
        <v>0</v>
      </c>
      <c r="O115" s="37">
        <f>DSUM($B$59:$Y$77,O$59,$C$84:$D115)</f>
        <v>0</v>
      </c>
      <c r="P115" s="37">
        <f>DSUM($B$59:$Y$77,P$59,$C$84:$D115)</f>
        <v>0</v>
      </c>
      <c r="Q115" s="37">
        <f>DSUM($B$59:$Y$77,Q$59,$C$84:$D115)</f>
        <v>0</v>
      </c>
      <c r="R115" s="37">
        <f>DSUM($B$59:$Y$77,R$59,$C$84:$D115)</f>
        <v>0</v>
      </c>
      <c r="S115" s="37">
        <f>DSUM($B$59:$Y$77,S$59,$C$84:$D115)</f>
        <v>0</v>
      </c>
      <c r="T115" s="37">
        <f>DSUM($B$59:$Y$77,T$59,$C$84:$D115)</f>
        <v>0</v>
      </c>
      <c r="U115" s="37">
        <f>DSUM($B$59:$Y$77,U$59,$C$84:$D115)</f>
        <v>0</v>
      </c>
      <c r="V115" s="37">
        <f>DSUM($B$59:$Y$77,V$59,$C$84:$D115)</f>
        <v>0</v>
      </c>
      <c r="W115" s="37">
        <f>DSUM($B$59:$Y$77,W$59,$C$84:$D115)</f>
        <v>0</v>
      </c>
      <c r="X115" s="37">
        <f>DSUM($B$59:$Y$77,X$59,$C$84:$D115)</f>
        <v>0</v>
      </c>
      <c r="Y115" s="37">
        <f>DSUM($B$59:$Y$77,Y$59,$C$84:$D115)</f>
        <v>0</v>
      </c>
    </row>
    <row r="116" spans="1:25">
      <c r="B116" s="18" t="s">
        <v>140</v>
      </c>
      <c r="C116" s="47" t="s">
        <v>141</v>
      </c>
      <c r="D116" s="47" t="s">
        <v>142</v>
      </c>
      <c r="E116" s="37">
        <f>DSUM($B$59:$Y$77,E$59,$C$84:$D116)</f>
        <v>0</v>
      </c>
      <c r="F116" s="37">
        <f>DSUM($B$59:$Y$77,F$59,$C$84:$D116)</f>
        <v>0</v>
      </c>
      <c r="G116" s="37">
        <f>DSUM($B$59:$Y$77,G$59,$C$84:$D116)</f>
        <v>0</v>
      </c>
      <c r="H116" s="37">
        <f>DSUM($B$59:$Y$77,H$59,$C$84:$D116)</f>
        <v>0</v>
      </c>
      <c r="I116" s="37">
        <f>DSUM($B$59:$Y$77,I$59,$C$84:$D116)</f>
        <v>0</v>
      </c>
      <c r="J116" s="37">
        <f>DSUM($B$59:$Y$77,J$59,$C$84:$D116)</f>
        <v>0</v>
      </c>
      <c r="K116" s="37">
        <f>DSUM($B$59:$Y$77,K$59,$C$84:$D116)</f>
        <v>0</v>
      </c>
      <c r="L116" s="37">
        <f>DSUM($B$59:$Y$77,L$59,$C$84:$D116)</f>
        <v>0</v>
      </c>
      <c r="M116" s="37">
        <f>DSUM($B$59:$Y$77,M$59,$C$84:$D116)</f>
        <v>0</v>
      </c>
      <c r="N116" s="37">
        <f>DSUM($B$59:$Y$77,N$59,$C$84:$D116)</f>
        <v>0</v>
      </c>
      <c r="O116" s="37">
        <f>DSUM($B$59:$Y$77,O$59,$C$84:$D116)</f>
        <v>0</v>
      </c>
      <c r="P116" s="37">
        <f>DSUM($B$59:$Y$77,P$59,$C$84:$D116)</f>
        <v>0</v>
      </c>
      <c r="Q116" s="37">
        <f>DSUM($B$59:$Y$77,Q$59,$C$84:$D116)</f>
        <v>0</v>
      </c>
      <c r="R116" s="37">
        <f>DSUM($B$59:$Y$77,R$59,$C$84:$D116)</f>
        <v>0</v>
      </c>
      <c r="S116" s="37">
        <f>DSUM($B$59:$Y$77,S$59,$C$84:$D116)</f>
        <v>0</v>
      </c>
      <c r="T116" s="37">
        <f>DSUM($B$59:$Y$77,T$59,$C$84:$D116)</f>
        <v>0</v>
      </c>
      <c r="U116" s="37">
        <f>DSUM($B$59:$Y$77,U$59,$C$84:$D116)</f>
        <v>0</v>
      </c>
      <c r="V116" s="37">
        <f>DSUM($B$59:$Y$77,V$59,$C$84:$D116)</f>
        <v>0</v>
      </c>
      <c r="W116" s="37">
        <f>DSUM($B$59:$Y$77,W$59,$C$84:$D116)</f>
        <v>0</v>
      </c>
      <c r="X116" s="37">
        <f>DSUM($B$59:$Y$77,X$59,$C$84:$D116)</f>
        <v>0</v>
      </c>
      <c r="Y116" s="37">
        <f>DSUM($B$59:$Y$77,Y$59,$C$84:$D116)</f>
        <v>0</v>
      </c>
    </row>
    <row r="117" spans="1:25">
      <c r="C117" s="48"/>
      <c r="D117" s="48"/>
      <c r="E117" s="37"/>
      <c r="F117" s="37"/>
      <c r="G117" s="37"/>
      <c r="H117" s="37"/>
      <c r="I117" s="37"/>
      <c r="J117" s="37"/>
      <c r="K117" s="37"/>
      <c r="L117" s="37"/>
      <c r="M117" s="37"/>
      <c r="N117" s="37"/>
      <c r="O117" s="37"/>
      <c r="P117" s="37"/>
      <c r="Q117" s="37"/>
      <c r="R117" s="37"/>
      <c r="S117" s="37"/>
      <c r="T117" s="37"/>
      <c r="U117" s="37"/>
      <c r="V117" s="37"/>
      <c r="W117" s="37"/>
      <c r="X117" s="37"/>
      <c r="Y117" s="37"/>
    </row>
    <row r="118" spans="1:25">
      <c r="E118" s="49">
        <f>E116</f>
        <v>0</v>
      </c>
      <c r="F118" s="49">
        <f t="shared" ref="F118:Y118" si="38">F116</f>
        <v>0</v>
      </c>
      <c r="G118" s="49">
        <f t="shared" si="38"/>
        <v>0</v>
      </c>
      <c r="H118" s="49">
        <f t="shared" si="38"/>
        <v>0</v>
      </c>
      <c r="I118" s="49">
        <f t="shared" si="38"/>
        <v>0</v>
      </c>
      <c r="J118" s="49">
        <f t="shared" si="38"/>
        <v>0</v>
      </c>
      <c r="K118" s="49">
        <f t="shared" si="38"/>
        <v>0</v>
      </c>
      <c r="L118" s="49">
        <f t="shared" si="38"/>
        <v>0</v>
      </c>
      <c r="M118" s="49">
        <f t="shared" si="38"/>
        <v>0</v>
      </c>
      <c r="N118" s="49">
        <f t="shared" si="38"/>
        <v>0</v>
      </c>
      <c r="O118" s="49">
        <f t="shared" si="38"/>
        <v>0</v>
      </c>
      <c r="P118" s="49">
        <f t="shared" si="38"/>
        <v>0</v>
      </c>
      <c r="Q118" s="49">
        <f t="shared" si="38"/>
        <v>0</v>
      </c>
      <c r="R118" s="49">
        <f t="shared" si="38"/>
        <v>0</v>
      </c>
      <c r="S118" s="49">
        <f t="shared" si="38"/>
        <v>0</v>
      </c>
      <c r="T118" s="49">
        <f t="shared" si="38"/>
        <v>0</v>
      </c>
      <c r="U118" s="49">
        <f t="shared" si="38"/>
        <v>0</v>
      </c>
      <c r="V118" s="49">
        <f t="shared" si="38"/>
        <v>0</v>
      </c>
      <c r="W118" s="49">
        <f t="shared" si="38"/>
        <v>0</v>
      </c>
      <c r="X118" s="49">
        <f t="shared" si="38"/>
        <v>0</v>
      </c>
      <c r="Y118" s="49">
        <f t="shared" si="38"/>
        <v>0</v>
      </c>
    </row>
    <row r="119" spans="1:25" ht="15">
      <c r="A119" s="38" t="s">
        <v>143</v>
      </c>
      <c r="B119" s="50"/>
    </row>
    <row r="120" spans="1:25" ht="15">
      <c r="D120" s="39" t="str">
        <f>C8</f>
        <v>Commercial EM-New</v>
      </c>
      <c r="E120" s="40">
        <f>E83</f>
        <v>2016</v>
      </c>
      <c r="F120" s="40">
        <f t="shared" ref="F120:Y120" si="39">F83</f>
        <v>2017</v>
      </c>
      <c r="G120" s="40">
        <f t="shared" si="39"/>
        <v>2018</v>
      </c>
      <c r="H120" s="40">
        <f t="shared" si="39"/>
        <v>2019</v>
      </c>
      <c r="I120" s="40">
        <f t="shared" si="39"/>
        <v>2020</v>
      </c>
      <c r="J120" s="40">
        <f t="shared" si="39"/>
        <v>2021</v>
      </c>
      <c r="K120" s="40">
        <f t="shared" si="39"/>
        <v>2022</v>
      </c>
      <c r="L120" s="40">
        <f t="shared" si="39"/>
        <v>2023</v>
      </c>
      <c r="M120" s="40">
        <f t="shared" si="39"/>
        <v>2024</v>
      </c>
      <c r="N120" s="40">
        <f t="shared" si="39"/>
        <v>2025</v>
      </c>
      <c r="O120" s="40">
        <f t="shared" si="39"/>
        <v>2026</v>
      </c>
      <c r="P120" s="40">
        <f t="shared" si="39"/>
        <v>2027</v>
      </c>
      <c r="Q120" s="40">
        <f t="shared" si="39"/>
        <v>2028</v>
      </c>
      <c r="R120" s="40">
        <f t="shared" si="39"/>
        <v>2029</v>
      </c>
      <c r="S120" s="40">
        <f t="shared" si="39"/>
        <v>2030</v>
      </c>
      <c r="T120" s="40">
        <f t="shared" si="39"/>
        <v>2031</v>
      </c>
      <c r="U120" s="40">
        <f t="shared" si="39"/>
        <v>2032</v>
      </c>
      <c r="V120" s="40">
        <f t="shared" si="39"/>
        <v>2033</v>
      </c>
      <c r="W120" s="40">
        <f t="shared" si="39"/>
        <v>2034</v>
      </c>
      <c r="X120" s="40">
        <f t="shared" si="39"/>
        <v>2035</v>
      </c>
      <c r="Y120" s="40" t="str">
        <f t="shared" si="39"/>
        <v>Max</v>
      </c>
    </row>
    <row r="121" spans="1:25" ht="15">
      <c r="E121" s="41" t="str">
        <f>CONCATENATE("aMW_",E$11)</f>
        <v>aMW_2016</v>
      </c>
      <c r="F121" s="41" t="str">
        <f t="shared" ref="F121:Y121" si="40">CONCATENATE("aMW_",F$11)</f>
        <v>aMW_2017</v>
      </c>
      <c r="G121" s="41" t="str">
        <f t="shared" si="40"/>
        <v>aMW_2018</v>
      </c>
      <c r="H121" s="41" t="str">
        <f t="shared" si="40"/>
        <v>aMW_2019</v>
      </c>
      <c r="I121" s="41" t="str">
        <f t="shared" si="40"/>
        <v>aMW_2020</v>
      </c>
      <c r="J121" s="41" t="str">
        <f t="shared" si="40"/>
        <v>aMW_2021</v>
      </c>
      <c r="K121" s="41" t="str">
        <f t="shared" si="40"/>
        <v>aMW_2022</v>
      </c>
      <c r="L121" s="41" t="str">
        <f t="shared" si="40"/>
        <v>aMW_2023</v>
      </c>
      <c r="M121" s="41" t="str">
        <f t="shared" si="40"/>
        <v>aMW_2024</v>
      </c>
      <c r="N121" s="41" t="str">
        <f t="shared" si="40"/>
        <v>aMW_2025</v>
      </c>
      <c r="O121" s="41" t="str">
        <f t="shared" si="40"/>
        <v>aMW_2026</v>
      </c>
      <c r="P121" s="41" t="str">
        <f t="shared" si="40"/>
        <v>aMW_2027</v>
      </c>
      <c r="Q121" s="41" t="str">
        <f t="shared" si="40"/>
        <v>aMW_2028</v>
      </c>
      <c r="R121" s="41" t="str">
        <f t="shared" si="40"/>
        <v>aMW_2029</v>
      </c>
      <c r="S121" s="41" t="str">
        <f t="shared" si="40"/>
        <v>aMW_2030</v>
      </c>
      <c r="T121" s="41" t="str">
        <f t="shared" si="40"/>
        <v>aMW_2031</v>
      </c>
      <c r="U121" s="41" t="str">
        <f t="shared" si="40"/>
        <v>aMW_2032</v>
      </c>
      <c r="V121" s="41" t="str">
        <f t="shared" si="40"/>
        <v>aMW_2033</v>
      </c>
      <c r="W121" s="41" t="str">
        <f t="shared" si="40"/>
        <v>aMW_2034</v>
      </c>
      <c r="X121" s="41" t="str">
        <f t="shared" si="40"/>
        <v>aMW_2035</v>
      </c>
      <c r="Y121" s="41" t="str">
        <f t="shared" si="40"/>
        <v>aMW_</v>
      </c>
    </row>
    <row r="122" spans="1:25">
      <c r="C122" s="18" t="s">
        <v>47</v>
      </c>
      <c r="E122" s="51">
        <f t="shared" ref="E122:Y122" si="41">E85</f>
        <v>0</v>
      </c>
      <c r="F122" s="51">
        <f t="shared" si="41"/>
        <v>0</v>
      </c>
      <c r="G122" s="51">
        <f t="shared" si="41"/>
        <v>0</v>
      </c>
      <c r="H122" s="51">
        <f t="shared" si="41"/>
        <v>0</v>
      </c>
      <c r="I122" s="51">
        <f t="shared" si="41"/>
        <v>0</v>
      </c>
      <c r="J122" s="51">
        <f t="shared" si="41"/>
        <v>0</v>
      </c>
      <c r="K122" s="51">
        <f t="shared" si="41"/>
        <v>0</v>
      </c>
      <c r="L122" s="51">
        <f t="shared" si="41"/>
        <v>0</v>
      </c>
      <c r="M122" s="51">
        <f t="shared" si="41"/>
        <v>0</v>
      </c>
      <c r="N122" s="51">
        <f t="shared" si="41"/>
        <v>0</v>
      </c>
      <c r="O122" s="51">
        <f t="shared" si="41"/>
        <v>0</v>
      </c>
      <c r="P122" s="51">
        <f t="shared" si="41"/>
        <v>0</v>
      </c>
      <c r="Q122" s="51">
        <f t="shared" si="41"/>
        <v>0</v>
      </c>
      <c r="R122" s="51">
        <f t="shared" si="41"/>
        <v>0</v>
      </c>
      <c r="S122" s="51">
        <f t="shared" si="41"/>
        <v>0</v>
      </c>
      <c r="T122" s="51">
        <f t="shared" si="41"/>
        <v>0</v>
      </c>
      <c r="U122" s="51">
        <f t="shared" si="41"/>
        <v>0</v>
      </c>
      <c r="V122" s="51">
        <f t="shared" si="41"/>
        <v>0</v>
      </c>
      <c r="W122" s="51">
        <f t="shared" si="41"/>
        <v>0</v>
      </c>
      <c r="X122" s="51">
        <f t="shared" si="41"/>
        <v>0</v>
      </c>
      <c r="Y122" s="51">
        <f t="shared" si="41"/>
        <v>0</v>
      </c>
    </row>
    <row r="123" spans="1:25">
      <c r="C123" s="18" t="s">
        <v>50</v>
      </c>
      <c r="E123" s="51">
        <f t="shared" ref="E123:Y135" si="42">E86-E85</f>
        <v>0</v>
      </c>
      <c r="F123" s="51">
        <f t="shared" si="42"/>
        <v>0</v>
      </c>
      <c r="G123" s="51">
        <f t="shared" si="42"/>
        <v>0</v>
      </c>
      <c r="H123" s="51">
        <f t="shared" si="42"/>
        <v>0</v>
      </c>
      <c r="I123" s="51">
        <f t="shared" si="42"/>
        <v>0</v>
      </c>
      <c r="J123" s="51">
        <f t="shared" si="42"/>
        <v>0</v>
      </c>
      <c r="K123" s="51">
        <f t="shared" si="42"/>
        <v>0</v>
      </c>
      <c r="L123" s="51">
        <f t="shared" si="42"/>
        <v>0</v>
      </c>
      <c r="M123" s="51">
        <f t="shared" si="42"/>
        <v>0</v>
      </c>
      <c r="N123" s="51">
        <f t="shared" si="42"/>
        <v>0</v>
      </c>
      <c r="O123" s="51">
        <f t="shared" si="42"/>
        <v>0</v>
      </c>
      <c r="P123" s="51">
        <f t="shared" si="42"/>
        <v>0</v>
      </c>
      <c r="Q123" s="51">
        <f t="shared" si="42"/>
        <v>0</v>
      </c>
      <c r="R123" s="51">
        <f t="shared" si="42"/>
        <v>0</v>
      </c>
      <c r="S123" s="51">
        <f t="shared" si="42"/>
        <v>0</v>
      </c>
      <c r="T123" s="51">
        <f t="shared" si="42"/>
        <v>0</v>
      </c>
      <c r="U123" s="51">
        <f t="shared" si="42"/>
        <v>0</v>
      </c>
      <c r="V123" s="51">
        <f t="shared" si="42"/>
        <v>0</v>
      </c>
      <c r="W123" s="51">
        <f t="shared" si="42"/>
        <v>0</v>
      </c>
      <c r="X123" s="51">
        <f t="shared" si="42"/>
        <v>0</v>
      </c>
      <c r="Y123" s="51">
        <f t="shared" si="42"/>
        <v>0</v>
      </c>
    </row>
    <row r="124" spans="1:25">
      <c r="C124" s="18" t="s">
        <v>53</v>
      </c>
      <c r="E124" s="51">
        <f t="shared" si="42"/>
        <v>0</v>
      </c>
      <c r="F124" s="51">
        <f t="shared" si="42"/>
        <v>0</v>
      </c>
      <c r="G124" s="51">
        <f t="shared" si="42"/>
        <v>0</v>
      </c>
      <c r="H124" s="51">
        <f t="shared" si="42"/>
        <v>0</v>
      </c>
      <c r="I124" s="51">
        <f t="shared" si="42"/>
        <v>0</v>
      </c>
      <c r="J124" s="51">
        <f t="shared" si="42"/>
        <v>0</v>
      </c>
      <c r="K124" s="51">
        <f t="shared" si="42"/>
        <v>0</v>
      </c>
      <c r="L124" s="51">
        <f t="shared" si="42"/>
        <v>0</v>
      </c>
      <c r="M124" s="51">
        <f t="shared" si="42"/>
        <v>0</v>
      </c>
      <c r="N124" s="51">
        <f t="shared" si="42"/>
        <v>0</v>
      </c>
      <c r="O124" s="51">
        <f t="shared" si="42"/>
        <v>0</v>
      </c>
      <c r="P124" s="51">
        <f t="shared" si="42"/>
        <v>0</v>
      </c>
      <c r="Q124" s="51">
        <f t="shared" si="42"/>
        <v>0</v>
      </c>
      <c r="R124" s="51">
        <f t="shared" si="42"/>
        <v>0</v>
      </c>
      <c r="S124" s="51">
        <f t="shared" si="42"/>
        <v>0</v>
      </c>
      <c r="T124" s="51">
        <f t="shared" si="42"/>
        <v>0</v>
      </c>
      <c r="U124" s="51">
        <f t="shared" si="42"/>
        <v>0</v>
      </c>
      <c r="V124" s="51">
        <f t="shared" si="42"/>
        <v>0</v>
      </c>
      <c r="W124" s="51">
        <f t="shared" si="42"/>
        <v>0</v>
      </c>
      <c r="X124" s="51">
        <f t="shared" si="42"/>
        <v>0</v>
      </c>
      <c r="Y124" s="51">
        <f t="shared" si="42"/>
        <v>0</v>
      </c>
    </row>
    <row r="125" spans="1:25">
      <c r="C125" s="18" t="s">
        <v>56</v>
      </c>
      <c r="E125" s="51">
        <f t="shared" si="42"/>
        <v>0</v>
      </c>
      <c r="F125" s="51">
        <f t="shared" si="42"/>
        <v>0</v>
      </c>
      <c r="G125" s="51">
        <f t="shared" si="42"/>
        <v>0</v>
      </c>
      <c r="H125" s="51">
        <f t="shared" si="42"/>
        <v>0</v>
      </c>
      <c r="I125" s="51">
        <f t="shared" si="42"/>
        <v>0</v>
      </c>
      <c r="J125" s="51">
        <f t="shared" si="42"/>
        <v>0</v>
      </c>
      <c r="K125" s="51">
        <f t="shared" si="42"/>
        <v>0</v>
      </c>
      <c r="L125" s="51">
        <f t="shared" si="42"/>
        <v>0</v>
      </c>
      <c r="M125" s="51">
        <f t="shared" si="42"/>
        <v>0</v>
      </c>
      <c r="N125" s="51">
        <f t="shared" si="42"/>
        <v>0</v>
      </c>
      <c r="O125" s="51">
        <f t="shared" si="42"/>
        <v>0</v>
      </c>
      <c r="P125" s="51">
        <f t="shared" si="42"/>
        <v>0</v>
      </c>
      <c r="Q125" s="51">
        <f t="shared" si="42"/>
        <v>0</v>
      </c>
      <c r="R125" s="51">
        <f t="shared" si="42"/>
        <v>0</v>
      </c>
      <c r="S125" s="51">
        <f t="shared" si="42"/>
        <v>0</v>
      </c>
      <c r="T125" s="51">
        <f t="shared" si="42"/>
        <v>0</v>
      </c>
      <c r="U125" s="51">
        <f t="shared" si="42"/>
        <v>0</v>
      </c>
      <c r="V125" s="51">
        <f t="shared" si="42"/>
        <v>0</v>
      </c>
      <c r="W125" s="51">
        <f t="shared" si="42"/>
        <v>0</v>
      </c>
      <c r="X125" s="51">
        <f t="shared" si="42"/>
        <v>0</v>
      </c>
      <c r="Y125" s="51">
        <f t="shared" si="42"/>
        <v>0</v>
      </c>
    </row>
    <row r="126" spans="1:25">
      <c r="C126" s="18" t="s">
        <v>59</v>
      </c>
      <c r="E126" s="51">
        <f t="shared" si="42"/>
        <v>0</v>
      </c>
      <c r="F126" s="51">
        <f t="shared" si="42"/>
        <v>0</v>
      </c>
      <c r="G126" s="51">
        <f t="shared" si="42"/>
        <v>0</v>
      </c>
      <c r="H126" s="51">
        <f t="shared" si="42"/>
        <v>0</v>
      </c>
      <c r="I126" s="51">
        <f t="shared" si="42"/>
        <v>0</v>
      </c>
      <c r="J126" s="51">
        <f t="shared" si="42"/>
        <v>0</v>
      </c>
      <c r="K126" s="51">
        <f t="shared" si="42"/>
        <v>0</v>
      </c>
      <c r="L126" s="51">
        <f t="shared" si="42"/>
        <v>0</v>
      </c>
      <c r="M126" s="51">
        <f t="shared" si="42"/>
        <v>0</v>
      </c>
      <c r="N126" s="51">
        <f t="shared" si="42"/>
        <v>0</v>
      </c>
      <c r="O126" s="51">
        <f t="shared" si="42"/>
        <v>0</v>
      </c>
      <c r="P126" s="51">
        <f t="shared" si="42"/>
        <v>0</v>
      </c>
      <c r="Q126" s="51">
        <f t="shared" si="42"/>
        <v>0</v>
      </c>
      <c r="R126" s="51">
        <f t="shared" si="42"/>
        <v>0</v>
      </c>
      <c r="S126" s="51">
        <f t="shared" si="42"/>
        <v>0</v>
      </c>
      <c r="T126" s="51">
        <f t="shared" si="42"/>
        <v>0</v>
      </c>
      <c r="U126" s="51">
        <f t="shared" si="42"/>
        <v>0</v>
      </c>
      <c r="V126" s="51">
        <f t="shared" si="42"/>
        <v>0</v>
      </c>
      <c r="W126" s="51">
        <f t="shared" si="42"/>
        <v>0</v>
      </c>
      <c r="X126" s="51">
        <f t="shared" si="42"/>
        <v>0</v>
      </c>
      <c r="Y126" s="51">
        <f t="shared" si="42"/>
        <v>0</v>
      </c>
    </row>
    <row r="127" spans="1:25">
      <c r="C127" s="18" t="s">
        <v>62</v>
      </c>
      <c r="E127" s="51">
        <f t="shared" si="42"/>
        <v>0</v>
      </c>
      <c r="F127" s="51">
        <f t="shared" si="42"/>
        <v>0</v>
      </c>
      <c r="G127" s="51">
        <f t="shared" si="42"/>
        <v>0</v>
      </c>
      <c r="H127" s="51">
        <f t="shared" si="42"/>
        <v>0</v>
      </c>
      <c r="I127" s="51">
        <f t="shared" si="42"/>
        <v>0</v>
      </c>
      <c r="J127" s="51">
        <f t="shared" si="42"/>
        <v>0</v>
      </c>
      <c r="K127" s="51">
        <f t="shared" si="42"/>
        <v>0</v>
      </c>
      <c r="L127" s="51">
        <f t="shared" si="42"/>
        <v>0</v>
      </c>
      <c r="M127" s="51">
        <f t="shared" si="42"/>
        <v>0</v>
      </c>
      <c r="N127" s="51">
        <f t="shared" si="42"/>
        <v>0</v>
      </c>
      <c r="O127" s="51">
        <f t="shared" si="42"/>
        <v>0</v>
      </c>
      <c r="P127" s="51">
        <f t="shared" si="42"/>
        <v>0</v>
      </c>
      <c r="Q127" s="51">
        <f t="shared" si="42"/>
        <v>0</v>
      </c>
      <c r="R127" s="51">
        <f t="shared" si="42"/>
        <v>0</v>
      </c>
      <c r="S127" s="51">
        <f t="shared" si="42"/>
        <v>0</v>
      </c>
      <c r="T127" s="51">
        <f t="shared" si="42"/>
        <v>0</v>
      </c>
      <c r="U127" s="51">
        <f t="shared" si="42"/>
        <v>0</v>
      </c>
      <c r="V127" s="51">
        <f t="shared" si="42"/>
        <v>0</v>
      </c>
      <c r="W127" s="51">
        <f t="shared" si="42"/>
        <v>0</v>
      </c>
      <c r="X127" s="51">
        <f t="shared" si="42"/>
        <v>0</v>
      </c>
      <c r="Y127" s="51">
        <f t="shared" si="42"/>
        <v>0</v>
      </c>
    </row>
    <row r="128" spans="1:25">
      <c r="C128" s="18" t="s">
        <v>65</v>
      </c>
      <c r="E128" s="51">
        <f t="shared" si="42"/>
        <v>0</v>
      </c>
      <c r="F128" s="51">
        <f t="shared" si="42"/>
        <v>0</v>
      </c>
      <c r="G128" s="51">
        <f t="shared" si="42"/>
        <v>0</v>
      </c>
      <c r="H128" s="51">
        <f t="shared" si="42"/>
        <v>0</v>
      </c>
      <c r="I128" s="51">
        <f t="shared" si="42"/>
        <v>0</v>
      </c>
      <c r="J128" s="51">
        <f t="shared" si="42"/>
        <v>0</v>
      </c>
      <c r="K128" s="51">
        <f t="shared" si="42"/>
        <v>0</v>
      </c>
      <c r="L128" s="51">
        <f t="shared" si="42"/>
        <v>0</v>
      </c>
      <c r="M128" s="51">
        <f t="shared" si="42"/>
        <v>0</v>
      </c>
      <c r="N128" s="51">
        <f t="shared" si="42"/>
        <v>0</v>
      </c>
      <c r="O128" s="51">
        <f t="shared" si="42"/>
        <v>0</v>
      </c>
      <c r="P128" s="51">
        <f t="shared" si="42"/>
        <v>0</v>
      </c>
      <c r="Q128" s="51">
        <f t="shared" si="42"/>
        <v>0</v>
      </c>
      <c r="R128" s="51">
        <f t="shared" si="42"/>
        <v>0</v>
      </c>
      <c r="S128" s="51">
        <f t="shared" si="42"/>
        <v>0</v>
      </c>
      <c r="T128" s="51">
        <f t="shared" si="42"/>
        <v>0</v>
      </c>
      <c r="U128" s="51">
        <f t="shared" si="42"/>
        <v>0</v>
      </c>
      <c r="V128" s="51">
        <f t="shared" si="42"/>
        <v>0</v>
      </c>
      <c r="W128" s="51">
        <f t="shared" si="42"/>
        <v>0</v>
      </c>
      <c r="X128" s="51">
        <f t="shared" si="42"/>
        <v>0</v>
      </c>
      <c r="Y128" s="51">
        <f t="shared" si="42"/>
        <v>0</v>
      </c>
    </row>
    <row r="129" spans="3:25">
      <c r="C129" s="18" t="s">
        <v>68</v>
      </c>
      <c r="E129" s="51">
        <f t="shared" si="42"/>
        <v>0</v>
      </c>
      <c r="F129" s="51">
        <f t="shared" si="42"/>
        <v>0</v>
      </c>
      <c r="G129" s="51">
        <f t="shared" si="42"/>
        <v>0</v>
      </c>
      <c r="H129" s="51">
        <f t="shared" si="42"/>
        <v>0</v>
      </c>
      <c r="I129" s="51">
        <f t="shared" si="42"/>
        <v>0</v>
      </c>
      <c r="J129" s="51">
        <f t="shared" si="42"/>
        <v>0</v>
      </c>
      <c r="K129" s="51">
        <f t="shared" si="42"/>
        <v>0</v>
      </c>
      <c r="L129" s="51">
        <f t="shared" si="42"/>
        <v>0</v>
      </c>
      <c r="M129" s="51">
        <f t="shared" si="42"/>
        <v>0</v>
      </c>
      <c r="N129" s="51">
        <f t="shared" si="42"/>
        <v>0</v>
      </c>
      <c r="O129" s="51">
        <f t="shared" si="42"/>
        <v>0</v>
      </c>
      <c r="P129" s="51">
        <f t="shared" si="42"/>
        <v>0</v>
      </c>
      <c r="Q129" s="51">
        <f t="shared" si="42"/>
        <v>0</v>
      </c>
      <c r="R129" s="51">
        <f t="shared" si="42"/>
        <v>0</v>
      </c>
      <c r="S129" s="51">
        <f t="shared" si="42"/>
        <v>0</v>
      </c>
      <c r="T129" s="51">
        <f t="shared" si="42"/>
        <v>0</v>
      </c>
      <c r="U129" s="51">
        <f t="shared" si="42"/>
        <v>0</v>
      </c>
      <c r="V129" s="51">
        <f t="shared" si="42"/>
        <v>0</v>
      </c>
      <c r="W129" s="51">
        <f t="shared" si="42"/>
        <v>0</v>
      </c>
      <c r="X129" s="51">
        <f t="shared" si="42"/>
        <v>0</v>
      </c>
      <c r="Y129" s="51">
        <f t="shared" si="42"/>
        <v>0</v>
      </c>
    </row>
    <row r="130" spans="3:25">
      <c r="C130" s="18" t="s">
        <v>71</v>
      </c>
      <c r="E130" s="51">
        <f t="shared" si="42"/>
        <v>0</v>
      </c>
      <c r="F130" s="51">
        <f t="shared" si="42"/>
        <v>0</v>
      </c>
      <c r="G130" s="51">
        <f t="shared" si="42"/>
        <v>0</v>
      </c>
      <c r="H130" s="51">
        <f t="shared" si="42"/>
        <v>0</v>
      </c>
      <c r="I130" s="51">
        <f t="shared" si="42"/>
        <v>0</v>
      </c>
      <c r="J130" s="51">
        <f t="shared" si="42"/>
        <v>0</v>
      </c>
      <c r="K130" s="51">
        <f t="shared" si="42"/>
        <v>0</v>
      </c>
      <c r="L130" s="51">
        <f t="shared" si="42"/>
        <v>0</v>
      </c>
      <c r="M130" s="51">
        <f t="shared" si="42"/>
        <v>0</v>
      </c>
      <c r="N130" s="51">
        <f t="shared" si="42"/>
        <v>0</v>
      </c>
      <c r="O130" s="51">
        <f t="shared" si="42"/>
        <v>0</v>
      </c>
      <c r="P130" s="51">
        <f t="shared" si="42"/>
        <v>0</v>
      </c>
      <c r="Q130" s="51">
        <f t="shared" si="42"/>
        <v>0</v>
      </c>
      <c r="R130" s="51">
        <f t="shared" si="42"/>
        <v>0</v>
      </c>
      <c r="S130" s="51">
        <f t="shared" si="42"/>
        <v>0</v>
      </c>
      <c r="T130" s="51">
        <f t="shared" si="42"/>
        <v>0</v>
      </c>
      <c r="U130" s="51">
        <f t="shared" si="42"/>
        <v>0</v>
      </c>
      <c r="V130" s="51">
        <f t="shared" si="42"/>
        <v>0</v>
      </c>
      <c r="W130" s="51">
        <f t="shared" si="42"/>
        <v>0</v>
      </c>
      <c r="X130" s="51">
        <f t="shared" si="42"/>
        <v>0</v>
      </c>
      <c r="Y130" s="51">
        <f t="shared" si="42"/>
        <v>0</v>
      </c>
    </row>
    <row r="131" spans="3:25">
      <c r="C131" s="18" t="s">
        <v>74</v>
      </c>
      <c r="E131" s="51">
        <f t="shared" si="42"/>
        <v>0</v>
      </c>
      <c r="F131" s="51">
        <f t="shared" si="42"/>
        <v>0</v>
      </c>
      <c r="G131" s="51">
        <f t="shared" si="42"/>
        <v>0</v>
      </c>
      <c r="H131" s="51">
        <f t="shared" si="42"/>
        <v>0</v>
      </c>
      <c r="I131" s="51">
        <f t="shared" si="42"/>
        <v>0</v>
      </c>
      <c r="J131" s="51">
        <f t="shared" si="42"/>
        <v>0</v>
      </c>
      <c r="K131" s="51">
        <f t="shared" si="42"/>
        <v>0</v>
      </c>
      <c r="L131" s="51">
        <f t="shared" si="42"/>
        <v>0</v>
      </c>
      <c r="M131" s="51">
        <f t="shared" si="42"/>
        <v>0</v>
      </c>
      <c r="N131" s="51">
        <f t="shared" si="42"/>
        <v>0</v>
      </c>
      <c r="O131" s="51">
        <f t="shared" si="42"/>
        <v>0</v>
      </c>
      <c r="P131" s="51">
        <f t="shared" si="42"/>
        <v>0</v>
      </c>
      <c r="Q131" s="51">
        <f t="shared" si="42"/>
        <v>0</v>
      </c>
      <c r="R131" s="51">
        <f t="shared" si="42"/>
        <v>0</v>
      </c>
      <c r="S131" s="51">
        <f t="shared" si="42"/>
        <v>0</v>
      </c>
      <c r="T131" s="51">
        <f t="shared" si="42"/>
        <v>0</v>
      </c>
      <c r="U131" s="51">
        <f t="shared" si="42"/>
        <v>0</v>
      </c>
      <c r="V131" s="51">
        <f t="shared" si="42"/>
        <v>0</v>
      </c>
      <c r="W131" s="51">
        <f t="shared" si="42"/>
        <v>0</v>
      </c>
      <c r="X131" s="51">
        <f t="shared" si="42"/>
        <v>0</v>
      </c>
      <c r="Y131" s="51">
        <f t="shared" si="42"/>
        <v>0</v>
      </c>
    </row>
    <row r="132" spans="3:25">
      <c r="C132" s="18" t="s">
        <v>77</v>
      </c>
      <c r="E132" s="51">
        <f t="shared" si="42"/>
        <v>0</v>
      </c>
      <c r="F132" s="51">
        <f t="shared" si="42"/>
        <v>0</v>
      </c>
      <c r="G132" s="51">
        <f t="shared" si="42"/>
        <v>0</v>
      </c>
      <c r="H132" s="51">
        <f t="shared" si="42"/>
        <v>0</v>
      </c>
      <c r="I132" s="51">
        <f t="shared" si="42"/>
        <v>0</v>
      </c>
      <c r="J132" s="51">
        <f t="shared" si="42"/>
        <v>0</v>
      </c>
      <c r="K132" s="51">
        <f t="shared" si="42"/>
        <v>0</v>
      </c>
      <c r="L132" s="51">
        <f t="shared" si="42"/>
        <v>0</v>
      </c>
      <c r="M132" s="51">
        <f t="shared" si="42"/>
        <v>0</v>
      </c>
      <c r="N132" s="51">
        <f t="shared" si="42"/>
        <v>0</v>
      </c>
      <c r="O132" s="51">
        <f t="shared" si="42"/>
        <v>0</v>
      </c>
      <c r="P132" s="51">
        <f t="shared" si="42"/>
        <v>0</v>
      </c>
      <c r="Q132" s="51">
        <f t="shared" si="42"/>
        <v>0</v>
      </c>
      <c r="R132" s="51">
        <f t="shared" si="42"/>
        <v>0</v>
      </c>
      <c r="S132" s="51">
        <f t="shared" si="42"/>
        <v>0</v>
      </c>
      <c r="T132" s="51">
        <f t="shared" si="42"/>
        <v>0</v>
      </c>
      <c r="U132" s="51">
        <f t="shared" si="42"/>
        <v>0</v>
      </c>
      <c r="V132" s="51">
        <f t="shared" si="42"/>
        <v>0</v>
      </c>
      <c r="W132" s="51">
        <f t="shared" si="42"/>
        <v>0</v>
      </c>
      <c r="X132" s="51">
        <f t="shared" si="42"/>
        <v>0</v>
      </c>
      <c r="Y132" s="51">
        <f t="shared" si="42"/>
        <v>0</v>
      </c>
    </row>
    <row r="133" spans="3:25">
      <c r="C133" s="18" t="s">
        <v>80</v>
      </c>
      <c r="E133" s="51">
        <f t="shared" si="42"/>
        <v>0</v>
      </c>
      <c r="F133" s="51">
        <f t="shared" si="42"/>
        <v>0</v>
      </c>
      <c r="G133" s="51">
        <f t="shared" si="42"/>
        <v>0</v>
      </c>
      <c r="H133" s="51">
        <f t="shared" si="42"/>
        <v>0</v>
      </c>
      <c r="I133" s="51">
        <f t="shared" si="42"/>
        <v>0</v>
      </c>
      <c r="J133" s="51">
        <f t="shared" si="42"/>
        <v>0</v>
      </c>
      <c r="K133" s="51">
        <f t="shared" si="42"/>
        <v>0</v>
      </c>
      <c r="L133" s="51">
        <f t="shared" si="42"/>
        <v>0</v>
      </c>
      <c r="M133" s="51">
        <f t="shared" si="42"/>
        <v>0</v>
      </c>
      <c r="N133" s="51">
        <f t="shared" si="42"/>
        <v>0</v>
      </c>
      <c r="O133" s="51">
        <f t="shared" si="42"/>
        <v>0</v>
      </c>
      <c r="P133" s="51">
        <f t="shared" si="42"/>
        <v>0</v>
      </c>
      <c r="Q133" s="51">
        <f t="shared" si="42"/>
        <v>0</v>
      </c>
      <c r="R133" s="51">
        <f t="shared" si="42"/>
        <v>0</v>
      </c>
      <c r="S133" s="51">
        <f t="shared" si="42"/>
        <v>0</v>
      </c>
      <c r="T133" s="51">
        <f t="shared" si="42"/>
        <v>0</v>
      </c>
      <c r="U133" s="51">
        <f t="shared" si="42"/>
        <v>0</v>
      </c>
      <c r="V133" s="51">
        <f t="shared" si="42"/>
        <v>0</v>
      </c>
      <c r="W133" s="51">
        <f t="shared" si="42"/>
        <v>0</v>
      </c>
      <c r="X133" s="51">
        <f t="shared" si="42"/>
        <v>0</v>
      </c>
      <c r="Y133" s="51">
        <f t="shared" si="42"/>
        <v>0</v>
      </c>
    </row>
    <row r="134" spans="3:25">
      <c r="C134" s="18" t="s">
        <v>83</v>
      </c>
      <c r="E134" s="51">
        <f t="shared" si="42"/>
        <v>0</v>
      </c>
      <c r="F134" s="51">
        <f t="shared" si="42"/>
        <v>0</v>
      </c>
      <c r="G134" s="51">
        <f t="shared" si="42"/>
        <v>0</v>
      </c>
      <c r="H134" s="51">
        <f t="shared" si="42"/>
        <v>0</v>
      </c>
      <c r="I134" s="51">
        <f t="shared" si="42"/>
        <v>0</v>
      </c>
      <c r="J134" s="51">
        <f t="shared" si="42"/>
        <v>0</v>
      </c>
      <c r="K134" s="51">
        <f t="shared" si="42"/>
        <v>0</v>
      </c>
      <c r="L134" s="51">
        <f t="shared" si="42"/>
        <v>0</v>
      </c>
      <c r="M134" s="51">
        <f t="shared" si="42"/>
        <v>0</v>
      </c>
      <c r="N134" s="51">
        <f t="shared" si="42"/>
        <v>0</v>
      </c>
      <c r="O134" s="51">
        <f t="shared" si="42"/>
        <v>0</v>
      </c>
      <c r="P134" s="51">
        <f t="shared" si="42"/>
        <v>0</v>
      </c>
      <c r="Q134" s="51">
        <f t="shared" si="42"/>
        <v>0</v>
      </c>
      <c r="R134" s="51">
        <f t="shared" si="42"/>
        <v>0</v>
      </c>
      <c r="S134" s="51">
        <f t="shared" si="42"/>
        <v>0</v>
      </c>
      <c r="T134" s="51">
        <f t="shared" si="42"/>
        <v>0</v>
      </c>
      <c r="U134" s="51">
        <f t="shared" si="42"/>
        <v>0</v>
      </c>
      <c r="V134" s="51">
        <f t="shared" si="42"/>
        <v>0</v>
      </c>
      <c r="W134" s="51">
        <f t="shared" si="42"/>
        <v>0</v>
      </c>
      <c r="X134" s="51">
        <f t="shared" si="42"/>
        <v>0</v>
      </c>
      <c r="Y134" s="51">
        <f t="shared" si="42"/>
        <v>0</v>
      </c>
    </row>
    <row r="135" spans="3:25">
      <c r="C135" s="18" t="s">
        <v>86</v>
      </c>
      <c r="E135" s="51">
        <f t="shared" si="42"/>
        <v>0</v>
      </c>
      <c r="F135" s="51">
        <f t="shared" si="42"/>
        <v>0</v>
      </c>
      <c r="G135" s="51">
        <f t="shared" si="42"/>
        <v>0</v>
      </c>
      <c r="H135" s="51">
        <f t="shared" ref="H135:Y135" si="43">H98-H97</f>
        <v>0</v>
      </c>
      <c r="I135" s="51">
        <f t="shared" si="43"/>
        <v>0</v>
      </c>
      <c r="J135" s="51">
        <f t="shared" si="43"/>
        <v>0</v>
      </c>
      <c r="K135" s="51">
        <f t="shared" si="43"/>
        <v>0</v>
      </c>
      <c r="L135" s="51">
        <f t="shared" si="43"/>
        <v>0</v>
      </c>
      <c r="M135" s="51">
        <f t="shared" si="43"/>
        <v>0</v>
      </c>
      <c r="N135" s="51">
        <f t="shared" si="43"/>
        <v>0</v>
      </c>
      <c r="O135" s="51">
        <f t="shared" si="43"/>
        <v>0</v>
      </c>
      <c r="P135" s="51">
        <f t="shared" si="43"/>
        <v>0</v>
      </c>
      <c r="Q135" s="51">
        <f t="shared" si="43"/>
        <v>0</v>
      </c>
      <c r="R135" s="51">
        <f t="shared" si="43"/>
        <v>0</v>
      </c>
      <c r="S135" s="51">
        <f t="shared" si="43"/>
        <v>0</v>
      </c>
      <c r="T135" s="51">
        <f t="shared" si="43"/>
        <v>0</v>
      </c>
      <c r="U135" s="51">
        <f t="shared" si="43"/>
        <v>0</v>
      </c>
      <c r="V135" s="51">
        <f t="shared" si="43"/>
        <v>0</v>
      </c>
      <c r="W135" s="51">
        <f t="shared" si="43"/>
        <v>0</v>
      </c>
      <c r="X135" s="51">
        <f t="shared" si="43"/>
        <v>0</v>
      </c>
      <c r="Y135" s="51">
        <f t="shared" si="43"/>
        <v>0</v>
      </c>
    </row>
    <row r="136" spans="3:25">
      <c r="C136" s="18" t="s">
        <v>89</v>
      </c>
      <c r="E136" s="51">
        <f t="shared" ref="E136:Y148" si="44">E99-E98</f>
        <v>0</v>
      </c>
      <c r="F136" s="51">
        <f t="shared" si="44"/>
        <v>0</v>
      </c>
      <c r="G136" s="51">
        <f t="shared" si="44"/>
        <v>0</v>
      </c>
      <c r="H136" s="51">
        <f t="shared" si="44"/>
        <v>0</v>
      </c>
      <c r="I136" s="51">
        <f t="shared" si="44"/>
        <v>0</v>
      </c>
      <c r="J136" s="51">
        <f t="shared" si="44"/>
        <v>0</v>
      </c>
      <c r="K136" s="51">
        <f t="shared" si="44"/>
        <v>0</v>
      </c>
      <c r="L136" s="51">
        <f t="shared" si="44"/>
        <v>0</v>
      </c>
      <c r="M136" s="51">
        <f t="shared" si="44"/>
        <v>0</v>
      </c>
      <c r="N136" s="51">
        <f t="shared" si="44"/>
        <v>0</v>
      </c>
      <c r="O136" s="51">
        <f t="shared" si="44"/>
        <v>0</v>
      </c>
      <c r="P136" s="51">
        <f t="shared" si="44"/>
        <v>0</v>
      </c>
      <c r="Q136" s="51">
        <f t="shared" si="44"/>
        <v>0</v>
      </c>
      <c r="R136" s="51">
        <f t="shared" si="44"/>
        <v>0</v>
      </c>
      <c r="S136" s="51">
        <f t="shared" si="44"/>
        <v>0</v>
      </c>
      <c r="T136" s="51">
        <f t="shared" si="44"/>
        <v>0</v>
      </c>
      <c r="U136" s="51">
        <f t="shared" si="44"/>
        <v>0</v>
      </c>
      <c r="V136" s="51">
        <f t="shared" si="44"/>
        <v>0</v>
      </c>
      <c r="W136" s="51">
        <f t="shared" si="44"/>
        <v>0</v>
      </c>
      <c r="X136" s="51">
        <f t="shared" si="44"/>
        <v>0</v>
      </c>
      <c r="Y136" s="51">
        <f t="shared" si="44"/>
        <v>0</v>
      </c>
    </row>
    <row r="137" spans="3:25">
      <c r="C137" s="18" t="s">
        <v>92</v>
      </c>
      <c r="E137" s="51">
        <f t="shared" si="44"/>
        <v>0</v>
      </c>
      <c r="F137" s="51">
        <f t="shared" si="44"/>
        <v>0</v>
      </c>
      <c r="G137" s="51">
        <f t="shared" si="44"/>
        <v>0</v>
      </c>
      <c r="H137" s="51">
        <f t="shared" si="44"/>
        <v>0</v>
      </c>
      <c r="I137" s="51">
        <f t="shared" si="44"/>
        <v>0</v>
      </c>
      <c r="J137" s="51">
        <f t="shared" si="44"/>
        <v>0</v>
      </c>
      <c r="K137" s="51">
        <f t="shared" si="44"/>
        <v>0</v>
      </c>
      <c r="L137" s="51">
        <f t="shared" si="44"/>
        <v>0</v>
      </c>
      <c r="M137" s="51">
        <f t="shared" si="44"/>
        <v>0</v>
      </c>
      <c r="N137" s="51">
        <f t="shared" si="44"/>
        <v>0</v>
      </c>
      <c r="O137" s="51">
        <f t="shared" si="44"/>
        <v>0</v>
      </c>
      <c r="P137" s="51">
        <f t="shared" si="44"/>
        <v>0</v>
      </c>
      <c r="Q137" s="51">
        <f t="shared" si="44"/>
        <v>0</v>
      </c>
      <c r="R137" s="51">
        <f t="shared" si="44"/>
        <v>0</v>
      </c>
      <c r="S137" s="51">
        <f t="shared" si="44"/>
        <v>0</v>
      </c>
      <c r="T137" s="51">
        <f t="shared" si="44"/>
        <v>0</v>
      </c>
      <c r="U137" s="51">
        <f t="shared" si="44"/>
        <v>0</v>
      </c>
      <c r="V137" s="51">
        <f t="shared" si="44"/>
        <v>0</v>
      </c>
      <c r="W137" s="51">
        <f t="shared" si="44"/>
        <v>0</v>
      </c>
      <c r="X137" s="51">
        <f t="shared" si="44"/>
        <v>0</v>
      </c>
      <c r="Y137" s="51">
        <f t="shared" si="44"/>
        <v>0</v>
      </c>
    </row>
    <row r="138" spans="3:25">
      <c r="C138" s="18" t="s">
        <v>95</v>
      </c>
      <c r="E138" s="51">
        <f t="shared" si="44"/>
        <v>0</v>
      </c>
      <c r="F138" s="51">
        <f t="shared" si="44"/>
        <v>0</v>
      </c>
      <c r="G138" s="51">
        <f t="shared" si="44"/>
        <v>0</v>
      </c>
      <c r="H138" s="51">
        <f t="shared" si="44"/>
        <v>0</v>
      </c>
      <c r="I138" s="51">
        <f t="shared" si="44"/>
        <v>0</v>
      </c>
      <c r="J138" s="51">
        <f t="shared" si="44"/>
        <v>0</v>
      </c>
      <c r="K138" s="51">
        <f t="shared" si="44"/>
        <v>0</v>
      </c>
      <c r="L138" s="51">
        <f t="shared" si="44"/>
        <v>0</v>
      </c>
      <c r="M138" s="51">
        <f t="shared" si="44"/>
        <v>0</v>
      </c>
      <c r="N138" s="51">
        <f t="shared" si="44"/>
        <v>0</v>
      </c>
      <c r="O138" s="51">
        <f t="shared" si="44"/>
        <v>0</v>
      </c>
      <c r="P138" s="51">
        <f t="shared" si="44"/>
        <v>0</v>
      </c>
      <c r="Q138" s="51">
        <f t="shared" si="44"/>
        <v>0</v>
      </c>
      <c r="R138" s="51">
        <f t="shared" si="44"/>
        <v>0</v>
      </c>
      <c r="S138" s="51">
        <f t="shared" si="44"/>
        <v>0</v>
      </c>
      <c r="T138" s="51">
        <f t="shared" si="44"/>
        <v>0</v>
      </c>
      <c r="U138" s="51">
        <f t="shared" si="44"/>
        <v>0</v>
      </c>
      <c r="V138" s="51">
        <f t="shared" si="44"/>
        <v>0</v>
      </c>
      <c r="W138" s="51">
        <f t="shared" si="44"/>
        <v>0</v>
      </c>
      <c r="X138" s="51">
        <f t="shared" si="44"/>
        <v>0</v>
      </c>
      <c r="Y138" s="51">
        <f t="shared" si="44"/>
        <v>0</v>
      </c>
    </row>
    <row r="139" spans="3:25">
      <c r="C139" s="18" t="s">
        <v>98</v>
      </c>
      <c r="E139" s="51">
        <f t="shared" si="44"/>
        <v>0</v>
      </c>
      <c r="F139" s="51">
        <f t="shared" si="44"/>
        <v>0</v>
      </c>
      <c r="G139" s="51">
        <f t="shared" si="44"/>
        <v>0</v>
      </c>
      <c r="H139" s="51">
        <f t="shared" si="44"/>
        <v>0</v>
      </c>
      <c r="I139" s="51">
        <f t="shared" si="44"/>
        <v>0</v>
      </c>
      <c r="J139" s="51">
        <f t="shared" si="44"/>
        <v>0</v>
      </c>
      <c r="K139" s="51">
        <f t="shared" si="44"/>
        <v>0</v>
      </c>
      <c r="L139" s="51">
        <f t="shared" si="44"/>
        <v>0</v>
      </c>
      <c r="M139" s="51">
        <f t="shared" si="44"/>
        <v>0</v>
      </c>
      <c r="N139" s="51">
        <f t="shared" si="44"/>
        <v>0</v>
      </c>
      <c r="O139" s="51">
        <f t="shared" si="44"/>
        <v>0</v>
      </c>
      <c r="P139" s="51">
        <f t="shared" si="44"/>
        <v>0</v>
      </c>
      <c r="Q139" s="51">
        <f t="shared" si="44"/>
        <v>0</v>
      </c>
      <c r="R139" s="51">
        <f t="shared" si="44"/>
        <v>0</v>
      </c>
      <c r="S139" s="51">
        <f t="shared" si="44"/>
        <v>0</v>
      </c>
      <c r="T139" s="51">
        <f t="shared" si="44"/>
        <v>0</v>
      </c>
      <c r="U139" s="51">
        <f t="shared" si="44"/>
        <v>0</v>
      </c>
      <c r="V139" s="51">
        <f t="shared" si="44"/>
        <v>0</v>
      </c>
      <c r="W139" s="51">
        <f t="shared" si="44"/>
        <v>0</v>
      </c>
      <c r="X139" s="51">
        <f t="shared" si="44"/>
        <v>0</v>
      </c>
      <c r="Y139" s="51">
        <f t="shared" si="44"/>
        <v>0</v>
      </c>
    </row>
    <row r="140" spans="3:25">
      <c r="C140" s="18" t="s">
        <v>101</v>
      </c>
      <c r="E140" s="51">
        <f t="shared" si="44"/>
        <v>0</v>
      </c>
      <c r="F140" s="51">
        <f t="shared" si="44"/>
        <v>0</v>
      </c>
      <c r="G140" s="51">
        <f t="shared" si="44"/>
        <v>0</v>
      </c>
      <c r="H140" s="51">
        <f t="shared" si="44"/>
        <v>0</v>
      </c>
      <c r="I140" s="51">
        <f t="shared" si="44"/>
        <v>0</v>
      </c>
      <c r="J140" s="51">
        <f t="shared" si="44"/>
        <v>0</v>
      </c>
      <c r="K140" s="51">
        <f t="shared" si="44"/>
        <v>0</v>
      </c>
      <c r="L140" s="51">
        <f t="shared" si="44"/>
        <v>0</v>
      </c>
      <c r="M140" s="51">
        <f t="shared" si="44"/>
        <v>0</v>
      </c>
      <c r="N140" s="51">
        <f t="shared" si="44"/>
        <v>0</v>
      </c>
      <c r="O140" s="51">
        <f t="shared" si="44"/>
        <v>0</v>
      </c>
      <c r="P140" s="51">
        <f t="shared" si="44"/>
        <v>0</v>
      </c>
      <c r="Q140" s="51">
        <f t="shared" si="44"/>
        <v>0</v>
      </c>
      <c r="R140" s="51">
        <f t="shared" si="44"/>
        <v>0</v>
      </c>
      <c r="S140" s="51">
        <f t="shared" si="44"/>
        <v>0</v>
      </c>
      <c r="T140" s="51">
        <f t="shared" si="44"/>
        <v>0</v>
      </c>
      <c r="U140" s="51">
        <f t="shared" si="44"/>
        <v>0</v>
      </c>
      <c r="V140" s="51">
        <f t="shared" si="44"/>
        <v>0</v>
      </c>
      <c r="W140" s="51">
        <f t="shared" si="44"/>
        <v>0</v>
      </c>
      <c r="X140" s="51">
        <f t="shared" si="44"/>
        <v>0</v>
      </c>
      <c r="Y140" s="51">
        <f t="shared" si="44"/>
        <v>0</v>
      </c>
    </row>
    <row r="141" spans="3:25">
      <c r="C141" s="18" t="s">
        <v>104</v>
      </c>
      <c r="E141" s="51">
        <f t="shared" si="44"/>
        <v>0</v>
      </c>
      <c r="F141" s="51">
        <f t="shared" si="44"/>
        <v>0</v>
      </c>
      <c r="G141" s="51">
        <f t="shared" si="44"/>
        <v>0</v>
      </c>
      <c r="H141" s="51">
        <f t="shared" si="44"/>
        <v>0</v>
      </c>
      <c r="I141" s="51">
        <f t="shared" si="44"/>
        <v>0</v>
      </c>
      <c r="J141" s="51">
        <f t="shared" si="44"/>
        <v>0</v>
      </c>
      <c r="K141" s="51">
        <f t="shared" si="44"/>
        <v>0</v>
      </c>
      <c r="L141" s="51">
        <f t="shared" si="44"/>
        <v>0</v>
      </c>
      <c r="M141" s="51">
        <f t="shared" si="44"/>
        <v>0</v>
      </c>
      <c r="N141" s="51">
        <f t="shared" si="44"/>
        <v>0</v>
      </c>
      <c r="O141" s="51">
        <f t="shared" si="44"/>
        <v>0</v>
      </c>
      <c r="P141" s="51">
        <f t="shared" si="44"/>
        <v>0</v>
      </c>
      <c r="Q141" s="51">
        <f t="shared" si="44"/>
        <v>0</v>
      </c>
      <c r="R141" s="51">
        <f t="shared" si="44"/>
        <v>0</v>
      </c>
      <c r="S141" s="51">
        <f t="shared" si="44"/>
        <v>0</v>
      </c>
      <c r="T141" s="51">
        <f t="shared" si="44"/>
        <v>0</v>
      </c>
      <c r="U141" s="51">
        <f t="shared" si="44"/>
        <v>0</v>
      </c>
      <c r="V141" s="51">
        <f t="shared" si="44"/>
        <v>0</v>
      </c>
      <c r="W141" s="51">
        <f t="shared" si="44"/>
        <v>0</v>
      </c>
      <c r="X141" s="51">
        <f t="shared" si="44"/>
        <v>0</v>
      </c>
      <c r="Y141" s="51">
        <f t="shared" si="44"/>
        <v>0</v>
      </c>
    </row>
    <row r="142" spans="3:25">
      <c r="C142" s="18" t="s">
        <v>107</v>
      </c>
      <c r="E142" s="51">
        <f t="shared" si="44"/>
        <v>0</v>
      </c>
      <c r="F142" s="51">
        <f t="shared" si="44"/>
        <v>0</v>
      </c>
      <c r="G142" s="51">
        <f t="shared" si="44"/>
        <v>0</v>
      </c>
      <c r="H142" s="51">
        <f t="shared" si="44"/>
        <v>0</v>
      </c>
      <c r="I142" s="51">
        <f t="shared" si="44"/>
        <v>0</v>
      </c>
      <c r="J142" s="51">
        <f t="shared" si="44"/>
        <v>0</v>
      </c>
      <c r="K142" s="51">
        <f t="shared" si="44"/>
        <v>0</v>
      </c>
      <c r="L142" s="51">
        <f t="shared" si="44"/>
        <v>0</v>
      </c>
      <c r="M142" s="51">
        <f t="shared" si="44"/>
        <v>0</v>
      </c>
      <c r="N142" s="51">
        <f t="shared" si="44"/>
        <v>0</v>
      </c>
      <c r="O142" s="51">
        <f t="shared" si="44"/>
        <v>0</v>
      </c>
      <c r="P142" s="51">
        <f t="shared" si="44"/>
        <v>0</v>
      </c>
      <c r="Q142" s="51">
        <f t="shared" si="44"/>
        <v>0</v>
      </c>
      <c r="R142" s="51">
        <f t="shared" si="44"/>
        <v>0</v>
      </c>
      <c r="S142" s="51">
        <f t="shared" si="44"/>
        <v>0</v>
      </c>
      <c r="T142" s="51">
        <f t="shared" si="44"/>
        <v>0</v>
      </c>
      <c r="U142" s="51">
        <f t="shared" si="44"/>
        <v>0</v>
      </c>
      <c r="V142" s="51">
        <f t="shared" si="44"/>
        <v>0</v>
      </c>
      <c r="W142" s="51">
        <f t="shared" si="44"/>
        <v>0</v>
      </c>
      <c r="X142" s="51">
        <f t="shared" si="44"/>
        <v>0</v>
      </c>
      <c r="Y142" s="51">
        <f t="shared" si="44"/>
        <v>0</v>
      </c>
    </row>
    <row r="143" spans="3:25">
      <c r="C143" s="18" t="s">
        <v>110</v>
      </c>
      <c r="E143" s="51">
        <f t="shared" si="44"/>
        <v>0</v>
      </c>
      <c r="F143" s="51">
        <f t="shared" si="44"/>
        <v>0</v>
      </c>
      <c r="G143" s="51">
        <f t="shared" si="44"/>
        <v>0</v>
      </c>
      <c r="H143" s="51">
        <f t="shared" si="44"/>
        <v>0</v>
      </c>
      <c r="I143" s="51">
        <f t="shared" si="44"/>
        <v>0</v>
      </c>
      <c r="J143" s="51">
        <f t="shared" si="44"/>
        <v>0</v>
      </c>
      <c r="K143" s="51">
        <f t="shared" si="44"/>
        <v>0</v>
      </c>
      <c r="L143" s="51">
        <f t="shared" si="44"/>
        <v>0</v>
      </c>
      <c r="M143" s="51">
        <f t="shared" si="44"/>
        <v>0</v>
      </c>
      <c r="N143" s="51">
        <f t="shared" si="44"/>
        <v>0</v>
      </c>
      <c r="O143" s="51">
        <f t="shared" si="44"/>
        <v>0</v>
      </c>
      <c r="P143" s="51">
        <f t="shared" si="44"/>
        <v>0</v>
      </c>
      <c r="Q143" s="51">
        <f t="shared" si="44"/>
        <v>0</v>
      </c>
      <c r="R143" s="51">
        <f t="shared" si="44"/>
        <v>0</v>
      </c>
      <c r="S143" s="51">
        <f t="shared" si="44"/>
        <v>0</v>
      </c>
      <c r="T143" s="51">
        <f t="shared" si="44"/>
        <v>0</v>
      </c>
      <c r="U143" s="51">
        <f t="shared" si="44"/>
        <v>0</v>
      </c>
      <c r="V143" s="51">
        <f t="shared" si="44"/>
        <v>0</v>
      </c>
      <c r="W143" s="51">
        <f t="shared" si="44"/>
        <v>0</v>
      </c>
      <c r="X143" s="51">
        <f t="shared" si="44"/>
        <v>0</v>
      </c>
      <c r="Y143" s="51">
        <f t="shared" si="44"/>
        <v>0</v>
      </c>
    </row>
    <row r="144" spans="3:25">
      <c r="C144" s="18" t="s">
        <v>113</v>
      </c>
      <c r="E144" s="51">
        <f t="shared" si="44"/>
        <v>0</v>
      </c>
      <c r="F144" s="51">
        <f t="shared" si="44"/>
        <v>0</v>
      </c>
      <c r="G144" s="51">
        <f t="shared" si="44"/>
        <v>0</v>
      </c>
      <c r="H144" s="51">
        <f t="shared" si="44"/>
        <v>0</v>
      </c>
      <c r="I144" s="51">
        <f t="shared" si="44"/>
        <v>0</v>
      </c>
      <c r="J144" s="51">
        <f t="shared" si="44"/>
        <v>0</v>
      </c>
      <c r="K144" s="51">
        <f t="shared" si="44"/>
        <v>0</v>
      </c>
      <c r="L144" s="51">
        <f t="shared" si="44"/>
        <v>0</v>
      </c>
      <c r="M144" s="51">
        <f t="shared" si="44"/>
        <v>0</v>
      </c>
      <c r="N144" s="51">
        <f t="shared" si="44"/>
        <v>0</v>
      </c>
      <c r="O144" s="51">
        <f t="shared" si="44"/>
        <v>0</v>
      </c>
      <c r="P144" s="51">
        <f t="shared" si="44"/>
        <v>0</v>
      </c>
      <c r="Q144" s="51">
        <f t="shared" si="44"/>
        <v>0</v>
      </c>
      <c r="R144" s="51">
        <f t="shared" si="44"/>
        <v>0</v>
      </c>
      <c r="S144" s="51">
        <f t="shared" si="44"/>
        <v>0</v>
      </c>
      <c r="T144" s="51">
        <f t="shared" si="44"/>
        <v>0</v>
      </c>
      <c r="U144" s="51">
        <f t="shared" si="44"/>
        <v>0</v>
      </c>
      <c r="V144" s="51">
        <f t="shared" si="44"/>
        <v>0</v>
      </c>
      <c r="W144" s="51">
        <f t="shared" si="44"/>
        <v>0</v>
      </c>
      <c r="X144" s="51">
        <f t="shared" si="44"/>
        <v>0</v>
      </c>
      <c r="Y144" s="51">
        <f t="shared" si="44"/>
        <v>0</v>
      </c>
    </row>
    <row r="145" spans="3:25">
      <c r="C145" s="18" t="s">
        <v>116</v>
      </c>
      <c r="E145" s="51">
        <f t="shared" si="44"/>
        <v>0</v>
      </c>
      <c r="F145" s="51">
        <f t="shared" si="44"/>
        <v>0</v>
      </c>
      <c r="G145" s="51">
        <f t="shared" si="44"/>
        <v>0</v>
      </c>
      <c r="H145" s="51">
        <f t="shared" si="44"/>
        <v>0</v>
      </c>
      <c r="I145" s="51">
        <f t="shared" si="44"/>
        <v>0</v>
      </c>
      <c r="J145" s="51">
        <f t="shared" si="44"/>
        <v>0</v>
      </c>
      <c r="K145" s="51">
        <f t="shared" si="44"/>
        <v>0</v>
      </c>
      <c r="L145" s="51">
        <f t="shared" si="44"/>
        <v>0</v>
      </c>
      <c r="M145" s="51">
        <f t="shared" si="44"/>
        <v>0</v>
      </c>
      <c r="N145" s="51">
        <f t="shared" si="44"/>
        <v>0</v>
      </c>
      <c r="O145" s="51">
        <f t="shared" si="44"/>
        <v>0</v>
      </c>
      <c r="P145" s="51">
        <f t="shared" si="44"/>
        <v>0</v>
      </c>
      <c r="Q145" s="51">
        <f t="shared" si="44"/>
        <v>0</v>
      </c>
      <c r="R145" s="51">
        <f t="shared" si="44"/>
        <v>0</v>
      </c>
      <c r="S145" s="51">
        <f t="shared" si="44"/>
        <v>0</v>
      </c>
      <c r="T145" s="51">
        <f t="shared" si="44"/>
        <v>0</v>
      </c>
      <c r="U145" s="51">
        <f t="shared" si="44"/>
        <v>0</v>
      </c>
      <c r="V145" s="51">
        <f t="shared" si="44"/>
        <v>0</v>
      </c>
      <c r="W145" s="51">
        <f t="shared" si="44"/>
        <v>0</v>
      </c>
      <c r="X145" s="51">
        <f t="shared" si="44"/>
        <v>0</v>
      </c>
      <c r="Y145" s="51">
        <f t="shared" si="44"/>
        <v>0</v>
      </c>
    </row>
    <row r="146" spans="3:25">
      <c r="C146" s="18" t="s">
        <v>119</v>
      </c>
      <c r="E146" s="51">
        <f t="shared" si="44"/>
        <v>0</v>
      </c>
      <c r="F146" s="51">
        <f t="shared" si="44"/>
        <v>0</v>
      </c>
      <c r="G146" s="51">
        <f t="shared" si="44"/>
        <v>0</v>
      </c>
      <c r="H146" s="51">
        <f t="shared" si="44"/>
        <v>0</v>
      </c>
      <c r="I146" s="51">
        <f t="shared" si="44"/>
        <v>0</v>
      </c>
      <c r="J146" s="51">
        <f t="shared" si="44"/>
        <v>0</v>
      </c>
      <c r="K146" s="51">
        <f t="shared" si="44"/>
        <v>0</v>
      </c>
      <c r="L146" s="51">
        <f t="shared" si="44"/>
        <v>0</v>
      </c>
      <c r="M146" s="51">
        <f t="shared" si="44"/>
        <v>0</v>
      </c>
      <c r="N146" s="51">
        <f t="shared" si="44"/>
        <v>0</v>
      </c>
      <c r="O146" s="51">
        <f t="shared" si="44"/>
        <v>0</v>
      </c>
      <c r="P146" s="51">
        <f t="shared" si="44"/>
        <v>0</v>
      </c>
      <c r="Q146" s="51">
        <f t="shared" si="44"/>
        <v>0</v>
      </c>
      <c r="R146" s="51">
        <f t="shared" si="44"/>
        <v>0</v>
      </c>
      <c r="S146" s="51">
        <f t="shared" si="44"/>
        <v>0</v>
      </c>
      <c r="T146" s="51">
        <f t="shared" si="44"/>
        <v>0</v>
      </c>
      <c r="U146" s="51">
        <f t="shared" si="44"/>
        <v>0</v>
      </c>
      <c r="V146" s="51">
        <f t="shared" si="44"/>
        <v>0</v>
      </c>
      <c r="W146" s="51">
        <f t="shared" si="44"/>
        <v>0</v>
      </c>
      <c r="X146" s="51">
        <f t="shared" si="44"/>
        <v>0</v>
      </c>
      <c r="Y146" s="51">
        <f t="shared" si="44"/>
        <v>0</v>
      </c>
    </row>
    <row r="147" spans="3:25">
      <c r="C147" s="18" t="s">
        <v>122</v>
      </c>
      <c r="E147" s="51">
        <f t="shared" si="44"/>
        <v>0</v>
      </c>
      <c r="F147" s="51">
        <f t="shared" si="44"/>
        <v>0</v>
      </c>
      <c r="G147" s="51">
        <f t="shared" si="44"/>
        <v>0</v>
      </c>
      <c r="H147" s="51">
        <f t="shared" si="44"/>
        <v>0</v>
      </c>
      <c r="I147" s="51">
        <f t="shared" si="44"/>
        <v>0</v>
      </c>
      <c r="J147" s="51">
        <f t="shared" si="44"/>
        <v>0</v>
      </c>
      <c r="K147" s="51">
        <f t="shared" si="44"/>
        <v>0</v>
      </c>
      <c r="L147" s="51">
        <f t="shared" si="44"/>
        <v>0</v>
      </c>
      <c r="M147" s="51">
        <f t="shared" si="44"/>
        <v>0</v>
      </c>
      <c r="N147" s="51">
        <f t="shared" si="44"/>
        <v>0</v>
      </c>
      <c r="O147" s="51">
        <f t="shared" si="44"/>
        <v>0</v>
      </c>
      <c r="P147" s="51">
        <f t="shared" si="44"/>
        <v>0</v>
      </c>
      <c r="Q147" s="51">
        <f t="shared" si="44"/>
        <v>0</v>
      </c>
      <c r="R147" s="51">
        <f t="shared" si="44"/>
        <v>0</v>
      </c>
      <c r="S147" s="51">
        <f t="shared" si="44"/>
        <v>0</v>
      </c>
      <c r="T147" s="51">
        <f t="shared" si="44"/>
        <v>0</v>
      </c>
      <c r="U147" s="51">
        <f t="shared" si="44"/>
        <v>0</v>
      </c>
      <c r="V147" s="51">
        <f t="shared" si="44"/>
        <v>0</v>
      </c>
      <c r="W147" s="51">
        <f t="shared" si="44"/>
        <v>0</v>
      </c>
      <c r="X147" s="51">
        <f t="shared" si="44"/>
        <v>0</v>
      </c>
      <c r="Y147" s="51">
        <f t="shared" si="44"/>
        <v>0</v>
      </c>
    </row>
    <row r="148" spans="3:25">
      <c r="C148" s="18" t="s">
        <v>125</v>
      </c>
      <c r="E148" s="51">
        <f t="shared" si="44"/>
        <v>0</v>
      </c>
      <c r="F148" s="51">
        <f t="shared" si="44"/>
        <v>0</v>
      </c>
      <c r="G148" s="51">
        <f t="shared" si="44"/>
        <v>0</v>
      </c>
      <c r="H148" s="51">
        <f t="shared" ref="H148:Y148" si="45">H111-H110</f>
        <v>0</v>
      </c>
      <c r="I148" s="51">
        <f t="shared" si="45"/>
        <v>0</v>
      </c>
      <c r="J148" s="51">
        <f t="shared" si="45"/>
        <v>0</v>
      </c>
      <c r="K148" s="51">
        <f t="shared" si="45"/>
        <v>0</v>
      </c>
      <c r="L148" s="51">
        <f t="shared" si="45"/>
        <v>0</v>
      </c>
      <c r="M148" s="51">
        <f t="shared" si="45"/>
        <v>0</v>
      </c>
      <c r="N148" s="51">
        <f t="shared" si="45"/>
        <v>0</v>
      </c>
      <c r="O148" s="51">
        <f t="shared" si="45"/>
        <v>0</v>
      </c>
      <c r="P148" s="51">
        <f t="shared" si="45"/>
        <v>0</v>
      </c>
      <c r="Q148" s="51">
        <f t="shared" si="45"/>
        <v>0</v>
      </c>
      <c r="R148" s="51">
        <f t="shared" si="45"/>
        <v>0</v>
      </c>
      <c r="S148" s="51">
        <f t="shared" si="45"/>
        <v>0</v>
      </c>
      <c r="T148" s="51">
        <f t="shared" si="45"/>
        <v>0</v>
      </c>
      <c r="U148" s="51">
        <f t="shared" si="45"/>
        <v>0</v>
      </c>
      <c r="V148" s="51">
        <f t="shared" si="45"/>
        <v>0</v>
      </c>
      <c r="W148" s="51">
        <f t="shared" si="45"/>
        <v>0</v>
      </c>
      <c r="X148" s="51">
        <f t="shared" si="45"/>
        <v>0</v>
      </c>
      <c r="Y148" s="51">
        <f t="shared" si="45"/>
        <v>0</v>
      </c>
    </row>
    <row r="149" spans="3:25">
      <c r="C149" s="18" t="s">
        <v>128</v>
      </c>
      <c r="E149" s="51">
        <f t="shared" ref="E149:Y153" si="46">E112-E111</f>
        <v>0</v>
      </c>
      <c r="F149" s="51">
        <f t="shared" si="46"/>
        <v>0</v>
      </c>
      <c r="G149" s="51">
        <f t="shared" si="46"/>
        <v>0</v>
      </c>
      <c r="H149" s="51">
        <f t="shared" si="46"/>
        <v>0</v>
      </c>
      <c r="I149" s="51">
        <f t="shared" si="46"/>
        <v>0</v>
      </c>
      <c r="J149" s="51">
        <f t="shared" si="46"/>
        <v>0</v>
      </c>
      <c r="K149" s="51">
        <f t="shared" si="46"/>
        <v>0</v>
      </c>
      <c r="L149" s="51">
        <f t="shared" si="46"/>
        <v>0</v>
      </c>
      <c r="M149" s="51">
        <f t="shared" si="46"/>
        <v>0</v>
      </c>
      <c r="N149" s="51">
        <f t="shared" si="46"/>
        <v>0</v>
      </c>
      <c r="O149" s="51">
        <f t="shared" si="46"/>
        <v>0</v>
      </c>
      <c r="P149" s="51">
        <f t="shared" si="46"/>
        <v>0</v>
      </c>
      <c r="Q149" s="51">
        <f t="shared" si="46"/>
        <v>0</v>
      </c>
      <c r="R149" s="51">
        <f t="shared" si="46"/>
        <v>0</v>
      </c>
      <c r="S149" s="51">
        <f t="shared" si="46"/>
        <v>0</v>
      </c>
      <c r="T149" s="51">
        <f t="shared" si="46"/>
        <v>0</v>
      </c>
      <c r="U149" s="51">
        <f t="shared" si="46"/>
        <v>0</v>
      </c>
      <c r="V149" s="51">
        <f t="shared" si="46"/>
        <v>0</v>
      </c>
      <c r="W149" s="51">
        <f t="shared" si="46"/>
        <v>0</v>
      </c>
      <c r="X149" s="51">
        <f t="shared" si="46"/>
        <v>0</v>
      </c>
      <c r="Y149" s="51">
        <f t="shared" si="46"/>
        <v>0</v>
      </c>
    </row>
    <row r="150" spans="3:25">
      <c r="C150" s="18" t="s">
        <v>131</v>
      </c>
      <c r="E150" s="51">
        <f t="shared" si="46"/>
        <v>0</v>
      </c>
      <c r="F150" s="51">
        <f t="shared" si="46"/>
        <v>0</v>
      </c>
      <c r="G150" s="51">
        <f t="shared" si="46"/>
        <v>0</v>
      </c>
      <c r="H150" s="51">
        <f t="shared" si="46"/>
        <v>0</v>
      </c>
      <c r="I150" s="51">
        <f t="shared" si="46"/>
        <v>0</v>
      </c>
      <c r="J150" s="51">
        <f t="shared" si="46"/>
        <v>0</v>
      </c>
      <c r="K150" s="51">
        <f t="shared" si="46"/>
        <v>0</v>
      </c>
      <c r="L150" s="51">
        <f t="shared" si="46"/>
        <v>0</v>
      </c>
      <c r="M150" s="51">
        <f t="shared" si="46"/>
        <v>0</v>
      </c>
      <c r="N150" s="51">
        <f t="shared" si="46"/>
        <v>0</v>
      </c>
      <c r="O150" s="51">
        <f t="shared" si="46"/>
        <v>0</v>
      </c>
      <c r="P150" s="51">
        <f t="shared" si="46"/>
        <v>0</v>
      </c>
      <c r="Q150" s="51">
        <f t="shared" si="46"/>
        <v>0</v>
      </c>
      <c r="R150" s="51">
        <f t="shared" si="46"/>
        <v>0</v>
      </c>
      <c r="S150" s="51">
        <f t="shared" si="46"/>
        <v>0</v>
      </c>
      <c r="T150" s="51">
        <f t="shared" si="46"/>
        <v>0</v>
      </c>
      <c r="U150" s="51">
        <f t="shared" si="46"/>
        <v>0</v>
      </c>
      <c r="V150" s="51">
        <f t="shared" si="46"/>
        <v>0</v>
      </c>
      <c r="W150" s="51">
        <f t="shared" si="46"/>
        <v>0</v>
      </c>
      <c r="X150" s="51">
        <f t="shared" si="46"/>
        <v>0</v>
      </c>
      <c r="Y150" s="51">
        <f t="shared" si="46"/>
        <v>0</v>
      </c>
    </row>
    <row r="151" spans="3:25">
      <c r="C151" s="18" t="s">
        <v>134</v>
      </c>
      <c r="E151" s="51">
        <f t="shared" si="46"/>
        <v>0</v>
      </c>
      <c r="F151" s="51">
        <f t="shared" si="46"/>
        <v>0</v>
      </c>
      <c r="G151" s="51">
        <f t="shared" si="46"/>
        <v>0</v>
      </c>
      <c r="H151" s="51">
        <f t="shared" si="46"/>
        <v>0</v>
      </c>
      <c r="I151" s="51">
        <f t="shared" si="46"/>
        <v>0</v>
      </c>
      <c r="J151" s="51">
        <f t="shared" si="46"/>
        <v>0</v>
      </c>
      <c r="K151" s="51">
        <f t="shared" si="46"/>
        <v>0</v>
      </c>
      <c r="L151" s="51">
        <f t="shared" si="46"/>
        <v>0</v>
      </c>
      <c r="M151" s="51">
        <f t="shared" si="46"/>
        <v>0</v>
      </c>
      <c r="N151" s="51">
        <f t="shared" si="46"/>
        <v>0</v>
      </c>
      <c r="O151" s="51">
        <f t="shared" si="46"/>
        <v>0</v>
      </c>
      <c r="P151" s="51">
        <f t="shared" si="46"/>
        <v>0</v>
      </c>
      <c r="Q151" s="51">
        <f t="shared" si="46"/>
        <v>0</v>
      </c>
      <c r="R151" s="51">
        <f t="shared" si="46"/>
        <v>0</v>
      </c>
      <c r="S151" s="51">
        <f t="shared" si="46"/>
        <v>0</v>
      </c>
      <c r="T151" s="51">
        <f t="shared" si="46"/>
        <v>0</v>
      </c>
      <c r="U151" s="51">
        <f t="shared" si="46"/>
        <v>0</v>
      </c>
      <c r="V151" s="51">
        <f t="shared" si="46"/>
        <v>0</v>
      </c>
      <c r="W151" s="51">
        <f t="shared" si="46"/>
        <v>0</v>
      </c>
      <c r="X151" s="51">
        <f t="shared" si="46"/>
        <v>0</v>
      </c>
      <c r="Y151" s="51">
        <f t="shared" si="46"/>
        <v>0</v>
      </c>
    </row>
    <row r="152" spans="3:25">
      <c r="C152" s="18" t="s">
        <v>137</v>
      </c>
      <c r="E152" s="51">
        <f t="shared" si="46"/>
        <v>0</v>
      </c>
      <c r="F152" s="51">
        <f t="shared" si="46"/>
        <v>0</v>
      </c>
      <c r="G152" s="51">
        <f t="shared" si="46"/>
        <v>0</v>
      </c>
      <c r="H152" s="51">
        <f t="shared" si="46"/>
        <v>0</v>
      </c>
      <c r="I152" s="51">
        <f t="shared" si="46"/>
        <v>0</v>
      </c>
      <c r="J152" s="51">
        <f t="shared" si="46"/>
        <v>0</v>
      </c>
      <c r="K152" s="51">
        <f t="shared" si="46"/>
        <v>0</v>
      </c>
      <c r="L152" s="51">
        <f t="shared" si="46"/>
        <v>0</v>
      </c>
      <c r="M152" s="51">
        <f t="shared" si="46"/>
        <v>0</v>
      </c>
      <c r="N152" s="51">
        <f t="shared" si="46"/>
        <v>0</v>
      </c>
      <c r="O152" s="51">
        <f t="shared" si="46"/>
        <v>0</v>
      </c>
      <c r="P152" s="51">
        <f t="shared" si="46"/>
        <v>0</v>
      </c>
      <c r="Q152" s="51">
        <f t="shared" si="46"/>
        <v>0</v>
      </c>
      <c r="R152" s="51">
        <f t="shared" si="46"/>
        <v>0</v>
      </c>
      <c r="S152" s="51">
        <f t="shared" si="46"/>
        <v>0</v>
      </c>
      <c r="T152" s="51">
        <f t="shared" si="46"/>
        <v>0</v>
      </c>
      <c r="U152" s="51">
        <f t="shared" si="46"/>
        <v>0</v>
      </c>
      <c r="V152" s="51">
        <f t="shared" si="46"/>
        <v>0</v>
      </c>
      <c r="W152" s="51">
        <f t="shared" si="46"/>
        <v>0</v>
      </c>
      <c r="X152" s="51">
        <f t="shared" si="46"/>
        <v>0</v>
      </c>
      <c r="Y152" s="51">
        <f t="shared" si="46"/>
        <v>0</v>
      </c>
    </row>
    <row r="153" spans="3:25">
      <c r="C153" s="18" t="s">
        <v>140</v>
      </c>
      <c r="E153" s="51">
        <f t="shared" si="46"/>
        <v>0</v>
      </c>
      <c r="F153" s="51">
        <f t="shared" si="46"/>
        <v>0</v>
      </c>
      <c r="G153" s="51">
        <f t="shared" si="46"/>
        <v>0</v>
      </c>
      <c r="H153" s="51">
        <f t="shared" si="46"/>
        <v>0</v>
      </c>
      <c r="I153" s="51">
        <f t="shared" si="46"/>
        <v>0</v>
      </c>
      <c r="J153" s="51">
        <f t="shared" si="46"/>
        <v>0</v>
      </c>
      <c r="K153" s="51">
        <f t="shared" si="46"/>
        <v>0</v>
      </c>
      <c r="L153" s="51">
        <f t="shared" si="46"/>
        <v>0</v>
      </c>
      <c r="M153" s="51">
        <f t="shared" si="46"/>
        <v>0</v>
      </c>
      <c r="N153" s="51">
        <f t="shared" si="46"/>
        <v>0</v>
      </c>
      <c r="O153" s="51">
        <f t="shared" si="46"/>
        <v>0</v>
      </c>
      <c r="P153" s="51">
        <f t="shared" si="46"/>
        <v>0</v>
      </c>
      <c r="Q153" s="51">
        <f t="shared" si="46"/>
        <v>0</v>
      </c>
      <c r="R153" s="51">
        <f t="shared" si="46"/>
        <v>0</v>
      </c>
      <c r="S153" s="51">
        <f t="shared" si="46"/>
        <v>0</v>
      </c>
      <c r="T153" s="51">
        <f t="shared" si="46"/>
        <v>0</v>
      </c>
      <c r="U153" s="51">
        <f t="shared" si="46"/>
        <v>0</v>
      </c>
      <c r="V153" s="51">
        <f t="shared" si="46"/>
        <v>0</v>
      </c>
      <c r="W153" s="51">
        <f t="shared" si="46"/>
        <v>0</v>
      </c>
      <c r="X153" s="51">
        <f t="shared" si="46"/>
        <v>0</v>
      </c>
      <c r="Y153" s="51">
        <f t="shared" si="46"/>
        <v>0</v>
      </c>
    </row>
    <row r="154" spans="3:25">
      <c r="E154" s="37"/>
    </row>
    <row r="155" spans="3:25" ht="15">
      <c r="C155" s="52" t="s">
        <v>145</v>
      </c>
      <c r="D155" s="53"/>
      <c r="E155" s="53">
        <f t="shared" ref="E155:X155" si="47">SUM(E122:E153)</f>
        <v>0</v>
      </c>
      <c r="F155" s="53">
        <f t="shared" si="47"/>
        <v>0</v>
      </c>
      <c r="G155" s="53">
        <f t="shared" si="47"/>
        <v>0</v>
      </c>
      <c r="H155" s="53">
        <f t="shared" si="47"/>
        <v>0</v>
      </c>
      <c r="I155" s="53">
        <f t="shared" si="47"/>
        <v>0</v>
      </c>
      <c r="J155" s="53">
        <f t="shared" si="47"/>
        <v>0</v>
      </c>
      <c r="K155" s="53">
        <f t="shared" si="47"/>
        <v>0</v>
      </c>
      <c r="L155" s="53">
        <f t="shared" si="47"/>
        <v>0</v>
      </c>
      <c r="M155" s="53">
        <f t="shared" si="47"/>
        <v>0</v>
      </c>
      <c r="N155" s="53">
        <f t="shared" si="47"/>
        <v>0</v>
      </c>
      <c r="O155" s="53">
        <f t="shared" si="47"/>
        <v>0</v>
      </c>
      <c r="P155" s="53">
        <f t="shared" si="47"/>
        <v>0</v>
      </c>
      <c r="Q155" s="53">
        <f t="shared" si="47"/>
        <v>0</v>
      </c>
      <c r="R155" s="53">
        <f t="shared" si="47"/>
        <v>0</v>
      </c>
      <c r="S155" s="53">
        <f t="shared" si="47"/>
        <v>0</v>
      </c>
      <c r="T155" s="53">
        <f t="shared" si="47"/>
        <v>0</v>
      </c>
      <c r="U155" s="53">
        <f t="shared" si="47"/>
        <v>0</v>
      </c>
      <c r="V155" s="53">
        <f t="shared" si="47"/>
        <v>0</v>
      </c>
      <c r="W155" s="53">
        <f t="shared" si="47"/>
        <v>0</v>
      </c>
      <c r="X155" s="53">
        <f t="shared" si="47"/>
        <v>0</v>
      </c>
      <c r="Y155" s="53"/>
    </row>
    <row r="156" spans="3:25" ht="15">
      <c r="C156" s="52" t="s">
        <v>146</v>
      </c>
      <c r="D156" s="53"/>
      <c r="E156" s="53">
        <f t="shared" ref="E156:X156" si="48">D156+E155</f>
        <v>0</v>
      </c>
      <c r="F156" s="53">
        <f t="shared" si="48"/>
        <v>0</v>
      </c>
      <c r="G156" s="53">
        <f t="shared" si="48"/>
        <v>0</v>
      </c>
      <c r="H156" s="53">
        <f t="shared" si="48"/>
        <v>0</v>
      </c>
      <c r="I156" s="53">
        <f t="shared" si="48"/>
        <v>0</v>
      </c>
      <c r="J156" s="53">
        <f t="shared" si="48"/>
        <v>0</v>
      </c>
      <c r="K156" s="53">
        <f t="shared" si="48"/>
        <v>0</v>
      </c>
      <c r="L156" s="53">
        <f t="shared" si="48"/>
        <v>0</v>
      </c>
      <c r="M156" s="53">
        <f t="shared" si="48"/>
        <v>0</v>
      </c>
      <c r="N156" s="53">
        <f t="shared" si="48"/>
        <v>0</v>
      </c>
      <c r="O156" s="53">
        <f t="shared" si="48"/>
        <v>0</v>
      </c>
      <c r="P156" s="53">
        <f t="shared" si="48"/>
        <v>0</v>
      </c>
      <c r="Q156" s="53">
        <f t="shared" si="48"/>
        <v>0</v>
      </c>
      <c r="R156" s="53">
        <f t="shared" si="48"/>
        <v>0</v>
      </c>
      <c r="S156" s="53">
        <f t="shared" si="48"/>
        <v>0</v>
      </c>
      <c r="T156" s="53">
        <f t="shared" si="48"/>
        <v>0</v>
      </c>
      <c r="U156" s="53">
        <f t="shared" si="48"/>
        <v>0</v>
      </c>
      <c r="V156" s="53">
        <f t="shared" si="48"/>
        <v>0</v>
      </c>
      <c r="W156" s="53">
        <f t="shared" si="48"/>
        <v>0</v>
      </c>
      <c r="X156" s="53">
        <f t="shared" si="48"/>
        <v>0</v>
      </c>
      <c r="Y156" s="53">
        <f>SUM(Y122:Y153)</f>
        <v>0</v>
      </c>
    </row>
    <row r="161" spans="1:23">
      <c r="A161" s="18" t="s">
        <v>922</v>
      </c>
    </row>
    <row r="163" spans="1:23">
      <c r="A163" s="27"/>
      <c r="B163" s="27"/>
      <c r="C163" s="27"/>
      <c r="D163" s="374">
        <v>2016</v>
      </c>
      <c r="E163" s="27">
        <f>D163+1</f>
        <v>2017</v>
      </c>
      <c r="F163" s="27">
        <f t="shared" ref="F163" si="49">E163+1</f>
        <v>2018</v>
      </c>
      <c r="G163" s="27">
        <f t="shared" ref="G163" si="50">F163+1</f>
        <v>2019</v>
      </c>
      <c r="H163" s="27">
        <f t="shared" ref="H163" si="51">G163+1</f>
        <v>2020</v>
      </c>
      <c r="I163" s="27">
        <f t="shared" ref="I163" si="52">H163+1</f>
        <v>2021</v>
      </c>
      <c r="J163" s="27">
        <f t="shared" ref="J163" si="53">I163+1</f>
        <v>2022</v>
      </c>
      <c r="K163" s="27">
        <f t="shared" ref="K163" si="54">J163+1</f>
        <v>2023</v>
      </c>
      <c r="L163" s="27">
        <f t="shared" ref="L163" si="55">K163+1</f>
        <v>2024</v>
      </c>
      <c r="M163" s="27">
        <f t="shared" ref="M163" si="56">L163+1</f>
        <v>2025</v>
      </c>
      <c r="N163" s="27">
        <f t="shared" ref="N163" si="57">M163+1</f>
        <v>2026</v>
      </c>
      <c r="O163" s="27">
        <f t="shared" ref="O163" si="58">N163+1</f>
        <v>2027</v>
      </c>
      <c r="P163" s="27">
        <f t="shared" ref="P163" si="59">O163+1</f>
        <v>2028</v>
      </c>
      <c r="Q163" s="27">
        <f t="shared" ref="Q163" si="60">P163+1</f>
        <v>2029</v>
      </c>
      <c r="R163" s="27">
        <f t="shared" ref="R163" si="61">Q163+1</f>
        <v>2030</v>
      </c>
      <c r="S163" s="27">
        <f t="shared" ref="S163" si="62">R163+1</f>
        <v>2031</v>
      </c>
      <c r="T163" s="27">
        <f t="shared" ref="T163" si="63">S163+1</f>
        <v>2032</v>
      </c>
      <c r="U163" s="27">
        <f t="shared" ref="U163" si="64">T163+1</f>
        <v>2033</v>
      </c>
      <c r="V163" s="27">
        <f t="shared" ref="V163" si="65">U163+1</f>
        <v>2034</v>
      </c>
      <c r="W163" s="27">
        <f t="shared" ref="W163" si="66">V163+1</f>
        <v>2035</v>
      </c>
    </row>
    <row r="164" spans="1:23">
      <c r="A164" s="27"/>
      <c r="B164" s="27"/>
      <c r="C164" s="27"/>
      <c r="D164" s="374" t="str">
        <f>CONCATENATE("FLOOR_",D163)</f>
        <v>FLOOR_2016</v>
      </c>
      <c r="E164" s="27" t="str">
        <f t="shared" ref="E164:W164" si="67">CONCATENATE("FLOOR_",E163)</f>
        <v>FLOOR_2017</v>
      </c>
      <c r="F164" s="27" t="str">
        <f t="shared" si="67"/>
        <v>FLOOR_2018</v>
      </c>
      <c r="G164" s="27" t="str">
        <f t="shared" si="67"/>
        <v>FLOOR_2019</v>
      </c>
      <c r="H164" s="27" t="str">
        <f t="shared" si="67"/>
        <v>FLOOR_2020</v>
      </c>
      <c r="I164" s="27" t="str">
        <f t="shared" si="67"/>
        <v>FLOOR_2021</v>
      </c>
      <c r="J164" s="27" t="str">
        <f t="shared" si="67"/>
        <v>FLOOR_2022</v>
      </c>
      <c r="K164" s="27" t="str">
        <f t="shared" si="67"/>
        <v>FLOOR_2023</v>
      </c>
      <c r="L164" s="27" t="str">
        <f t="shared" si="67"/>
        <v>FLOOR_2024</v>
      </c>
      <c r="M164" s="27" t="str">
        <f t="shared" si="67"/>
        <v>FLOOR_2025</v>
      </c>
      <c r="N164" s="27" t="str">
        <f t="shared" si="67"/>
        <v>FLOOR_2026</v>
      </c>
      <c r="O164" s="27" t="str">
        <f t="shared" si="67"/>
        <v>FLOOR_2027</v>
      </c>
      <c r="P164" s="27" t="str">
        <f t="shared" si="67"/>
        <v>FLOOR_2028</v>
      </c>
      <c r="Q164" s="27" t="str">
        <f t="shared" si="67"/>
        <v>FLOOR_2029</v>
      </c>
      <c r="R164" s="27" t="str">
        <f t="shared" si="67"/>
        <v>FLOOR_2030</v>
      </c>
      <c r="S164" s="27" t="str">
        <f t="shared" si="67"/>
        <v>FLOOR_2031</v>
      </c>
      <c r="T164" s="27" t="str">
        <f t="shared" si="67"/>
        <v>FLOOR_2032</v>
      </c>
      <c r="U164" s="27" t="str">
        <f t="shared" si="67"/>
        <v>FLOOR_2033</v>
      </c>
      <c r="V164" s="27" t="str">
        <f t="shared" si="67"/>
        <v>FLOOR_2034</v>
      </c>
      <c r="W164" s="27" t="str">
        <f t="shared" si="67"/>
        <v>FLOOR_2035</v>
      </c>
    </row>
    <row r="165" spans="1:23">
      <c r="A165" s="18" t="s">
        <v>147</v>
      </c>
      <c r="B165" s="18" t="s">
        <v>148</v>
      </c>
      <c r="D165" s="30">
        <f>E13</f>
        <v>7.7488837996995636</v>
      </c>
      <c r="E165" s="30">
        <f>D165+F13</f>
        <v>15.555538810894948</v>
      </c>
      <c r="F165" s="30">
        <f t="shared" ref="F165:W179" si="68">E165+G13</f>
        <v>21.505238068209035</v>
      </c>
      <c r="G165" s="30">
        <f t="shared" si="68"/>
        <v>27.396141614117873</v>
      </c>
      <c r="H165" s="30">
        <f t="shared" si="68"/>
        <v>34.287710443251115</v>
      </c>
      <c r="I165" s="30">
        <f t="shared" si="68"/>
        <v>40.928729596565951</v>
      </c>
      <c r="J165" s="30">
        <f t="shared" si="68"/>
        <v>46.366952275688142</v>
      </c>
      <c r="K165" s="30">
        <f t="shared" si="68"/>
        <v>53.290637427272749</v>
      </c>
      <c r="L165" s="30">
        <f t="shared" si="68"/>
        <v>59.331204312258507</v>
      </c>
      <c r="M165" s="30">
        <f t="shared" si="68"/>
        <v>65.193208346634961</v>
      </c>
      <c r="N165" s="30">
        <f t="shared" si="68"/>
        <v>71.798043644431289</v>
      </c>
      <c r="O165" s="30">
        <f t="shared" si="68"/>
        <v>78.406229321916271</v>
      </c>
      <c r="P165" s="30">
        <f t="shared" si="68"/>
        <v>85.633852324975308</v>
      </c>
      <c r="Q165" s="30">
        <f t="shared" si="68"/>
        <v>93.565990171343117</v>
      </c>
      <c r="R165" s="30">
        <f t="shared" si="68"/>
        <v>100.82502720494503</v>
      </c>
      <c r="S165" s="30">
        <f t="shared" si="68"/>
        <v>108.73725434368467</v>
      </c>
      <c r="T165" s="30">
        <f t="shared" si="68"/>
        <v>116.4995883817821</v>
      </c>
      <c r="U165" s="30">
        <f t="shared" si="68"/>
        <v>124.13981828411002</v>
      </c>
      <c r="V165" s="30">
        <f t="shared" si="68"/>
        <v>131.31230141410472</v>
      </c>
      <c r="W165" s="30">
        <f t="shared" si="68"/>
        <v>138.39334850967802</v>
      </c>
    </row>
    <row r="166" spans="1:23">
      <c r="A166" s="18" t="s">
        <v>147</v>
      </c>
      <c r="B166" s="18" t="s">
        <v>149</v>
      </c>
      <c r="D166" s="30">
        <f t="shared" ref="D166:D182" si="69">E14</f>
        <v>5.9952951563986474</v>
      </c>
      <c r="E166" s="30">
        <f t="shared" ref="E166:T182" si="70">D166+F14</f>
        <v>12.325984389088589</v>
      </c>
      <c r="F166" s="30">
        <f t="shared" si="70"/>
        <v>16.950536185358899</v>
      </c>
      <c r="G166" s="30">
        <f t="shared" si="70"/>
        <v>21.645976308890006</v>
      </c>
      <c r="H166" s="30">
        <f t="shared" si="70"/>
        <v>27.202150158572071</v>
      </c>
      <c r="I166" s="30">
        <f t="shared" si="70"/>
        <v>32.492481745400397</v>
      </c>
      <c r="J166" s="30">
        <f t="shared" si="70"/>
        <v>36.587956599256856</v>
      </c>
      <c r="K166" s="30">
        <f t="shared" si="70"/>
        <v>42.20460210793911</v>
      </c>
      <c r="L166" s="30">
        <f t="shared" si="70"/>
        <v>47.097444213547064</v>
      </c>
      <c r="M166" s="30">
        <f t="shared" si="70"/>
        <v>51.746432772953362</v>
      </c>
      <c r="N166" s="30">
        <f t="shared" si="70"/>
        <v>57.1065090481532</v>
      </c>
      <c r="O166" s="30">
        <f t="shared" si="70"/>
        <v>62.451615209390262</v>
      </c>
      <c r="P166" s="30">
        <f t="shared" si="70"/>
        <v>68.168519485629162</v>
      </c>
      <c r="Q166" s="30">
        <f t="shared" si="70"/>
        <v>74.332927571604074</v>
      </c>
      <c r="R166" s="30">
        <f t="shared" si="70"/>
        <v>80.133310479858707</v>
      </c>
      <c r="S166" s="30">
        <f t="shared" si="70"/>
        <v>86.566510390257889</v>
      </c>
      <c r="T166" s="30">
        <f t="shared" si="70"/>
        <v>92.674254720196572</v>
      </c>
      <c r="U166" s="30">
        <f t="shared" si="68"/>
        <v>98.987580552650911</v>
      </c>
      <c r="V166" s="30">
        <f t="shared" si="68"/>
        <v>104.5278858878618</v>
      </c>
      <c r="W166" s="30">
        <f t="shared" si="68"/>
        <v>110.05448876360438</v>
      </c>
    </row>
    <row r="167" spans="1:23">
      <c r="A167" s="18" t="s">
        <v>147</v>
      </c>
      <c r="B167" s="18" t="s">
        <v>150</v>
      </c>
      <c r="D167" s="30">
        <f t="shared" si="69"/>
        <v>1.5722642319863536</v>
      </c>
      <c r="E167" s="30">
        <f t="shared" si="70"/>
        <v>3.2343839087887942</v>
      </c>
      <c r="F167" s="30">
        <f t="shared" si="68"/>
        <v>4.4514496511330117</v>
      </c>
      <c r="G167" s="30">
        <f t="shared" si="68"/>
        <v>5.6958830038774613</v>
      </c>
      <c r="H167" s="30">
        <f t="shared" si="68"/>
        <v>7.1544924542323649</v>
      </c>
      <c r="I167" s="30">
        <f t="shared" si="68"/>
        <v>8.5548994600879169</v>
      </c>
      <c r="J167" s="30">
        <f t="shared" si="68"/>
        <v>9.6336717581289744</v>
      </c>
      <c r="K167" s="30">
        <f t="shared" si="68"/>
        <v>11.10846937487103</v>
      </c>
      <c r="L167" s="30">
        <f t="shared" si="68"/>
        <v>12.398105155348473</v>
      </c>
      <c r="M167" s="30">
        <f t="shared" si="68"/>
        <v>13.622034286107393</v>
      </c>
      <c r="N167" s="30">
        <f t="shared" si="68"/>
        <v>15.023278660574725</v>
      </c>
      <c r="O167" s="30">
        <f t="shared" si="68"/>
        <v>16.422410253777532</v>
      </c>
      <c r="P167" s="30">
        <f t="shared" si="68"/>
        <v>17.922035143770898</v>
      </c>
      <c r="Q167" s="30">
        <f t="shared" si="68"/>
        <v>19.541811534239827</v>
      </c>
      <c r="R167" s="30">
        <f t="shared" si="68"/>
        <v>21.060551623376035</v>
      </c>
      <c r="S167" s="30">
        <f t="shared" si="68"/>
        <v>22.749627337001499</v>
      </c>
      <c r="T167" s="30">
        <f t="shared" si="68"/>
        <v>24.346862952827479</v>
      </c>
      <c r="U167" s="30">
        <f t="shared" si="68"/>
        <v>25.987328699968586</v>
      </c>
      <c r="V167" s="30">
        <f t="shared" si="68"/>
        <v>27.443924221749757</v>
      </c>
      <c r="W167" s="30">
        <f t="shared" si="68"/>
        <v>28.897098412414067</v>
      </c>
    </row>
    <row r="168" spans="1:23">
      <c r="A168" s="18" t="s">
        <v>151</v>
      </c>
      <c r="B168" s="54" t="s">
        <v>195</v>
      </c>
      <c r="D168" s="30">
        <f t="shared" si="69"/>
        <v>0.89046181776413369</v>
      </c>
      <c r="E168" s="30">
        <f t="shared" si="70"/>
        <v>2.6898799867817269</v>
      </c>
      <c r="F168" s="30">
        <f t="shared" si="68"/>
        <v>4.1756351637501563</v>
      </c>
      <c r="G168" s="30">
        <f t="shared" si="68"/>
        <v>5.0735787905676997</v>
      </c>
      <c r="H168" s="30">
        <f t="shared" si="68"/>
        <v>5.985595734611227</v>
      </c>
      <c r="I168" s="30">
        <f t="shared" si="68"/>
        <v>6.8368499672866321</v>
      </c>
      <c r="J168" s="30">
        <f t="shared" si="68"/>
        <v>7.568894941562812</v>
      </c>
      <c r="K168" s="30">
        <f t="shared" si="68"/>
        <v>8.3031784326627758</v>
      </c>
      <c r="L168" s="30">
        <f t="shared" si="68"/>
        <v>9.0165901669138577</v>
      </c>
      <c r="M168" s="30">
        <f t="shared" si="68"/>
        <v>9.9111491926883346</v>
      </c>
      <c r="N168" s="30">
        <f t="shared" si="68"/>
        <v>10.943232998657241</v>
      </c>
      <c r="O168" s="30">
        <f t="shared" si="68"/>
        <v>12.039572817404828</v>
      </c>
      <c r="P168" s="30">
        <f t="shared" si="68"/>
        <v>13.656860677597367</v>
      </c>
      <c r="Q168" s="30">
        <f t="shared" si="68"/>
        <v>15.480768169751329</v>
      </c>
      <c r="R168" s="30">
        <f t="shared" si="68"/>
        <v>17.107503660652309</v>
      </c>
      <c r="S168" s="30">
        <f t="shared" si="68"/>
        <v>18.704536054536664</v>
      </c>
      <c r="T168" s="30">
        <f t="shared" si="68"/>
        <v>20.243875712675305</v>
      </c>
      <c r="U168" s="30">
        <f t="shared" si="68"/>
        <v>21.53992878038456</v>
      </c>
      <c r="V168" s="30">
        <f t="shared" si="68"/>
        <v>22.857574291211556</v>
      </c>
      <c r="W168" s="30">
        <f t="shared" si="68"/>
        <v>24.104572238684895</v>
      </c>
    </row>
    <row r="169" spans="1:23">
      <c r="A169" s="18" t="s">
        <v>151</v>
      </c>
      <c r="B169" s="54" t="s">
        <v>169</v>
      </c>
      <c r="D169" s="30">
        <f t="shared" si="69"/>
        <v>0.3567039409637372</v>
      </c>
      <c r="E169" s="30">
        <f t="shared" si="70"/>
        <v>1.0763082131603778</v>
      </c>
      <c r="F169" s="30">
        <f t="shared" si="68"/>
        <v>1.6727866841560461</v>
      </c>
      <c r="G169" s="30">
        <f t="shared" si="68"/>
        <v>2.0389050645805198</v>
      </c>
      <c r="H169" s="30">
        <f t="shared" si="68"/>
        <v>2.4120818996443445</v>
      </c>
      <c r="I169" s="30">
        <f t="shared" si="68"/>
        <v>2.7571274926906781</v>
      </c>
      <c r="J169" s="30">
        <f t="shared" si="68"/>
        <v>3.0499898514022084</v>
      </c>
      <c r="K169" s="30">
        <f t="shared" si="68"/>
        <v>3.3437527943914231</v>
      </c>
      <c r="L169" s="30">
        <f t="shared" si="68"/>
        <v>3.6279158776837876</v>
      </c>
      <c r="M169" s="30">
        <f t="shared" si="68"/>
        <v>3.9924705918995675</v>
      </c>
      <c r="N169" s="30">
        <f t="shared" si="68"/>
        <v>4.4189368700066662</v>
      </c>
      <c r="O169" s="30">
        <f t="shared" si="68"/>
        <v>4.8685006748940438</v>
      </c>
      <c r="P169" s="30">
        <f t="shared" si="68"/>
        <v>5.5206390732408739</v>
      </c>
      <c r="Q169" s="30">
        <f t="shared" si="68"/>
        <v>6.2541771465586047</v>
      </c>
      <c r="R169" s="30">
        <f t="shared" si="68"/>
        <v>6.9097849489877188</v>
      </c>
      <c r="S169" s="30">
        <f t="shared" si="68"/>
        <v>7.5558342333513018</v>
      </c>
      <c r="T169" s="30">
        <f t="shared" si="68"/>
        <v>8.1776168478052824</v>
      </c>
      <c r="U169" s="30">
        <f t="shared" si="68"/>
        <v>8.7031653824623785</v>
      </c>
      <c r="V169" s="30">
        <f t="shared" si="68"/>
        <v>9.2358279202440325</v>
      </c>
      <c r="W169" s="30">
        <f t="shared" si="68"/>
        <v>9.7403692233278942</v>
      </c>
    </row>
    <row r="170" spans="1:23">
      <c r="A170" s="18" t="s">
        <v>151</v>
      </c>
      <c r="B170" s="54" t="s">
        <v>168</v>
      </c>
      <c r="D170" s="30">
        <f t="shared" si="69"/>
        <v>1.3432446364579429</v>
      </c>
      <c r="E170" s="30">
        <f t="shared" si="70"/>
        <v>4.070834583456965</v>
      </c>
      <c r="F170" s="30">
        <f t="shared" si="68"/>
        <v>6.316014846029649</v>
      </c>
      <c r="G170" s="30">
        <f t="shared" si="68"/>
        <v>7.7006700080625476</v>
      </c>
      <c r="H170" s="30">
        <f t="shared" si="68"/>
        <v>9.1150029392786394</v>
      </c>
      <c r="I170" s="30">
        <f t="shared" si="68"/>
        <v>10.419900557525024</v>
      </c>
      <c r="J170" s="30">
        <f t="shared" si="68"/>
        <v>11.523446200229277</v>
      </c>
      <c r="K170" s="30">
        <f t="shared" si="68"/>
        <v>12.616665538735244</v>
      </c>
      <c r="L170" s="30">
        <f t="shared" si="68"/>
        <v>13.676866569136349</v>
      </c>
      <c r="M170" s="30">
        <f t="shared" si="68"/>
        <v>15.045608290943044</v>
      </c>
      <c r="N170" s="30">
        <f t="shared" si="68"/>
        <v>16.655820286713034</v>
      </c>
      <c r="O170" s="30">
        <f t="shared" si="68"/>
        <v>18.357267966014263</v>
      </c>
      <c r="P170" s="30">
        <f t="shared" si="68"/>
        <v>20.804812810290922</v>
      </c>
      <c r="Q170" s="30">
        <f t="shared" si="68"/>
        <v>23.569071220787087</v>
      </c>
      <c r="R170" s="30">
        <f t="shared" si="68"/>
        <v>26.033580459371336</v>
      </c>
      <c r="S170" s="30">
        <f t="shared" si="68"/>
        <v>28.46879213392997</v>
      </c>
      <c r="T170" s="30">
        <f t="shared" si="68"/>
        <v>30.81245873637555</v>
      </c>
      <c r="U170" s="30">
        <f t="shared" si="68"/>
        <v>32.809557878515513</v>
      </c>
      <c r="V170" s="30">
        <f t="shared" si="68"/>
        <v>34.831642971762314</v>
      </c>
      <c r="W170" s="30">
        <f t="shared" si="68"/>
        <v>36.739106230036938</v>
      </c>
    </row>
    <row r="171" spans="1:23">
      <c r="A171" s="18" t="s">
        <v>151</v>
      </c>
      <c r="B171" s="54" t="s">
        <v>170</v>
      </c>
      <c r="D171" s="30">
        <f t="shared" si="69"/>
        <v>0.42474203674104466</v>
      </c>
      <c r="E171" s="30">
        <f t="shared" si="70"/>
        <v>1.2872414223576556</v>
      </c>
      <c r="F171" s="30">
        <f t="shared" si="68"/>
        <v>1.9996795362929938</v>
      </c>
      <c r="G171" s="30">
        <f t="shared" si="68"/>
        <v>2.4395608868000336</v>
      </c>
      <c r="H171" s="30">
        <f t="shared" si="68"/>
        <v>2.8883573693208549</v>
      </c>
      <c r="I171" s="30">
        <f t="shared" si="68"/>
        <v>3.3020991073403794</v>
      </c>
      <c r="J171" s="30">
        <f t="shared" si="68"/>
        <v>3.6451153074826284</v>
      </c>
      <c r="K171" s="30">
        <f t="shared" si="68"/>
        <v>3.9845818800991957</v>
      </c>
      <c r="L171" s="30">
        <f t="shared" si="68"/>
        <v>4.3142394298859266</v>
      </c>
      <c r="M171" s="30">
        <f t="shared" si="68"/>
        <v>4.7511317589214821</v>
      </c>
      <c r="N171" s="30">
        <f t="shared" si="68"/>
        <v>5.2700013361485247</v>
      </c>
      <c r="O171" s="30">
        <f t="shared" si="68"/>
        <v>5.8181744694977056</v>
      </c>
      <c r="P171" s="30">
        <f t="shared" si="68"/>
        <v>6.5978697906714823</v>
      </c>
      <c r="Q171" s="30">
        <f t="shared" si="68"/>
        <v>7.4764562344909953</v>
      </c>
      <c r="R171" s="30">
        <f t="shared" si="68"/>
        <v>8.2606569814720885</v>
      </c>
      <c r="S171" s="30">
        <f t="shared" si="68"/>
        <v>9.0379453973956299</v>
      </c>
      <c r="T171" s="30">
        <f t="shared" si="68"/>
        <v>9.7868121399209702</v>
      </c>
      <c r="U171" s="30">
        <f t="shared" si="68"/>
        <v>10.426453939434237</v>
      </c>
      <c r="V171" s="30">
        <f t="shared" si="68"/>
        <v>11.07360134262473</v>
      </c>
      <c r="W171" s="30">
        <f t="shared" si="68"/>
        <v>11.685265233011608</v>
      </c>
    </row>
    <row r="172" spans="1:23">
      <c r="A172" s="18" t="s">
        <v>152</v>
      </c>
      <c r="B172" s="18" t="s">
        <v>171</v>
      </c>
      <c r="D172" s="30">
        <f t="shared" si="69"/>
        <v>0.50322888648933484</v>
      </c>
      <c r="E172" s="30">
        <f t="shared" si="70"/>
        <v>0.99660002351731181</v>
      </c>
      <c r="F172" s="30">
        <f t="shared" si="68"/>
        <v>2.0995723394390375</v>
      </c>
      <c r="G172" s="30">
        <f t="shared" si="68"/>
        <v>3.0494969090894721</v>
      </c>
      <c r="H172" s="30">
        <f t="shared" si="68"/>
        <v>3.766703920730099</v>
      </c>
      <c r="I172" s="30">
        <f t="shared" si="68"/>
        <v>4.5109320394729551</v>
      </c>
      <c r="J172" s="30">
        <f t="shared" si="68"/>
        <v>5.3623330375788099</v>
      </c>
      <c r="K172" s="30">
        <f t="shared" si="68"/>
        <v>6.3537277075408118</v>
      </c>
      <c r="L172" s="30">
        <f t="shared" si="68"/>
        <v>7.8551906428571066</v>
      </c>
      <c r="M172" s="30">
        <f t="shared" si="68"/>
        <v>9.7249732685179655</v>
      </c>
      <c r="N172" s="30">
        <f t="shared" si="68"/>
        <v>11.370244016761198</v>
      </c>
      <c r="O172" s="30">
        <f t="shared" si="68"/>
        <v>13.045562134005785</v>
      </c>
      <c r="P172" s="30">
        <f t="shared" si="68"/>
        <v>14.839866243932233</v>
      </c>
      <c r="Q172" s="30">
        <f t="shared" si="68"/>
        <v>16.702296237714172</v>
      </c>
      <c r="R172" s="30">
        <f t="shared" si="68"/>
        <v>18.451222689929256</v>
      </c>
      <c r="S172" s="30">
        <f t="shared" si="68"/>
        <v>20.248782545532396</v>
      </c>
      <c r="T172" s="30">
        <f t="shared" si="68"/>
        <v>21.868304591504771</v>
      </c>
      <c r="U172" s="30">
        <f t="shared" si="68"/>
        <v>23.690447898997313</v>
      </c>
      <c r="V172" s="30">
        <f t="shared" si="68"/>
        <v>25.324115568158184</v>
      </c>
      <c r="W172" s="30">
        <f t="shared" si="68"/>
        <v>27.106739783093971</v>
      </c>
    </row>
    <row r="173" spans="1:23">
      <c r="A173" s="18" t="s">
        <v>154</v>
      </c>
      <c r="B173" s="18" t="s">
        <v>155</v>
      </c>
      <c r="D173" s="30">
        <f t="shared" si="69"/>
        <v>0.63957928675752418</v>
      </c>
      <c r="E173" s="30">
        <f t="shared" si="70"/>
        <v>0.91960028537721072</v>
      </c>
      <c r="F173" s="30">
        <f t="shared" si="68"/>
        <v>1.2167989992125801</v>
      </c>
      <c r="G173" s="30">
        <f t="shared" si="68"/>
        <v>1.7988301552359398</v>
      </c>
      <c r="H173" s="30">
        <f t="shared" si="68"/>
        <v>2.6307247325933174</v>
      </c>
      <c r="I173" s="30">
        <f t="shared" si="68"/>
        <v>3.2968292797820853</v>
      </c>
      <c r="J173" s="30">
        <f t="shared" si="68"/>
        <v>4.03331175756768</v>
      </c>
      <c r="K173" s="30">
        <f t="shared" si="68"/>
        <v>4.6766536139513519</v>
      </c>
      <c r="L173" s="30">
        <f t="shared" si="68"/>
        <v>5.6495478568637374</v>
      </c>
      <c r="M173" s="30">
        <f t="shared" si="68"/>
        <v>6.83164565818615</v>
      </c>
      <c r="N173" s="30">
        <f t="shared" si="68"/>
        <v>8.0101770506115617</v>
      </c>
      <c r="O173" s="30">
        <f t="shared" si="68"/>
        <v>9.3053809382531689</v>
      </c>
      <c r="P173" s="30">
        <f t="shared" si="68"/>
        <v>10.628305311881263</v>
      </c>
      <c r="Q173" s="30">
        <f t="shared" si="68"/>
        <v>12.051214767300982</v>
      </c>
      <c r="R173" s="30">
        <f t="shared" si="68"/>
        <v>13.494233558299088</v>
      </c>
      <c r="S173" s="30">
        <f t="shared" si="68"/>
        <v>14.786630698647121</v>
      </c>
      <c r="T173" s="30">
        <f t="shared" si="68"/>
        <v>15.96513577203797</v>
      </c>
      <c r="U173" s="30">
        <f t="shared" si="68"/>
        <v>17.308524720965369</v>
      </c>
      <c r="V173" s="30">
        <f t="shared" si="68"/>
        <v>18.53507932002103</v>
      </c>
      <c r="W173" s="30">
        <f t="shared" si="68"/>
        <v>19.792225184418221</v>
      </c>
    </row>
    <row r="174" spans="1:23">
      <c r="A174" s="18" t="s">
        <v>156</v>
      </c>
      <c r="B174" s="18" t="s">
        <v>10</v>
      </c>
      <c r="D174" s="30">
        <f t="shared" si="69"/>
        <v>7.9301406957527112</v>
      </c>
      <c r="E174" s="30">
        <f t="shared" si="70"/>
        <v>15.588801673052073</v>
      </c>
      <c r="F174" s="30">
        <f t="shared" si="68"/>
        <v>23.166256894328313</v>
      </c>
      <c r="G174" s="30">
        <f t="shared" si="68"/>
        <v>28.811650887393427</v>
      </c>
      <c r="H174" s="30">
        <f t="shared" si="68"/>
        <v>33.612444119237409</v>
      </c>
      <c r="I174" s="30">
        <f t="shared" si="68"/>
        <v>37.200583260497524</v>
      </c>
      <c r="J174" s="30">
        <f t="shared" si="68"/>
        <v>40.353565163894707</v>
      </c>
      <c r="K174" s="30">
        <f t="shared" si="68"/>
        <v>44.422739632695524</v>
      </c>
      <c r="L174" s="30">
        <f t="shared" si="68"/>
        <v>48.962768627806128</v>
      </c>
      <c r="M174" s="30">
        <f t="shared" si="68"/>
        <v>53.818316086603055</v>
      </c>
      <c r="N174" s="30">
        <f t="shared" si="68"/>
        <v>58.514952066340655</v>
      </c>
      <c r="O174" s="30">
        <f t="shared" si="68"/>
        <v>63.370669140438082</v>
      </c>
      <c r="P174" s="30">
        <f t="shared" si="68"/>
        <v>67.82241919657362</v>
      </c>
      <c r="Q174" s="30">
        <f t="shared" si="68"/>
        <v>71.68821639791669</v>
      </c>
      <c r="R174" s="30">
        <f t="shared" si="68"/>
        <v>75.66996091275729</v>
      </c>
      <c r="S174" s="30">
        <f t="shared" si="68"/>
        <v>79.665141607578974</v>
      </c>
      <c r="T174" s="30">
        <f t="shared" si="68"/>
        <v>84.13895807491501</v>
      </c>
      <c r="U174" s="30">
        <f t="shared" si="68"/>
        <v>88.412680048525232</v>
      </c>
      <c r="V174" s="30">
        <f t="shared" si="68"/>
        <v>92.499705229780361</v>
      </c>
      <c r="W174" s="30">
        <f t="shared" si="68"/>
        <v>96.637430807898298</v>
      </c>
    </row>
    <row r="175" spans="1:23">
      <c r="A175" s="18" t="s">
        <v>157</v>
      </c>
      <c r="B175" s="18" t="s">
        <v>158</v>
      </c>
      <c r="D175" s="30">
        <f t="shared" si="69"/>
        <v>0.30110367185511056</v>
      </c>
      <c r="E175" s="30">
        <f t="shared" si="70"/>
        <v>0.69035265125257572</v>
      </c>
      <c r="F175" s="30">
        <f t="shared" si="68"/>
        <v>1.033765770206047</v>
      </c>
      <c r="G175" s="30">
        <f t="shared" si="68"/>
        <v>1.3330392506116604</v>
      </c>
      <c r="H175" s="30">
        <f t="shared" si="68"/>
        <v>1.6299279951780012</v>
      </c>
      <c r="I175" s="30">
        <f t="shared" si="68"/>
        <v>1.923727335120816</v>
      </c>
      <c r="J175" s="30">
        <f t="shared" si="68"/>
        <v>2.2141449978338472</v>
      </c>
      <c r="K175" s="30">
        <f t="shared" si="68"/>
        <v>2.5002864455383418</v>
      </c>
      <c r="L175" s="30">
        <f t="shared" si="68"/>
        <v>2.7819250652158032</v>
      </c>
      <c r="M175" s="30">
        <f t="shared" si="68"/>
        <v>3.0588130739819679</v>
      </c>
      <c r="N175" s="30">
        <f t="shared" si="68"/>
        <v>3.3323906170833144</v>
      </c>
      <c r="O175" s="30">
        <f t="shared" si="68"/>
        <v>3.603022462933354</v>
      </c>
      <c r="P175" s="30">
        <f t="shared" si="68"/>
        <v>3.8710365815763934</v>
      </c>
      <c r="Q175" s="30">
        <f t="shared" si="68"/>
        <v>4.137638987720484</v>
      </c>
      <c r="R175" s="30">
        <f t="shared" si="68"/>
        <v>4.389020974564513</v>
      </c>
      <c r="S175" s="30">
        <f t="shared" si="68"/>
        <v>4.65357436591695</v>
      </c>
      <c r="T175" s="30">
        <f t="shared" si="68"/>
        <v>4.9165660390094539</v>
      </c>
      <c r="U175" s="30">
        <f t="shared" si="68"/>
        <v>5.1779751350827325</v>
      </c>
      <c r="V175" s="30">
        <f t="shared" si="68"/>
        <v>5.4374520132341528</v>
      </c>
      <c r="W175" s="30">
        <f t="shared" si="68"/>
        <v>5.694958208201915</v>
      </c>
    </row>
    <row r="176" spans="1:23">
      <c r="A176" s="18" t="s">
        <v>159</v>
      </c>
      <c r="B176" s="18" t="s">
        <v>196</v>
      </c>
      <c r="D176" s="30">
        <f t="shared" si="69"/>
        <v>0.1534457254274641</v>
      </c>
      <c r="E176" s="30">
        <f t="shared" si="70"/>
        <v>0.35110112621262607</v>
      </c>
      <c r="F176" s="30">
        <f t="shared" si="68"/>
        <v>0.53710655556297238</v>
      </c>
      <c r="G176" s="30">
        <f t="shared" si="68"/>
        <v>0.63286735814804462</v>
      </c>
      <c r="H176" s="30">
        <f t="shared" si="68"/>
        <v>0.73348787288719119</v>
      </c>
      <c r="I176" s="30">
        <f t="shared" si="68"/>
        <v>0.81913466542137503</v>
      </c>
      <c r="J176" s="30">
        <f t="shared" si="68"/>
        <v>0.88454970734442029</v>
      </c>
      <c r="K176" s="30">
        <f t="shared" si="68"/>
        <v>0.94179270349137068</v>
      </c>
      <c r="L176" s="30">
        <f t="shared" si="68"/>
        <v>0.99687985443256011</v>
      </c>
      <c r="M176" s="30">
        <f t="shared" si="68"/>
        <v>1.0707960687321005</v>
      </c>
      <c r="N176" s="30">
        <f t="shared" si="68"/>
        <v>1.1628522378204189</v>
      </c>
      <c r="O176" s="30">
        <f t="shared" si="68"/>
        <v>1.2667893321415145</v>
      </c>
      <c r="P176" s="30">
        <f t="shared" si="68"/>
        <v>1.4185110366217404</v>
      </c>
      <c r="Q176" s="30">
        <f t="shared" si="68"/>
        <v>1.5755810138910333</v>
      </c>
      <c r="R176" s="30">
        <f t="shared" si="68"/>
        <v>1.7206868202060823</v>
      </c>
      <c r="S176" s="30">
        <f t="shared" si="68"/>
        <v>1.8734138885040048</v>
      </c>
      <c r="T176" s="30">
        <f t="shared" si="68"/>
        <v>2.0144603659900708</v>
      </c>
      <c r="U176" s="30">
        <f t="shared" si="68"/>
        <v>2.1314677766354784</v>
      </c>
      <c r="V176" s="30">
        <f t="shared" si="68"/>
        <v>2.2514745081432554</v>
      </c>
      <c r="W176" s="30">
        <f t="shared" si="68"/>
        <v>2.3660489369295914</v>
      </c>
    </row>
    <row r="177" spans="1:23">
      <c r="A177" s="18" t="s">
        <v>160</v>
      </c>
      <c r="B177" s="18" t="s">
        <v>161</v>
      </c>
      <c r="D177" s="30">
        <f t="shared" si="69"/>
        <v>0.65647802514629705</v>
      </c>
      <c r="E177" s="30">
        <f t="shared" si="70"/>
        <v>1.1254267430464076</v>
      </c>
      <c r="F177" s="30">
        <f t="shared" si="68"/>
        <v>1.5993008514076663</v>
      </c>
      <c r="G177" s="30">
        <f t="shared" si="68"/>
        <v>2.0507467595458806</v>
      </c>
      <c r="H177" s="30">
        <f t="shared" si="68"/>
        <v>2.5012603746914457</v>
      </c>
      <c r="I177" s="30">
        <f t="shared" si="68"/>
        <v>2.9490408350831681</v>
      </c>
      <c r="J177" s="30">
        <f t="shared" si="68"/>
        <v>3.3942747957544115</v>
      </c>
      <c r="K177" s="30">
        <f t="shared" si="68"/>
        <v>3.8370101588930519</v>
      </c>
      <c r="L177" s="30">
        <f t="shared" si="68"/>
        <v>4.2769179724476558</v>
      </c>
      <c r="M177" s="30">
        <f t="shared" si="68"/>
        <v>4.7140040384492918</v>
      </c>
      <c r="N177" s="30">
        <f t="shared" si="68"/>
        <v>5.1491431943048012</v>
      </c>
      <c r="O177" s="30">
        <f t="shared" si="68"/>
        <v>5.5849472433038674</v>
      </c>
      <c r="P177" s="30">
        <f t="shared" si="68"/>
        <v>6.1765659063408904</v>
      </c>
      <c r="Q177" s="30">
        <f t="shared" si="68"/>
        <v>6.84124292768605</v>
      </c>
      <c r="R177" s="30">
        <f t="shared" si="68"/>
        <v>7.4947828813508552</v>
      </c>
      <c r="S177" s="30">
        <f t="shared" si="68"/>
        <v>8.1708437973117718</v>
      </c>
      <c r="T177" s="30">
        <f t="shared" si="68"/>
        <v>8.8764420501771859</v>
      </c>
      <c r="U177" s="30">
        <f t="shared" si="68"/>
        <v>9.5085108352440955</v>
      </c>
      <c r="V177" s="30">
        <f t="shared" si="68"/>
        <v>10.145773927938807</v>
      </c>
      <c r="W177" s="30">
        <f t="shared" si="68"/>
        <v>10.728610593024108</v>
      </c>
    </row>
    <row r="178" spans="1:23">
      <c r="A178" s="18" t="s">
        <v>162</v>
      </c>
      <c r="B178" s="18" t="s">
        <v>5</v>
      </c>
      <c r="D178" s="30">
        <f t="shared" si="69"/>
        <v>1.4231904443967454</v>
      </c>
      <c r="E178" s="30">
        <f t="shared" si="70"/>
        <v>2.4558678765280604</v>
      </c>
      <c r="F178" s="30">
        <f t="shared" si="68"/>
        <v>3.4717454926223992</v>
      </c>
      <c r="G178" s="30">
        <f t="shared" si="68"/>
        <v>4.214794647082778</v>
      </c>
      <c r="H178" s="30">
        <f t="shared" si="68"/>
        <v>4.9753356712250429</v>
      </c>
      <c r="I178" s="30">
        <f t="shared" si="68"/>
        <v>5.6314996958193184</v>
      </c>
      <c r="J178" s="30">
        <f t="shared" si="68"/>
        <v>6.2590499284953385</v>
      </c>
      <c r="K178" s="30">
        <f t="shared" si="68"/>
        <v>6.869282861228883</v>
      </c>
      <c r="L178" s="30">
        <f t="shared" si="68"/>
        <v>7.4749998591160534</v>
      </c>
      <c r="M178" s="30">
        <f t="shared" si="68"/>
        <v>8.1259788936903981</v>
      </c>
      <c r="N178" s="30">
        <f t="shared" si="68"/>
        <v>8.8191770085544761</v>
      </c>
      <c r="O178" s="30">
        <f t="shared" si="68"/>
        <v>9.6076149674953601</v>
      </c>
      <c r="P178" s="30">
        <f t="shared" si="68"/>
        <v>10.972180915190158</v>
      </c>
      <c r="Q178" s="30">
        <f t="shared" si="68"/>
        <v>12.575403652562777</v>
      </c>
      <c r="R178" s="30">
        <f t="shared" si="68"/>
        <v>14.216673352131266</v>
      </c>
      <c r="S178" s="30">
        <f t="shared" si="68"/>
        <v>15.886956382746479</v>
      </c>
      <c r="T178" s="30">
        <f t="shared" si="68"/>
        <v>17.642618230932925</v>
      </c>
      <c r="U178" s="30">
        <f t="shared" si="68"/>
        <v>19.129755760497499</v>
      </c>
      <c r="V178" s="30">
        <f t="shared" si="68"/>
        <v>20.569759151105536</v>
      </c>
      <c r="W178" s="30">
        <f t="shared" si="68"/>
        <v>21.919723958547017</v>
      </c>
    </row>
    <row r="179" spans="1:23">
      <c r="A179" s="18" t="s">
        <v>163</v>
      </c>
      <c r="B179" s="18" t="s">
        <v>164</v>
      </c>
      <c r="D179" s="30">
        <f t="shared" si="69"/>
        <v>2.9843729551074403</v>
      </c>
      <c r="E179" s="30">
        <f t="shared" si="70"/>
        <v>7.1179799855985557</v>
      </c>
      <c r="F179" s="30">
        <f t="shared" si="68"/>
        <v>10.678124930917468</v>
      </c>
      <c r="G179" s="30">
        <f t="shared" si="68"/>
        <v>13.878901957383334</v>
      </c>
      <c r="H179" s="30">
        <f t="shared" si="68"/>
        <v>16.532048534150658</v>
      </c>
      <c r="I179" s="30">
        <f t="shared" si="68"/>
        <v>18.405056780665607</v>
      </c>
      <c r="J179" s="30">
        <f t="shared" si="68"/>
        <v>20.051785313104546</v>
      </c>
      <c r="K179" s="30">
        <f t="shared" si="68"/>
        <v>21.571409339451254</v>
      </c>
      <c r="L179" s="30">
        <f t="shared" si="68"/>
        <v>22.904223909263166</v>
      </c>
      <c r="M179" s="30">
        <f t="shared" si="68"/>
        <v>24.241458167124886</v>
      </c>
      <c r="N179" s="30">
        <f t="shared" si="68"/>
        <v>25.650126813300677</v>
      </c>
      <c r="O179" s="30">
        <f t="shared" si="68"/>
        <v>27.32272016815082</v>
      </c>
      <c r="P179" s="30">
        <f t="shared" si="68"/>
        <v>29.338566776849351</v>
      </c>
      <c r="Q179" s="30">
        <f t="shared" si="68"/>
        <v>31.641937736291094</v>
      </c>
      <c r="R179" s="30">
        <f t="shared" si="68"/>
        <v>33.705867982343563</v>
      </c>
      <c r="S179" s="30">
        <f t="shared" si="68"/>
        <v>35.693876319352654</v>
      </c>
      <c r="T179" s="30">
        <f t="shared" si="68"/>
        <v>37.628103364638712</v>
      </c>
      <c r="U179" s="30">
        <f t="shared" si="68"/>
        <v>39.402611330837871</v>
      </c>
      <c r="V179" s="30">
        <f t="shared" si="68"/>
        <v>41.074995515339779</v>
      </c>
      <c r="W179" s="30">
        <f t="shared" si="68"/>
        <v>42.616423996119693</v>
      </c>
    </row>
    <row r="180" spans="1:23">
      <c r="A180" s="18" t="s">
        <v>165</v>
      </c>
      <c r="B180" s="54" t="s">
        <v>7</v>
      </c>
      <c r="D180" s="30">
        <f t="shared" si="69"/>
        <v>2.9815730429100533</v>
      </c>
      <c r="E180" s="30">
        <f t="shared" si="70"/>
        <v>7.4845137366280445</v>
      </c>
      <c r="F180" s="30">
        <f t="shared" ref="F180:W182" si="71">E180+G28</f>
        <v>11.563120771071951</v>
      </c>
      <c r="G180" s="30">
        <f t="shared" si="71"/>
        <v>15.155104243125319</v>
      </c>
      <c r="H180" s="30">
        <f t="shared" si="71"/>
        <v>18.195197735766079</v>
      </c>
      <c r="I180" s="30">
        <f t="shared" si="71"/>
        <v>20.497064807569213</v>
      </c>
      <c r="J180" s="30">
        <f t="shared" si="71"/>
        <v>22.629211649776558</v>
      </c>
      <c r="K180" s="30">
        <f t="shared" si="71"/>
        <v>24.606362106187621</v>
      </c>
      <c r="L180" s="30">
        <f t="shared" si="71"/>
        <v>26.41596931988915</v>
      </c>
      <c r="M180" s="30">
        <f t="shared" si="71"/>
        <v>28.31831712546245</v>
      </c>
      <c r="N180" s="30">
        <f t="shared" si="71"/>
        <v>30.331294865913641</v>
      </c>
      <c r="O180" s="30">
        <f t="shared" si="71"/>
        <v>32.635320945787733</v>
      </c>
      <c r="P180" s="30">
        <f t="shared" si="71"/>
        <v>35.43456271028937</v>
      </c>
      <c r="Q180" s="30">
        <f t="shared" si="71"/>
        <v>38.502796691037091</v>
      </c>
      <c r="R180" s="30">
        <f t="shared" si="71"/>
        <v>41.246965704935207</v>
      </c>
      <c r="S180" s="30">
        <f t="shared" si="71"/>
        <v>44.051621844036468</v>
      </c>
      <c r="T180" s="30">
        <f t="shared" si="71"/>
        <v>46.779905710256628</v>
      </c>
      <c r="U180" s="30">
        <f t="shared" si="71"/>
        <v>49.275869488760449</v>
      </c>
      <c r="V180" s="30">
        <f t="shared" si="71"/>
        <v>51.715074722208435</v>
      </c>
      <c r="W180" s="30">
        <f t="shared" si="71"/>
        <v>54.05376982020443</v>
      </c>
    </row>
    <row r="181" spans="1:23">
      <c r="A181" s="18" t="s">
        <v>166</v>
      </c>
      <c r="B181" s="18" t="s">
        <v>3</v>
      </c>
      <c r="D181" s="30">
        <f t="shared" si="69"/>
        <v>4.2644375966469603</v>
      </c>
      <c r="E181" s="30">
        <f t="shared" si="70"/>
        <v>7.4499205317863151</v>
      </c>
      <c r="F181" s="30">
        <f t="shared" si="71"/>
        <v>10.619826276938211</v>
      </c>
      <c r="G181" s="30">
        <f t="shared" si="71"/>
        <v>12.882679095620842</v>
      </c>
      <c r="H181" s="30">
        <f t="shared" si="71"/>
        <v>15.485040803290907</v>
      </c>
      <c r="I181" s="30">
        <f t="shared" si="71"/>
        <v>17.777009281936358</v>
      </c>
      <c r="J181" s="30">
        <f t="shared" si="71"/>
        <v>19.93265429117195</v>
      </c>
      <c r="K181" s="30">
        <f t="shared" si="71"/>
        <v>21.414693742038821</v>
      </c>
      <c r="L181" s="30">
        <f t="shared" si="71"/>
        <v>22.97502988927566</v>
      </c>
      <c r="M181" s="30">
        <f t="shared" si="71"/>
        <v>25.329639593165517</v>
      </c>
      <c r="N181" s="30">
        <f t="shared" si="71"/>
        <v>28.603678232857924</v>
      </c>
      <c r="O181" s="30">
        <f t="shared" si="71"/>
        <v>32.227853420311526</v>
      </c>
      <c r="P181" s="30">
        <f t="shared" si="71"/>
        <v>36.669867150333509</v>
      </c>
      <c r="Q181" s="30">
        <f t="shared" si="71"/>
        <v>42.492294497647094</v>
      </c>
      <c r="R181" s="30">
        <f t="shared" si="71"/>
        <v>48.95273459228931</v>
      </c>
      <c r="S181" s="30">
        <f t="shared" si="71"/>
        <v>55.854214922103573</v>
      </c>
      <c r="T181" s="30">
        <f t="shared" si="71"/>
        <v>62.602730673593882</v>
      </c>
      <c r="U181" s="30">
        <f t="shared" si="71"/>
        <v>69.039200147022711</v>
      </c>
      <c r="V181" s="30">
        <f t="shared" si="71"/>
        <v>75.344523666551765</v>
      </c>
      <c r="W181" s="30">
        <f t="shared" si="71"/>
        <v>81.568185706018113</v>
      </c>
    </row>
    <row r="182" spans="1:23">
      <c r="A182" s="18" t="s">
        <v>167</v>
      </c>
      <c r="B182" s="18" t="s">
        <v>11</v>
      </c>
      <c r="D182" s="30">
        <f t="shared" si="69"/>
        <v>9.3943869595092213</v>
      </c>
      <c r="E182" s="30">
        <f t="shared" si="70"/>
        <v>22.257494088661524</v>
      </c>
      <c r="F182" s="30">
        <f t="shared" si="71"/>
        <v>32.979531908010024</v>
      </c>
      <c r="G182" s="30">
        <f t="shared" si="71"/>
        <v>43.121660346076318</v>
      </c>
      <c r="H182" s="30">
        <f t="shared" si="71"/>
        <v>52.582852696064244</v>
      </c>
      <c r="I182" s="30">
        <f t="shared" si="71"/>
        <v>59.946708384201564</v>
      </c>
      <c r="J182" s="30">
        <f t="shared" si="71"/>
        <v>68.105852309628503</v>
      </c>
      <c r="K182" s="30">
        <f t="shared" si="71"/>
        <v>76.066219635510009</v>
      </c>
      <c r="L182" s="30">
        <f t="shared" si="71"/>
        <v>84.668836326653292</v>
      </c>
      <c r="M182" s="30">
        <f t="shared" si="71"/>
        <v>93.989616363262812</v>
      </c>
      <c r="N182" s="30">
        <f t="shared" si="71"/>
        <v>103.0468950265343</v>
      </c>
      <c r="O182" s="30">
        <f t="shared" si="71"/>
        <v>113.23131875741144</v>
      </c>
      <c r="P182" s="30">
        <f t="shared" si="71"/>
        <v>124.01897629120111</v>
      </c>
      <c r="Q182" s="30">
        <f t="shared" si="71"/>
        <v>135.02435486590952</v>
      </c>
      <c r="R182" s="30">
        <f t="shared" si="71"/>
        <v>145.29141884721747</v>
      </c>
      <c r="S182" s="30">
        <f t="shared" si="71"/>
        <v>156.31889471013645</v>
      </c>
      <c r="T182" s="30">
        <f t="shared" si="71"/>
        <v>166.27981809239881</v>
      </c>
      <c r="U182" s="30">
        <f t="shared" si="71"/>
        <v>176.61986596205773</v>
      </c>
      <c r="V182" s="30">
        <f t="shared" si="71"/>
        <v>186.4582509350567</v>
      </c>
      <c r="W182" s="30">
        <f t="shared" si="71"/>
        <v>195.7865498965003</v>
      </c>
    </row>
    <row r="183" spans="1:23">
      <c r="A183" s="190"/>
      <c r="D183" s="33">
        <f>SUM(D165:D182)</f>
        <v>49.563532910010281</v>
      </c>
      <c r="E183" s="33">
        <f t="shared" ref="E183:W183" si="72">SUM(E165:E182)</f>
        <v>106.67783003618976</v>
      </c>
      <c r="F183" s="33">
        <f t="shared" si="72"/>
        <v>156.03649092464644</v>
      </c>
      <c r="G183" s="33">
        <f t="shared" si="72"/>
        <v>198.92048728620915</v>
      </c>
      <c r="H183" s="33">
        <f t="shared" si="72"/>
        <v>241.69041545472501</v>
      </c>
      <c r="I183" s="33">
        <f t="shared" si="72"/>
        <v>278.24967429246698</v>
      </c>
      <c r="J183" s="33">
        <f t="shared" si="72"/>
        <v>311.59675988590163</v>
      </c>
      <c r="K183" s="33">
        <f t="shared" si="72"/>
        <v>348.11206550249858</v>
      </c>
      <c r="L183" s="33">
        <f t="shared" si="72"/>
        <v>384.42465504859422</v>
      </c>
      <c r="M183" s="33">
        <f t="shared" si="72"/>
        <v>423.48559357732478</v>
      </c>
      <c r="N183" s="33">
        <f t="shared" si="72"/>
        <v>465.20675397476771</v>
      </c>
      <c r="O183" s="33">
        <f t="shared" si="72"/>
        <v>509.56497022312755</v>
      </c>
      <c r="P183" s="33">
        <f t="shared" si="72"/>
        <v>559.49544742696571</v>
      </c>
      <c r="Q183" s="33">
        <f t="shared" si="72"/>
        <v>613.45417982445201</v>
      </c>
      <c r="R183" s="33">
        <f t="shared" si="72"/>
        <v>664.96398367468692</v>
      </c>
      <c r="S183" s="33">
        <f t="shared" si="72"/>
        <v>719.0244509720244</v>
      </c>
      <c r="T183" s="33">
        <f t="shared" si="72"/>
        <v>771.25451245703869</v>
      </c>
      <c r="U183" s="33">
        <f t="shared" si="72"/>
        <v>822.29074262215261</v>
      </c>
      <c r="V183" s="33">
        <f t="shared" si="72"/>
        <v>870.63896260709703</v>
      </c>
      <c r="W183" s="33">
        <f t="shared" si="72"/>
        <v>917.88491550171352</v>
      </c>
    </row>
  </sheetData>
  <mergeCells count="1">
    <mergeCell ref="B1:S5"/>
  </mergeCells>
  <dataValidations count="1">
    <dataValidation type="list" allowBlank="1" showInputMessage="1" showErrorMessage="1" sqref="D8">
      <formula1>"ID, MT, OR, WA, Region"</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sheetPr codeName="Sheet3"/>
  <dimension ref="A1:CB156"/>
  <sheetViews>
    <sheetView workbookViewId="0">
      <selection activeCell="B36" sqref="B36"/>
    </sheetView>
  </sheetViews>
  <sheetFormatPr defaultRowHeight="12.75"/>
  <cols>
    <col min="1" max="1" width="45.5703125" style="18" customWidth="1"/>
    <col min="2" max="2" width="20.28515625" style="18" customWidth="1"/>
    <col min="3" max="3" width="19.85546875" style="18" customWidth="1"/>
    <col min="4" max="4" width="29.42578125" style="18" customWidth="1"/>
    <col min="5" max="5" width="11" style="18" customWidth="1"/>
    <col min="6" max="24" width="10.42578125" style="18" bestFit="1" customWidth="1"/>
    <col min="25" max="25" width="17.7109375" style="18" bestFit="1" customWidth="1"/>
    <col min="26" max="255" width="9.140625" style="18"/>
    <col min="256" max="256" width="35" style="18" customWidth="1"/>
    <col min="257" max="257" width="16" style="18" customWidth="1"/>
    <col min="258" max="258" width="29.140625" style="18" customWidth="1"/>
    <col min="259" max="259" width="12.85546875" style="18" bestFit="1" customWidth="1"/>
    <col min="260" max="260" width="9.42578125" style="18" customWidth="1"/>
    <col min="261" max="511" width="9.140625" style="18"/>
    <col min="512" max="512" width="35" style="18" customWidth="1"/>
    <col min="513" max="513" width="16" style="18" customWidth="1"/>
    <col min="514" max="514" width="29.140625" style="18" customWidth="1"/>
    <col min="515" max="515" width="12.85546875" style="18" bestFit="1" customWidth="1"/>
    <col min="516" max="516" width="9.42578125" style="18" customWidth="1"/>
    <col min="517" max="767" width="9.140625" style="18"/>
    <col min="768" max="768" width="35" style="18" customWidth="1"/>
    <col min="769" max="769" width="16" style="18" customWidth="1"/>
    <col min="770" max="770" width="29.140625" style="18" customWidth="1"/>
    <col min="771" max="771" width="12.85546875" style="18" bestFit="1" customWidth="1"/>
    <col min="772" max="772" width="9.42578125" style="18" customWidth="1"/>
    <col min="773" max="1023" width="9.140625" style="18"/>
    <col min="1024" max="1024" width="35" style="18" customWidth="1"/>
    <col min="1025" max="1025" width="16" style="18" customWidth="1"/>
    <col min="1026" max="1026" width="29.140625" style="18" customWidth="1"/>
    <col min="1027" max="1027" width="12.85546875" style="18" bestFit="1" customWidth="1"/>
    <col min="1028" max="1028" width="9.42578125" style="18" customWidth="1"/>
    <col min="1029" max="1279" width="9.140625" style="18"/>
    <col min="1280" max="1280" width="35" style="18" customWidth="1"/>
    <col min="1281" max="1281" width="16" style="18" customWidth="1"/>
    <col min="1282" max="1282" width="29.140625" style="18" customWidth="1"/>
    <col min="1283" max="1283" width="12.85546875" style="18" bestFit="1" customWidth="1"/>
    <col min="1284" max="1284" width="9.42578125" style="18" customWidth="1"/>
    <col min="1285" max="1535" width="9.140625" style="18"/>
    <col min="1536" max="1536" width="35" style="18" customWidth="1"/>
    <col min="1537" max="1537" width="16" style="18" customWidth="1"/>
    <col min="1538" max="1538" width="29.140625" style="18" customWidth="1"/>
    <col min="1539" max="1539" width="12.85546875" style="18" bestFit="1" customWidth="1"/>
    <col min="1540" max="1540" width="9.42578125" style="18" customWidth="1"/>
    <col min="1541" max="1791" width="9.140625" style="18"/>
    <col min="1792" max="1792" width="35" style="18" customWidth="1"/>
    <col min="1793" max="1793" width="16" style="18" customWidth="1"/>
    <col min="1794" max="1794" width="29.140625" style="18" customWidth="1"/>
    <col min="1795" max="1795" width="12.85546875" style="18" bestFit="1" customWidth="1"/>
    <col min="1796" max="1796" width="9.42578125" style="18" customWidth="1"/>
    <col min="1797" max="2047" width="9.140625" style="18"/>
    <col min="2048" max="2048" width="35" style="18" customWidth="1"/>
    <col min="2049" max="2049" width="16" style="18" customWidth="1"/>
    <col min="2050" max="2050" width="29.140625" style="18" customWidth="1"/>
    <col min="2051" max="2051" width="12.85546875" style="18" bestFit="1" customWidth="1"/>
    <col min="2052" max="2052" width="9.42578125" style="18" customWidth="1"/>
    <col min="2053" max="2303" width="9.140625" style="18"/>
    <col min="2304" max="2304" width="35" style="18" customWidth="1"/>
    <col min="2305" max="2305" width="16" style="18" customWidth="1"/>
    <col min="2306" max="2306" width="29.140625" style="18" customWidth="1"/>
    <col min="2307" max="2307" width="12.85546875" style="18" bestFit="1" customWidth="1"/>
    <col min="2308" max="2308" width="9.42578125" style="18" customWidth="1"/>
    <col min="2309" max="2559" width="9.140625" style="18"/>
    <col min="2560" max="2560" width="35" style="18" customWidth="1"/>
    <col min="2561" max="2561" width="16" style="18" customWidth="1"/>
    <col min="2562" max="2562" width="29.140625" style="18" customWidth="1"/>
    <col min="2563" max="2563" width="12.85546875" style="18" bestFit="1" customWidth="1"/>
    <col min="2564" max="2564" width="9.42578125" style="18" customWidth="1"/>
    <col min="2565" max="2815" width="9.140625" style="18"/>
    <col min="2816" max="2816" width="35" style="18" customWidth="1"/>
    <col min="2817" max="2817" width="16" style="18" customWidth="1"/>
    <col min="2818" max="2818" width="29.140625" style="18" customWidth="1"/>
    <col min="2819" max="2819" width="12.85546875" style="18" bestFit="1" customWidth="1"/>
    <col min="2820" max="2820" width="9.42578125" style="18" customWidth="1"/>
    <col min="2821" max="3071" width="9.140625" style="18"/>
    <col min="3072" max="3072" width="35" style="18" customWidth="1"/>
    <col min="3073" max="3073" width="16" style="18" customWidth="1"/>
    <col min="3074" max="3074" width="29.140625" style="18" customWidth="1"/>
    <col min="3075" max="3075" width="12.85546875" style="18" bestFit="1" customWidth="1"/>
    <col min="3076" max="3076" width="9.42578125" style="18" customWidth="1"/>
    <col min="3077" max="3327" width="9.140625" style="18"/>
    <col min="3328" max="3328" width="35" style="18" customWidth="1"/>
    <col min="3329" max="3329" width="16" style="18" customWidth="1"/>
    <col min="3330" max="3330" width="29.140625" style="18" customWidth="1"/>
    <col min="3331" max="3331" width="12.85546875" style="18" bestFit="1" customWidth="1"/>
    <col min="3332" max="3332" width="9.42578125" style="18" customWidth="1"/>
    <col min="3333" max="3583" width="9.140625" style="18"/>
    <col min="3584" max="3584" width="35" style="18" customWidth="1"/>
    <col min="3585" max="3585" width="16" style="18" customWidth="1"/>
    <col min="3586" max="3586" width="29.140625" style="18" customWidth="1"/>
    <col min="3587" max="3587" width="12.85546875" style="18" bestFit="1" customWidth="1"/>
    <col min="3588" max="3588" width="9.42578125" style="18" customWidth="1"/>
    <col min="3589" max="3839" width="9.140625" style="18"/>
    <col min="3840" max="3840" width="35" style="18" customWidth="1"/>
    <col min="3841" max="3841" width="16" style="18" customWidth="1"/>
    <col min="3842" max="3842" width="29.140625" style="18" customWidth="1"/>
    <col min="3843" max="3843" width="12.85546875" style="18" bestFit="1" customWidth="1"/>
    <col min="3844" max="3844" width="9.42578125" style="18" customWidth="1"/>
    <col min="3845" max="4095" width="9.140625" style="18"/>
    <col min="4096" max="4096" width="35" style="18" customWidth="1"/>
    <col min="4097" max="4097" width="16" style="18" customWidth="1"/>
    <col min="4098" max="4098" width="29.140625" style="18" customWidth="1"/>
    <col min="4099" max="4099" width="12.85546875" style="18" bestFit="1" customWidth="1"/>
    <col min="4100" max="4100" width="9.42578125" style="18" customWidth="1"/>
    <col min="4101" max="4351" width="9.140625" style="18"/>
    <col min="4352" max="4352" width="35" style="18" customWidth="1"/>
    <col min="4353" max="4353" width="16" style="18" customWidth="1"/>
    <col min="4354" max="4354" width="29.140625" style="18" customWidth="1"/>
    <col min="4355" max="4355" width="12.85546875" style="18" bestFit="1" customWidth="1"/>
    <col min="4356" max="4356" width="9.42578125" style="18" customWidth="1"/>
    <col min="4357" max="4607" width="9.140625" style="18"/>
    <col min="4608" max="4608" width="35" style="18" customWidth="1"/>
    <col min="4609" max="4609" width="16" style="18" customWidth="1"/>
    <col min="4610" max="4610" width="29.140625" style="18" customWidth="1"/>
    <col min="4611" max="4611" width="12.85546875" style="18" bestFit="1" customWidth="1"/>
    <col min="4612" max="4612" width="9.42578125" style="18" customWidth="1"/>
    <col min="4613" max="4863" width="9.140625" style="18"/>
    <col min="4864" max="4864" width="35" style="18" customWidth="1"/>
    <col min="4865" max="4865" width="16" style="18" customWidth="1"/>
    <col min="4866" max="4866" width="29.140625" style="18" customWidth="1"/>
    <col min="4867" max="4867" width="12.85546875" style="18" bestFit="1" customWidth="1"/>
    <col min="4868" max="4868" width="9.42578125" style="18" customWidth="1"/>
    <col min="4869" max="5119" width="9.140625" style="18"/>
    <col min="5120" max="5120" width="35" style="18" customWidth="1"/>
    <col min="5121" max="5121" width="16" style="18" customWidth="1"/>
    <col min="5122" max="5122" width="29.140625" style="18" customWidth="1"/>
    <col min="5123" max="5123" width="12.85546875" style="18" bestFit="1" customWidth="1"/>
    <col min="5124" max="5124" width="9.42578125" style="18" customWidth="1"/>
    <col min="5125" max="5375" width="9.140625" style="18"/>
    <col min="5376" max="5376" width="35" style="18" customWidth="1"/>
    <col min="5377" max="5377" width="16" style="18" customWidth="1"/>
    <col min="5378" max="5378" width="29.140625" style="18" customWidth="1"/>
    <col min="5379" max="5379" width="12.85546875" style="18" bestFit="1" customWidth="1"/>
    <col min="5380" max="5380" width="9.42578125" style="18" customWidth="1"/>
    <col min="5381" max="5631" width="9.140625" style="18"/>
    <col min="5632" max="5632" width="35" style="18" customWidth="1"/>
    <col min="5633" max="5633" width="16" style="18" customWidth="1"/>
    <col min="5634" max="5634" width="29.140625" style="18" customWidth="1"/>
    <col min="5635" max="5635" width="12.85546875" style="18" bestFit="1" customWidth="1"/>
    <col min="5636" max="5636" width="9.42578125" style="18" customWidth="1"/>
    <col min="5637" max="5887" width="9.140625" style="18"/>
    <col min="5888" max="5888" width="35" style="18" customWidth="1"/>
    <col min="5889" max="5889" width="16" style="18" customWidth="1"/>
    <col min="5890" max="5890" width="29.140625" style="18" customWidth="1"/>
    <col min="5891" max="5891" width="12.85546875" style="18" bestFit="1" customWidth="1"/>
    <col min="5892" max="5892" width="9.42578125" style="18" customWidth="1"/>
    <col min="5893" max="6143" width="9.140625" style="18"/>
    <col min="6144" max="6144" width="35" style="18" customWidth="1"/>
    <col min="6145" max="6145" width="16" style="18" customWidth="1"/>
    <col min="6146" max="6146" width="29.140625" style="18" customWidth="1"/>
    <col min="6147" max="6147" width="12.85546875" style="18" bestFit="1" customWidth="1"/>
    <col min="6148" max="6148" width="9.42578125" style="18" customWidth="1"/>
    <col min="6149" max="6399" width="9.140625" style="18"/>
    <col min="6400" max="6400" width="35" style="18" customWidth="1"/>
    <col min="6401" max="6401" width="16" style="18" customWidth="1"/>
    <col min="6402" max="6402" width="29.140625" style="18" customWidth="1"/>
    <col min="6403" max="6403" width="12.85546875" style="18" bestFit="1" customWidth="1"/>
    <col min="6404" max="6404" width="9.42578125" style="18" customWidth="1"/>
    <col min="6405" max="6655" width="9.140625" style="18"/>
    <col min="6656" max="6656" width="35" style="18" customWidth="1"/>
    <col min="6657" max="6657" width="16" style="18" customWidth="1"/>
    <col min="6658" max="6658" width="29.140625" style="18" customWidth="1"/>
    <col min="6659" max="6659" width="12.85546875" style="18" bestFit="1" customWidth="1"/>
    <col min="6660" max="6660" width="9.42578125" style="18" customWidth="1"/>
    <col min="6661" max="6911" width="9.140625" style="18"/>
    <col min="6912" max="6912" width="35" style="18" customWidth="1"/>
    <col min="6913" max="6913" width="16" style="18" customWidth="1"/>
    <col min="6914" max="6914" width="29.140625" style="18" customWidth="1"/>
    <col min="6915" max="6915" width="12.85546875" style="18" bestFit="1" customWidth="1"/>
    <col min="6916" max="6916" width="9.42578125" style="18" customWidth="1"/>
    <col min="6917" max="7167" width="9.140625" style="18"/>
    <col min="7168" max="7168" width="35" style="18" customWidth="1"/>
    <col min="7169" max="7169" width="16" style="18" customWidth="1"/>
    <col min="7170" max="7170" width="29.140625" style="18" customWidth="1"/>
    <col min="7171" max="7171" width="12.85546875" style="18" bestFit="1" customWidth="1"/>
    <col min="7172" max="7172" width="9.42578125" style="18" customWidth="1"/>
    <col min="7173" max="7423" width="9.140625" style="18"/>
    <col min="7424" max="7424" width="35" style="18" customWidth="1"/>
    <col min="7425" max="7425" width="16" style="18" customWidth="1"/>
    <col min="7426" max="7426" width="29.140625" style="18" customWidth="1"/>
    <col min="7427" max="7427" width="12.85546875" style="18" bestFit="1" customWidth="1"/>
    <col min="7428" max="7428" width="9.42578125" style="18" customWidth="1"/>
    <col min="7429" max="7679" width="9.140625" style="18"/>
    <col min="7680" max="7680" width="35" style="18" customWidth="1"/>
    <col min="7681" max="7681" width="16" style="18" customWidth="1"/>
    <col min="7682" max="7682" width="29.140625" style="18" customWidth="1"/>
    <col min="7683" max="7683" width="12.85546875" style="18" bestFit="1" customWidth="1"/>
    <col min="7684" max="7684" width="9.42578125" style="18" customWidth="1"/>
    <col min="7685" max="7935" width="9.140625" style="18"/>
    <col min="7936" max="7936" width="35" style="18" customWidth="1"/>
    <col min="7937" max="7937" width="16" style="18" customWidth="1"/>
    <col min="7938" max="7938" width="29.140625" style="18" customWidth="1"/>
    <col min="7939" max="7939" width="12.85546875" style="18" bestFit="1" customWidth="1"/>
    <col min="7940" max="7940" width="9.42578125" style="18" customWidth="1"/>
    <col min="7941" max="8191" width="9.140625" style="18"/>
    <col min="8192" max="8192" width="35" style="18" customWidth="1"/>
    <col min="8193" max="8193" width="16" style="18" customWidth="1"/>
    <col min="8194" max="8194" width="29.140625" style="18" customWidth="1"/>
    <col min="8195" max="8195" width="12.85546875" style="18" bestFit="1" customWidth="1"/>
    <col min="8196" max="8196" width="9.42578125" style="18" customWidth="1"/>
    <col min="8197" max="8447" width="9.140625" style="18"/>
    <col min="8448" max="8448" width="35" style="18" customWidth="1"/>
    <col min="8449" max="8449" width="16" style="18" customWidth="1"/>
    <col min="8450" max="8450" width="29.140625" style="18" customWidth="1"/>
    <col min="8451" max="8451" width="12.85546875" style="18" bestFit="1" customWidth="1"/>
    <col min="8452" max="8452" width="9.42578125" style="18" customWidth="1"/>
    <col min="8453" max="8703" width="9.140625" style="18"/>
    <col min="8704" max="8704" width="35" style="18" customWidth="1"/>
    <col min="8705" max="8705" width="16" style="18" customWidth="1"/>
    <col min="8706" max="8706" width="29.140625" style="18" customWidth="1"/>
    <col min="8707" max="8707" width="12.85546875" style="18" bestFit="1" customWidth="1"/>
    <col min="8708" max="8708" width="9.42578125" style="18" customWidth="1"/>
    <col min="8709" max="8959" width="9.140625" style="18"/>
    <col min="8960" max="8960" width="35" style="18" customWidth="1"/>
    <col min="8961" max="8961" width="16" style="18" customWidth="1"/>
    <col min="8962" max="8962" width="29.140625" style="18" customWidth="1"/>
    <col min="8963" max="8963" width="12.85546875" style="18" bestFit="1" customWidth="1"/>
    <col min="8964" max="8964" width="9.42578125" style="18" customWidth="1"/>
    <col min="8965" max="9215" width="9.140625" style="18"/>
    <col min="9216" max="9216" width="35" style="18" customWidth="1"/>
    <col min="9217" max="9217" width="16" style="18" customWidth="1"/>
    <col min="9218" max="9218" width="29.140625" style="18" customWidth="1"/>
    <col min="9219" max="9219" width="12.85546875" style="18" bestFit="1" customWidth="1"/>
    <col min="9220" max="9220" width="9.42578125" style="18" customWidth="1"/>
    <col min="9221" max="9471" width="9.140625" style="18"/>
    <col min="9472" max="9472" width="35" style="18" customWidth="1"/>
    <col min="9473" max="9473" width="16" style="18" customWidth="1"/>
    <col min="9474" max="9474" width="29.140625" style="18" customWidth="1"/>
    <col min="9475" max="9475" width="12.85546875" style="18" bestFit="1" customWidth="1"/>
    <col min="9476" max="9476" width="9.42578125" style="18" customWidth="1"/>
    <col min="9477" max="9727" width="9.140625" style="18"/>
    <col min="9728" max="9728" width="35" style="18" customWidth="1"/>
    <col min="9729" max="9729" width="16" style="18" customWidth="1"/>
    <col min="9730" max="9730" width="29.140625" style="18" customWidth="1"/>
    <col min="9731" max="9731" width="12.85546875" style="18" bestFit="1" customWidth="1"/>
    <col min="9732" max="9732" width="9.42578125" style="18" customWidth="1"/>
    <col min="9733" max="9983" width="9.140625" style="18"/>
    <col min="9984" max="9984" width="35" style="18" customWidth="1"/>
    <col min="9985" max="9985" width="16" style="18" customWidth="1"/>
    <col min="9986" max="9986" width="29.140625" style="18" customWidth="1"/>
    <col min="9987" max="9987" width="12.85546875" style="18" bestFit="1" customWidth="1"/>
    <col min="9988" max="9988" width="9.42578125" style="18" customWidth="1"/>
    <col min="9989" max="10239" width="9.140625" style="18"/>
    <col min="10240" max="10240" width="35" style="18" customWidth="1"/>
    <col min="10241" max="10241" width="16" style="18" customWidth="1"/>
    <col min="10242" max="10242" width="29.140625" style="18" customWidth="1"/>
    <col min="10243" max="10243" width="12.85546875" style="18" bestFit="1" customWidth="1"/>
    <col min="10244" max="10244" width="9.42578125" style="18" customWidth="1"/>
    <col min="10245" max="10495" width="9.140625" style="18"/>
    <col min="10496" max="10496" width="35" style="18" customWidth="1"/>
    <col min="10497" max="10497" width="16" style="18" customWidth="1"/>
    <col min="10498" max="10498" width="29.140625" style="18" customWidth="1"/>
    <col min="10499" max="10499" width="12.85546875" style="18" bestFit="1" customWidth="1"/>
    <col min="10500" max="10500" width="9.42578125" style="18" customWidth="1"/>
    <col min="10501" max="10751" width="9.140625" style="18"/>
    <col min="10752" max="10752" width="35" style="18" customWidth="1"/>
    <col min="10753" max="10753" width="16" style="18" customWidth="1"/>
    <col min="10754" max="10754" width="29.140625" style="18" customWidth="1"/>
    <col min="10755" max="10755" width="12.85546875" style="18" bestFit="1" customWidth="1"/>
    <col min="10756" max="10756" width="9.42578125" style="18" customWidth="1"/>
    <col min="10757" max="11007" width="9.140625" style="18"/>
    <col min="11008" max="11008" width="35" style="18" customWidth="1"/>
    <col min="11009" max="11009" width="16" style="18" customWidth="1"/>
    <col min="11010" max="11010" width="29.140625" style="18" customWidth="1"/>
    <col min="11011" max="11011" width="12.85546875" style="18" bestFit="1" customWidth="1"/>
    <col min="11012" max="11012" width="9.42578125" style="18" customWidth="1"/>
    <col min="11013" max="11263" width="9.140625" style="18"/>
    <col min="11264" max="11264" width="35" style="18" customWidth="1"/>
    <col min="11265" max="11265" width="16" style="18" customWidth="1"/>
    <col min="11266" max="11266" width="29.140625" style="18" customWidth="1"/>
    <col min="11267" max="11267" width="12.85546875" style="18" bestFit="1" customWidth="1"/>
    <col min="11268" max="11268" width="9.42578125" style="18" customWidth="1"/>
    <col min="11269" max="11519" width="9.140625" style="18"/>
    <col min="11520" max="11520" width="35" style="18" customWidth="1"/>
    <col min="11521" max="11521" width="16" style="18" customWidth="1"/>
    <col min="11522" max="11522" width="29.140625" style="18" customWidth="1"/>
    <col min="11523" max="11523" width="12.85546875" style="18" bestFit="1" customWidth="1"/>
    <col min="11524" max="11524" width="9.42578125" style="18" customWidth="1"/>
    <col min="11525" max="11775" width="9.140625" style="18"/>
    <col min="11776" max="11776" width="35" style="18" customWidth="1"/>
    <col min="11777" max="11777" width="16" style="18" customWidth="1"/>
    <col min="11778" max="11778" width="29.140625" style="18" customWidth="1"/>
    <col min="11779" max="11779" width="12.85546875" style="18" bestFit="1" customWidth="1"/>
    <col min="11780" max="11780" width="9.42578125" style="18" customWidth="1"/>
    <col min="11781" max="12031" width="9.140625" style="18"/>
    <col min="12032" max="12032" width="35" style="18" customWidth="1"/>
    <col min="12033" max="12033" width="16" style="18" customWidth="1"/>
    <col min="12034" max="12034" width="29.140625" style="18" customWidth="1"/>
    <col min="12035" max="12035" width="12.85546875" style="18" bestFit="1" customWidth="1"/>
    <col min="12036" max="12036" width="9.42578125" style="18" customWidth="1"/>
    <col min="12037" max="12287" width="9.140625" style="18"/>
    <col min="12288" max="12288" width="35" style="18" customWidth="1"/>
    <col min="12289" max="12289" width="16" style="18" customWidth="1"/>
    <col min="12290" max="12290" width="29.140625" style="18" customWidth="1"/>
    <col min="12291" max="12291" width="12.85546875" style="18" bestFit="1" customWidth="1"/>
    <col min="12292" max="12292" width="9.42578125" style="18" customWidth="1"/>
    <col min="12293" max="12543" width="9.140625" style="18"/>
    <col min="12544" max="12544" width="35" style="18" customWidth="1"/>
    <col min="12545" max="12545" width="16" style="18" customWidth="1"/>
    <col min="12546" max="12546" width="29.140625" style="18" customWidth="1"/>
    <col min="12547" max="12547" width="12.85546875" style="18" bestFit="1" customWidth="1"/>
    <col min="12548" max="12548" width="9.42578125" style="18" customWidth="1"/>
    <col min="12549" max="12799" width="9.140625" style="18"/>
    <col min="12800" max="12800" width="35" style="18" customWidth="1"/>
    <col min="12801" max="12801" width="16" style="18" customWidth="1"/>
    <col min="12802" max="12802" width="29.140625" style="18" customWidth="1"/>
    <col min="12803" max="12803" width="12.85546875" style="18" bestFit="1" customWidth="1"/>
    <col min="12804" max="12804" width="9.42578125" style="18" customWidth="1"/>
    <col min="12805" max="13055" width="9.140625" style="18"/>
    <col min="13056" max="13056" width="35" style="18" customWidth="1"/>
    <col min="13057" max="13057" width="16" style="18" customWidth="1"/>
    <col min="13058" max="13058" width="29.140625" style="18" customWidth="1"/>
    <col min="13059" max="13059" width="12.85546875" style="18" bestFit="1" customWidth="1"/>
    <col min="13060" max="13060" width="9.42578125" style="18" customWidth="1"/>
    <col min="13061" max="13311" width="9.140625" style="18"/>
    <col min="13312" max="13312" width="35" style="18" customWidth="1"/>
    <col min="13313" max="13313" width="16" style="18" customWidth="1"/>
    <col min="13314" max="13314" width="29.140625" style="18" customWidth="1"/>
    <col min="13315" max="13315" width="12.85546875" style="18" bestFit="1" customWidth="1"/>
    <col min="13316" max="13316" width="9.42578125" style="18" customWidth="1"/>
    <col min="13317" max="13567" width="9.140625" style="18"/>
    <col min="13568" max="13568" width="35" style="18" customWidth="1"/>
    <col min="13569" max="13569" width="16" style="18" customWidth="1"/>
    <col min="13570" max="13570" width="29.140625" style="18" customWidth="1"/>
    <col min="13571" max="13571" width="12.85546875" style="18" bestFit="1" customWidth="1"/>
    <col min="13572" max="13572" width="9.42578125" style="18" customWidth="1"/>
    <col min="13573" max="13823" width="9.140625" style="18"/>
    <col min="13824" max="13824" width="35" style="18" customWidth="1"/>
    <col min="13825" max="13825" width="16" style="18" customWidth="1"/>
    <col min="13826" max="13826" width="29.140625" style="18" customWidth="1"/>
    <col min="13827" max="13827" width="12.85546875" style="18" bestFit="1" customWidth="1"/>
    <col min="13828" max="13828" width="9.42578125" style="18" customWidth="1"/>
    <col min="13829" max="14079" width="9.140625" style="18"/>
    <col min="14080" max="14080" width="35" style="18" customWidth="1"/>
    <col min="14081" max="14081" width="16" style="18" customWidth="1"/>
    <col min="14082" max="14082" width="29.140625" style="18" customWidth="1"/>
    <col min="14083" max="14083" width="12.85546875" style="18" bestFit="1" customWidth="1"/>
    <col min="14084" max="14084" width="9.42578125" style="18" customWidth="1"/>
    <col min="14085" max="14335" width="9.140625" style="18"/>
    <col min="14336" max="14336" width="35" style="18" customWidth="1"/>
    <col min="14337" max="14337" width="16" style="18" customWidth="1"/>
    <col min="14338" max="14338" width="29.140625" style="18" customWidth="1"/>
    <col min="14339" max="14339" width="12.85546875" style="18" bestFit="1" customWidth="1"/>
    <col min="14340" max="14340" width="9.42578125" style="18" customWidth="1"/>
    <col min="14341" max="14591" width="9.140625" style="18"/>
    <col min="14592" max="14592" width="35" style="18" customWidth="1"/>
    <col min="14593" max="14593" width="16" style="18" customWidth="1"/>
    <col min="14594" max="14594" width="29.140625" style="18" customWidth="1"/>
    <col min="14595" max="14595" width="12.85546875" style="18" bestFit="1" customWidth="1"/>
    <col min="14596" max="14596" width="9.42578125" style="18" customWidth="1"/>
    <col min="14597" max="14847" width="9.140625" style="18"/>
    <col min="14848" max="14848" width="35" style="18" customWidth="1"/>
    <col min="14849" max="14849" width="16" style="18" customWidth="1"/>
    <col min="14850" max="14850" width="29.140625" style="18" customWidth="1"/>
    <col min="14851" max="14851" width="12.85546875" style="18" bestFit="1" customWidth="1"/>
    <col min="14852" max="14852" width="9.42578125" style="18" customWidth="1"/>
    <col min="14853" max="15103" width="9.140625" style="18"/>
    <col min="15104" max="15104" width="35" style="18" customWidth="1"/>
    <col min="15105" max="15105" width="16" style="18" customWidth="1"/>
    <col min="15106" max="15106" width="29.140625" style="18" customWidth="1"/>
    <col min="15107" max="15107" width="12.85546875" style="18" bestFit="1" customWidth="1"/>
    <col min="15108" max="15108" width="9.42578125" style="18" customWidth="1"/>
    <col min="15109" max="15359" width="9.140625" style="18"/>
    <col min="15360" max="15360" width="35" style="18" customWidth="1"/>
    <col min="15361" max="15361" width="16" style="18" customWidth="1"/>
    <col min="15362" max="15362" width="29.140625" style="18" customWidth="1"/>
    <col min="15363" max="15363" width="12.85546875" style="18" bestFit="1" customWidth="1"/>
    <col min="15364" max="15364" width="9.42578125" style="18" customWidth="1"/>
    <col min="15365" max="15615" width="9.140625" style="18"/>
    <col min="15616" max="15616" width="35" style="18" customWidth="1"/>
    <col min="15617" max="15617" width="16" style="18" customWidth="1"/>
    <col min="15618" max="15618" width="29.140625" style="18" customWidth="1"/>
    <col min="15619" max="15619" width="12.85546875" style="18" bestFit="1" customWidth="1"/>
    <col min="15620" max="15620" width="9.42578125" style="18" customWidth="1"/>
    <col min="15621" max="15871" width="9.140625" style="18"/>
    <col min="15872" max="15872" width="35" style="18" customWidth="1"/>
    <col min="15873" max="15873" width="16" style="18" customWidth="1"/>
    <col min="15874" max="15874" width="29.140625" style="18" customWidth="1"/>
    <col min="15875" max="15875" width="12.85546875" style="18" bestFit="1" customWidth="1"/>
    <col min="15876" max="15876" width="9.42578125" style="18" customWidth="1"/>
    <col min="15877" max="16127" width="9.140625" style="18"/>
    <col min="16128" max="16128" width="35" style="18" customWidth="1"/>
    <col min="16129" max="16129" width="16" style="18" customWidth="1"/>
    <col min="16130" max="16130" width="29.140625" style="18" customWidth="1"/>
    <col min="16131" max="16131" width="12.85546875" style="18" bestFit="1" customWidth="1"/>
    <col min="16132" max="16132" width="9.42578125" style="18" customWidth="1"/>
    <col min="16133" max="16384" width="9.140625" style="18"/>
  </cols>
  <sheetData>
    <row r="1" spans="1:25">
      <c r="A1" s="16" t="s">
        <v>29</v>
      </c>
      <c r="B1" s="442"/>
      <c r="C1" s="443"/>
      <c r="D1" s="443"/>
      <c r="E1" s="443"/>
      <c r="F1" s="443"/>
      <c r="G1" s="443"/>
      <c r="H1" s="443"/>
      <c r="I1" s="443"/>
      <c r="J1" s="443"/>
      <c r="K1" s="443"/>
      <c r="L1" s="443"/>
      <c r="M1" s="443"/>
      <c r="N1" s="443"/>
      <c r="O1" s="443"/>
      <c r="P1" s="443"/>
      <c r="Q1" s="443"/>
      <c r="R1" s="443"/>
      <c r="S1" s="444"/>
      <c r="T1" s="17"/>
      <c r="U1" s="17"/>
      <c r="V1" s="17"/>
      <c r="W1" s="17"/>
    </row>
    <row r="2" spans="1:25">
      <c r="A2" s="19"/>
      <c r="B2" s="445"/>
      <c r="C2" s="445"/>
      <c r="D2" s="445"/>
      <c r="E2" s="445"/>
      <c r="F2" s="445"/>
      <c r="G2" s="445"/>
      <c r="H2" s="445"/>
      <c r="I2" s="445"/>
      <c r="J2" s="445"/>
      <c r="K2" s="445"/>
      <c r="L2" s="445"/>
      <c r="M2" s="445"/>
      <c r="N2" s="445"/>
      <c r="O2" s="445"/>
      <c r="P2" s="445"/>
      <c r="Q2" s="445"/>
      <c r="R2" s="445"/>
      <c r="S2" s="446"/>
      <c r="T2" s="20"/>
      <c r="U2" s="20"/>
      <c r="V2" s="20"/>
      <c r="W2" s="20"/>
    </row>
    <row r="3" spans="1:25">
      <c r="A3" s="19"/>
      <c r="B3" s="445"/>
      <c r="C3" s="445"/>
      <c r="D3" s="445"/>
      <c r="E3" s="445"/>
      <c r="F3" s="445"/>
      <c r="G3" s="445"/>
      <c r="H3" s="445"/>
      <c r="I3" s="445"/>
      <c r="J3" s="445"/>
      <c r="K3" s="445"/>
      <c r="L3" s="445"/>
      <c r="M3" s="445"/>
      <c r="N3" s="445"/>
      <c r="O3" s="445"/>
      <c r="P3" s="445"/>
      <c r="Q3" s="445"/>
      <c r="R3" s="445"/>
      <c r="S3" s="446"/>
      <c r="T3" s="20"/>
      <c r="U3" s="20"/>
      <c r="V3" s="20"/>
      <c r="W3" s="20"/>
    </row>
    <row r="4" spans="1:25">
      <c r="A4" s="19"/>
      <c r="B4" s="445"/>
      <c r="C4" s="445"/>
      <c r="D4" s="445"/>
      <c r="E4" s="445"/>
      <c r="F4" s="445"/>
      <c r="G4" s="445"/>
      <c r="H4" s="445"/>
      <c r="I4" s="445"/>
      <c r="J4" s="445"/>
      <c r="K4" s="445"/>
      <c r="L4" s="445"/>
      <c r="M4" s="445"/>
      <c r="N4" s="445"/>
      <c r="O4" s="445"/>
      <c r="P4" s="445"/>
      <c r="Q4" s="445"/>
      <c r="R4" s="445"/>
      <c r="S4" s="446"/>
      <c r="T4" s="20"/>
      <c r="U4" s="20"/>
      <c r="V4" s="20"/>
      <c r="W4" s="20"/>
    </row>
    <row r="5" spans="1:25">
      <c r="A5" s="21"/>
      <c r="B5" s="445"/>
      <c r="C5" s="445"/>
      <c r="D5" s="447"/>
      <c r="E5" s="447"/>
      <c r="F5" s="447"/>
      <c r="G5" s="447"/>
      <c r="H5" s="447"/>
      <c r="I5" s="447"/>
      <c r="J5" s="447"/>
      <c r="K5" s="447"/>
      <c r="L5" s="447"/>
      <c r="M5" s="447"/>
      <c r="N5" s="447"/>
      <c r="O5" s="447"/>
      <c r="P5" s="447"/>
      <c r="Q5" s="447"/>
      <c r="R5" s="447"/>
      <c r="S5" s="448"/>
      <c r="T5" s="20"/>
      <c r="U5" s="20"/>
      <c r="V5" s="20"/>
      <c r="W5" s="20"/>
    </row>
    <row r="6" spans="1:25">
      <c r="A6" s="432"/>
      <c r="B6" s="23"/>
      <c r="C6" s="23"/>
      <c r="D6" s="24"/>
      <c r="E6" s="25"/>
      <c r="F6" s="25"/>
      <c r="G6" s="25"/>
      <c r="H6" s="25"/>
      <c r="I6" s="25"/>
      <c r="J6" s="25"/>
      <c r="K6" s="25"/>
      <c r="L6" s="25"/>
      <c r="M6" s="25"/>
      <c r="N6" s="25"/>
      <c r="O6" s="25"/>
      <c r="P6" s="25"/>
      <c r="Q6" s="25"/>
      <c r="R6" s="25"/>
      <c r="S6" s="26"/>
      <c r="T6" s="20"/>
      <c r="U6" s="20"/>
      <c r="V6" s="20"/>
      <c r="W6" s="20"/>
    </row>
    <row r="7" spans="1:25">
      <c r="A7" s="349"/>
      <c r="B7" s="350" t="s">
        <v>30</v>
      </c>
      <c r="C7" s="351" t="s">
        <v>31</v>
      </c>
      <c r="D7" s="352" t="s">
        <v>987</v>
      </c>
    </row>
    <row r="8" spans="1:25">
      <c r="A8" s="353" t="s">
        <v>919</v>
      </c>
      <c r="B8" s="354" t="s">
        <v>33</v>
      </c>
      <c r="C8" s="355" t="s">
        <v>443</v>
      </c>
      <c r="D8" s="356" t="str">
        <f>[2]!switch_ForecastState</f>
        <v>Region</v>
      </c>
      <c r="E8" s="28"/>
    </row>
    <row r="9" spans="1:25">
      <c r="A9" s="353" t="str">
        <f>INDEX([1]ACHIEV!$A$19:$B$100,MATCH(C8,[1]ACHIEV!$B$19:$B$100,0),1)</f>
        <v>HVAC</v>
      </c>
      <c r="B9" s="357" t="s">
        <v>35</v>
      </c>
      <c r="C9" s="355">
        <f>[1]FILES!$H$4</f>
        <v>2035</v>
      </c>
      <c r="D9" s="356" t="str">
        <f>[2]!switch_ForecastScenario</f>
        <v>Base</v>
      </c>
      <c r="E9" s="29"/>
    </row>
    <row r="10" spans="1:25">
      <c r="A10" s="358"/>
      <c r="B10" s="359" t="s">
        <v>36</v>
      </c>
      <c r="C10" s="360">
        <f>MIN(SUM(E79:X79),Y79)</f>
        <v>76.986931526097095</v>
      </c>
      <c r="D10" s="431"/>
      <c r="E10" s="18">
        <v>1</v>
      </c>
      <c r="F10" s="18">
        <f>E10+1</f>
        <v>2</v>
      </c>
      <c r="G10" s="18">
        <f t="shared" ref="G10:X11" si="0">F10+1</f>
        <v>3</v>
      </c>
      <c r="H10" s="18">
        <f t="shared" si="0"/>
        <v>4</v>
      </c>
      <c r="I10" s="18">
        <f t="shared" si="0"/>
        <v>5</v>
      </c>
      <c r="J10" s="18">
        <f t="shared" si="0"/>
        <v>6</v>
      </c>
      <c r="K10" s="18">
        <f t="shared" si="0"/>
        <v>7</v>
      </c>
      <c r="L10" s="18">
        <f t="shared" si="0"/>
        <v>8</v>
      </c>
      <c r="M10" s="18">
        <f t="shared" si="0"/>
        <v>9</v>
      </c>
      <c r="N10" s="18">
        <f t="shared" si="0"/>
        <v>10</v>
      </c>
      <c r="O10" s="18">
        <f t="shared" si="0"/>
        <v>11</v>
      </c>
      <c r="P10" s="18">
        <f t="shared" si="0"/>
        <v>12</v>
      </c>
      <c r="Q10" s="18">
        <f t="shared" si="0"/>
        <v>13</v>
      </c>
      <c r="R10" s="18">
        <f t="shared" si="0"/>
        <v>14</v>
      </c>
      <c r="S10" s="18">
        <f t="shared" si="0"/>
        <v>15</v>
      </c>
      <c r="T10" s="18">
        <f t="shared" si="0"/>
        <v>16</v>
      </c>
      <c r="U10" s="18">
        <f t="shared" si="0"/>
        <v>17</v>
      </c>
      <c r="V10" s="18">
        <f t="shared" si="0"/>
        <v>18</v>
      </c>
      <c r="W10" s="18">
        <f t="shared" si="0"/>
        <v>19</v>
      </c>
      <c r="X10" s="18">
        <f t="shared" si="0"/>
        <v>20</v>
      </c>
    </row>
    <row r="11" spans="1:25">
      <c r="A11" s="27" t="s">
        <v>37</v>
      </c>
      <c r="B11" s="27"/>
      <c r="C11" s="27"/>
      <c r="D11" s="27"/>
      <c r="E11" s="27">
        <f>C9-20+1</f>
        <v>2016</v>
      </c>
      <c r="F11" s="27">
        <f>E11+1</f>
        <v>2017</v>
      </c>
      <c r="G11" s="27">
        <f t="shared" si="0"/>
        <v>2018</v>
      </c>
      <c r="H11" s="27">
        <f t="shared" si="0"/>
        <v>2019</v>
      </c>
      <c r="I11" s="27">
        <f t="shared" si="0"/>
        <v>2020</v>
      </c>
      <c r="J11" s="27">
        <f t="shared" si="0"/>
        <v>2021</v>
      </c>
      <c r="K11" s="27">
        <f t="shared" si="0"/>
        <v>2022</v>
      </c>
      <c r="L11" s="27">
        <f t="shared" si="0"/>
        <v>2023</v>
      </c>
      <c r="M11" s="27">
        <f t="shared" si="0"/>
        <v>2024</v>
      </c>
      <c r="N11" s="27">
        <f t="shared" si="0"/>
        <v>2025</v>
      </c>
      <c r="O11" s="27">
        <f t="shared" si="0"/>
        <v>2026</v>
      </c>
      <c r="P11" s="27">
        <f t="shared" si="0"/>
        <v>2027</v>
      </c>
      <c r="Q11" s="27">
        <f t="shared" si="0"/>
        <v>2028</v>
      </c>
      <c r="R11" s="27">
        <f t="shared" si="0"/>
        <v>2029</v>
      </c>
      <c r="S11" s="27">
        <f t="shared" si="0"/>
        <v>2030</v>
      </c>
      <c r="T11" s="27">
        <f t="shared" si="0"/>
        <v>2031</v>
      </c>
      <c r="U11" s="27">
        <f t="shared" si="0"/>
        <v>2032</v>
      </c>
      <c r="V11" s="27">
        <f t="shared" si="0"/>
        <v>2033</v>
      </c>
      <c r="W11" s="27">
        <f t="shared" si="0"/>
        <v>2034</v>
      </c>
      <c r="X11" s="27">
        <f t="shared" si="0"/>
        <v>2035</v>
      </c>
    </row>
    <row r="12" spans="1:25">
      <c r="A12" s="27"/>
      <c r="B12" s="27"/>
      <c r="C12" s="27"/>
      <c r="D12" s="27"/>
      <c r="E12" s="27" t="str">
        <f>CONCATENATE("FLOOR_",E11)</f>
        <v>FLOOR_2016</v>
      </c>
      <c r="F12" s="27" t="str">
        <f t="shared" ref="F12:X12" si="1">CONCATENATE("FLOOR_",F11)</f>
        <v>FLOOR_2017</v>
      </c>
      <c r="G12" s="27" t="str">
        <f t="shared" si="1"/>
        <v>FLOOR_2018</v>
      </c>
      <c r="H12" s="27" t="str">
        <f t="shared" si="1"/>
        <v>FLOOR_2019</v>
      </c>
      <c r="I12" s="27" t="str">
        <f t="shared" si="1"/>
        <v>FLOOR_2020</v>
      </c>
      <c r="J12" s="27" t="str">
        <f t="shared" si="1"/>
        <v>FLOOR_2021</v>
      </c>
      <c r="K12" s="27" t="str">
        <f t="shared" si="1"/>
        <v>FLOOR_2022</v>
      </c>
      <c r="L12" s="27" t="str">
        <f t="shared" si="1"/>
        <v>FLOOR_2023</v>
      </c>
      <c r="M12" s="27" t="str">
        <f t="shared" si="1"/>
        <v>FLOOR_2024</v>
      </c>
      <c r="N12" s="27" t="str">
        <f t="shared" si="1"/>
        <v>FLOOR_2025</v>
      </c>
      <c r="O12" s="27" t="str">
        <f t="shared" si="1"/>
        <v>FLOOR_2026</v>
      </c>
      <c r="P12" s="27" t="str">
        <f t="shared" si="1"/>
        <v>FLOOR_2027</v>
      </c>
      <c r="Q12" s="27" t="str">
        <f t="shared" si="1"/>
        <v>FLOOR_2028</v>
      </c>
      <c r="R12" s="27" t="str">
        <f t="shared" si="1"/>
        <v>FLOOR_2029</v>
      </c>
      <c r="S12" s="27" t="str">
        <f t="shared" si="1"/>
        <v>FLOOR_2030</v>
      </c>
      <c r="T12" s="27" t="str">
        <f t="shared" si="1"/>
        <v>FLOOR_2031</v>
      </c>
      <c r="U12" s="27" t="str">
        <f t="shared" si="1"/>
        <v>FLOOR_2032</v>
      </c>
      <c r="V12" s="27" t="str">
        <f t="shared" si="1"/>
        <v>FLOOR_2033</v>
      </c>
      <c r="W12" s="27" t="str">
        <f t="shared" si="1"/>
        <v>FLOOR_2034</v>
      </c>
      <c r="X12" s="27" t="str">
        <f t="shared" si="1"/>
        <v>FLOOR_2035</v>
      </c>
    </row>
    <row r="13" spans="1:25">
      <c r="C13" s="18" t="s">
        <v>148</v>
      </c>
      <c r="E13" s="28">
        <f>INDEX([2]!tbl_Forecast,MATCH($D$8&amp;$C13&amp;$D$7,[2]!rng_ForecastRowLookup,0),MATCH(E$11,[2]!rng_ForecastColumnLookup,0))</f>
        <v>380.08828477966154</v>
      </c>
      <c r="F13" s="28">
        <f>INDEX([2]!tbl_Forecast,MATCH($D$8&amp;$C13&amp;$D$7,[2]!rng_ForecastRowLookup,0),MATCH(F$11,[2]!rng_ForecastColumnLookup,0))</f>
        <v>378.94801992532251</v>
      </c>
      <c r="G13" s="28">
        <f>INDEX([2]!tbl_Forecast,MATCH($D$8&amp;$C13&amp;$D$7,[2]!rng_ForecastRowLookup,0),MATCH(G$11,[2]!rng_ForecastColumnLookup,0))</f>
        <v>377.81117586554655</v>
      </c>
      <c r="H13" s="28">
        <f>INDEX([2]!tbl_Forecast,MATCH($D$8&amp;$C13&amp;$D$7,[2]!rng_ForecastRowLookup,0),MATCH(H$11,[2]!rng_ForecastColumnLookup,0))</f>
        <v>376.67774233794995</v>
      </c>
      <c r="I13" s="28">
        <f>INDEX([2]!tbl_Forecast,MATCH($D$8&amp;$C13&amp;$D$7,[2]!rng_ForecastRowLookup,0),MATCH(I$11,[2]!rng_ForecastColumnLookup,0))</f>
        <v>375.54770911093607</v>
      </c>
      <c r="J13" s="28">
        <f>INDEX([2]!tbl_Forecast,MATCH($D$8&amp;$C13&amp;$D$7,[2]!rng_ForecastRowLookup,0),MATCH(J$11,[2]!rng_ForecastColumnLookup,0))</f>
        <v>374.42106598360328</v>
      </c>
      <c r="K13" s="28">
        <f>INDEX([2]!tbl_Forecast,MATCH($D$8&amp;$C13&amp;$D$7,[2]!rng_ForecastRowLookup,0),MATCH(K$11,[2]!rng_ForecastColumnLookup,0))</f>
        <v>373.29780278565244</v>
      </c>
      <c r="L13" s="28">
        <f>INDEX([2]!tbl_Forecast,MATCH($D$8&amp;$C13&amp;$D$7,[2]!rng_ForecastRowLookup,0),MATCH(L$11,[2]!rng_ForecastColumnLookup,0))</f>
        <v>372.17790937729552</v>
      </c>
      <c r="M13" s="28">
        <f>INDEX([2]!tbl_Forecast,MATCH($D$8&amp;$C13&amp;$D$7,[2]!rng_ForecastRowLookup,0),MATCH(M$11,[2]!rng_ForecastColumnLookup,0))</f>
        <v>371.06137564916361</v>
      </c>
      <c r="N13" s="28">
        <f>INDEX([2]!tbl_Forecast,MATCH($D$8&amp;$C13&amp;$D$7,[2]!rng_ForecastRowLookup,0),MATCH(N$11,[2]!rng_ForecastColumnLookup,0))</f>
        <v>369.94819152221612</v>
      </c>
      <c r="O13" s="28">
        <f>INDEX([2]!tbl_Forecast,MATCH($D$8&amp;$C13&amp;$D$7,[2]!rng_ForecastRowLookup,0),MATCH(O$11,[2]!rng_ForecastColumnLookup,0))</f>
        <v>368.83834694764948</v>
      </c>
      <c r="P13" s="28">
        <f>INDEX([2]!tbl_Forecast,MATCH($D$8&amp;$C13&amp;$D$7,[2]!rng_ForecastRowLookup,0),MATCH(P$11,[2]!rng_ForecastColumnLookup,0))</f>
        <v>367.73183190680658</v>
      </c>
      <c r="Q13" s="28">
        <f>INDEX([2]!tbl_Forecast,MATCH($D$8&amp;$C13&amp;$D$7,[2]!rng_ForecastRowLookup,0),MATCH(Q$11,[2]!rng_ForecastColumnLookup,0))</f>
        <v>366.62863641108612</v>
      </c>
      <c r="R13" s="28">
        <f>INDEX([2]!tbl_Forecast,MATCH($D$8&amp;$C13&amp;$D$7,[2]!rng_ForecastRowLookup,0),MATCH(R$11,[2]!rng_ForecastColumnLookup,0))</f>
        <v>365.52875050185287</v>
      </c>
      <c r="S13" s="28">
        <f>INDEX([2]!tbl_Forecast,MATCH($D$8&amp;$C13&amp;$D$7,[2]!rng_ForecastRowLookup,0),MATCH(S$11,[2]!rng_ForecastColumnLookup,0))</f>
        <v>364.43216425034728</v>
      </c>
      <c r="T13" s="28">
        <f>INDEX([2]!tbl_Forecast,MATCH($D$8&amp;$C13&amp;$D$7,[2]!rng_ForecastRowLookup,0),MATCH(T$11,[2]!rng_ForecastColumnLookup,0))</f>
        <v>363.33886775759629</v>
      </c>
      <c r="U13" s="28">
        <f>INDEX([2]!tbl_Forecast,MATCH($D$8&amp;$C13&amp;$D$7,[2]!rng_ForecastRowLookup,0),MATCH(U$11,[2]!rng_ForecastColumnLookup,0))</f>
        <v>362.24885115432346</v>
      </c>
      <c r="V13" s="28">
        <f>INDEX([2]!tbl_Forecast,MATCH($D$8&amp;$C13&amp;$D$7,[2]!rng_ForecastRowLookup,0),MATCH(V$11,[2]!rng_ForecastColumnLookup,0))</f>
        <v>361.16210460086046</v>
      </c>
      <c r="W13" s="28">
        <f>INDEX([2]!tbl_Forecast,MATCH($D$8&amp;$C13&amp;$D$7,[2]!rng_ForecastRowLookup,0),MATCH(W$11,[2]!rng_ForecastColumnLookup,0))</f>
        <v>360.07861828705791</v>
      </c>
      <c r="X13" s="28">
        <f>INDEX([2]!tbl_Forecast,MATCH($D$8&amp;$C13&amp;$D$7,[2]!rng_ForecastRowLookup,0),MATCH(X$11,[2]!rng_ForecastColumnLookup,0))</f>
        <v>358.99838243219671</v>
      </c>
      <c r="Y13" s="32"/>
    </row>
    <row r="14" spans="1:25">
      <c r="C14" s="18" t="s">
        <v>149</v>
      </c>
      <c r="E14" s="28">
        <f>INDEX([2]!tbl_Forecast,MATCH($D$8&amp;$C14&amp;$D$7,[2]!rng_ForecastRowLookup,0),MATCH(E$11,[2]!rng_ForecastColumnLookup,0))</f>
        <v>190.73687138333023</v>
      </c>
      <c r="F14" s="28">
        <f>INDEX([2]!tbl_Forecast,MATCH($D$8&amp;$C14&amp;$D$7,[2]!rng_ForecastRowLookup,0),MATCH(F$11,[2]!rng_ForecastColumnLookup,0))</f>
        <v>190.16466076918024</v>
      </c>
      <c r="G14" s="28">
        <f>INDEX([2]!tbl_Forecast,MATCH($D$8&amp;$C14&amp;$D$7,[2]!rng_ForecastRowLookup,0),MATCH(G$11,[2]!rng_ForecastColumnLookup,0))</f>
        <v>189.59416678687271</v>
      </c>
      <c r="H14" s="28">
        <f>INDEX([2]!tbl_Forecast,MATCH($D$8&amp;$C14&amp;$D$7,[2]!rng_ForecastRowLookup,0),MATCH(H$11,[2]!rng_ForecastColumnLookup,0))</f>
        <v>189.02538428651209</v>
      </c>
      <c r="I14" s="28">
        <f>INDEX([2]!tbl_Forecast,MATCH($D$8&amp;$C14&amp;$D$7,[2]!rng_ForecastRowLookup,0),MATCH(I$11,[2]!rng_ForecastColumnLookup,0))</f>
        <v>188.45830813365254</v>
      </c>
      <c r="J14" s="28">
        <f>INDEX([2]!tbl_Forecast,MATCH($D$8&amp;$C14&amp;$D$7,[2]!rng_ForecastRowLookup,0),MATCH(J$11,[2]!rng_ForecastColumnLookup,0))</f>
        <v>187.89293320925157</v>
      </c>
      <c r="K14" s="28">
        <f>INDEX([2]!tbl_Forecast,MATCH($D$8&amp;$C14&amp;$D$7,[2]!rng_ForecastRowLookup,0),MATCH(K$11,[2]!rng_ForecastColumnLookup,0))</f>
        <v>187.32925440962381</v>
      </c>
      <c r="L14" s="28">
        <f>INDEX([2]!tbl_Forecast,MATCH($D$8&amp;$C14&amp;$D$7,[2]!rng_ForecastRowLookup,0),MATCH(L$11,[2]!rng_ForecastColumnLookup,0))</f>
        <v>186.76726664639497</v>
      </c>
      <c r="M14" s="28">
        <f>INDEX([2]!tbl_Forecast,MATCH($D$8&amp;$C14&amp;$D$7,[2]!rng_ForecastRowLookup,0),MATCH(M$11,[2]!rng_ForecastColumnLookup,0))</f>
        <v>186.20696484645578</v>
      </c>
      <c r="N14" s="28">
        <f>INDEX([2]!tbl_Forecast,MATCH($D$8&amp;$C14&amp;$D$7,[2]!rng_ForecastRowLookup,0),MATCH(N$11,[2]!rng_ForecastColumnLookup,0))</f>
        <v>185.64834395191642</v>
      </c>
      <c r="O14" s="28">
        <f>INDEX([2]!tbl_Forecast,MATCH($D$8&amp;$C14&amp;$D$7,[2]!rng_ForecastRowLookup,0),MATCH(O$11,[2]!rng_ForecastColumnLookup,0))</f>
        <v>185.09139892006067</v>
      </c>
      <c r="P14" s="28">
        <f>INDEX([2]!tbl_Forecast,MATCH($D$8&amp;$C14&amp;$D$7,[2]!rng_ForecastRowLookup,0),MATCH(P$11,[2]!rng_ForecastColumnLookup,0))</f>
        <v>184.5361247233005</v>
      </c>
      <c r="Q14" s="28">
        <f>INDEX([2]!tbl_Forecast,MATCH($D$8&amp;$C14&amp;$D$7,[2]!rng_ForecastRowLookup,0),MATCH(Q$11,[2]!rng_ForecastColumnLookup,0))</f>
        <v>183.98251634913058</v>
      </c>
      <c r="R14" s="28">
        <f>INDEX([2]!tbl_Forecast,MATCH($D$8&amp;$C14&amp;$D$7,[2]!rng_ForecastRowLookup,0),MATCH(R$11,[2]!rng_ForecastColumnLookup,0))</f>
        <v>183.43056880008319</v>
      </c>
      <c r="S14" s="28">
        <f>INDEX([2]!tbl_Forecast,MATCH($D$8&amp;$C14&amp;$D$7,[2]!rng_ForecastRowLookup,0),MATCH(S$11,[2]!rng_ForecastColumnLookup,0))</f>
        <v>182.88027709368296</v>
      </c>
      <c r="T14" s="28">
        <f>INDEX([2]!tbl_Forecast,MATCH($D$8&amp;$C14&amp;$D$7,[2]!rng_ForecastRowLookup,0),MATCH(T$11,[2]!rng_ForecastColumnLookup,0))</f>
        <v>182.33163626240187</v>
      </c>
      <c r="U14" s="28">
        <f>INDEX([2]!tbl_Forecast,MATCH($D$8&amp;$C14&amp;$D$7,[2]!rng_ForecastRowLookup,0),MATCH(U$11,[2]!rng_ForecastColumnLookup,0))</f>
        <v>181.78464135361469</v>
      </c>
      <c r="V14" s="28">
        <f>INDEX([2]!tbl_Forecast,MATCH($D$8&amp;$C14&amp;$D$7,[2]!rng_ForecastRowLookup,0),MATCH(V$11,[2]!rng_ForecastColumnLookup,0))</f>
        <v>181.23928742955383</v>
      </c>
      <c r="W14" s="28">
        <f>INDEX([2]!tbl_Forecast,MATCH($D$8&amp;$C14&amp;$D$7,[2]!rng_ForecastRowLookup,0),MATCH(W$11,[2]!rng_ForecastColumnLookup,0))</f>
        <v>180.69556956726515</v>
      </c>
      <c r="X14" s="28">
        <f>INDEX([2]!tbl_Forecast,MATCH($D$8&amp;$C14&amp;$D$7,[2]!rng_ForecastRowLookup,0),MATCH(X$11,[2]!rng_ForecastColumnLookup,0))</f>
        <v>180.15348285856339</v>
      </c>
      <c r="Y14" s="32"/>
    </row>
    <row r="15" spans="1:25">
      <c r="C15" s="18" t="s">
        <v>150</v>
      </c>
      <c r="E15" s="28">
        <f>INDEX([2]!tbl_Forecast,MATCH($D$8&amp;$C15&amp;$D$7,[2]!rng_ForecastRowLookup,0),MATCH(E$11,[2]!rng_ForecastColumnLookup,0))</f>
        <v>184.0913556049378</v>
      </c>
      <c r="F15" s="28">
        <f>INDEX([2]!tbl_Forecast,MATCH($D$8&amp;$C15&amp;$D$7,[2]!rng_ForecastRowLookup,0),MATCH(F$11,[2]!rng_ForecastColumnLookup,0))</f>
        <v>183.53908153812301</v>
      </c>
      <c r="G15" s="28">
        <f>INDEX([2]!tbl_Forecast,MATCH($D$8&amp;$C15&amp;$D$7,[2]!rng_ForecastRowLookup,0),MATCH(G$11,[2]!rng_ForecastColumnLookup,0))</f>
        <v>182.98846429350866</v>
      </c>
      <c r="H15" s="28">
        <f>INDEX([2]!tbl_Forecast,MATCH($D$8&amp;$C15&amp;$D$7,[2]!rng_ForecastRowLookup,0),MATCH(H$11,[2]!rng_ForecastColumnLookup,0))</f>
        <v>182.43949890062811</v>
      </c>
      <c r="I15" s="28">
        <f>INDEX([2]!tbl_Forecast,MATCH($D$8&amp;$C15&amp;$D$7,[2]!rng_ForecastRowLookup,0),MATCH(I$11,[2]!rng_ForecastColumnLookup,0))</f>
        <v>181.89218040392623</v>
      </c>
      <c r="J15" s="28">
        <f>INDEX([2]!tbl_Forecast,MATCH($D$8&amp;$C15&amp;$D$7,[2]!rng_ForecastRowLookup,0),MATCH(J$11,[2]!rng_ForecastColumnLookup,0))</f>
        <v>181.34650386271446</v>
      </c>
      <c r="K15" s="28">
        <f>INDEX([2]!tbl_Forecast,MATCH($D$8&amp;$C15&amp;$D$7,[2]!rng_ForecastRowLookup,0),MATCH(K$11,[2]!rng_ForecastColumnLookup,0))</f>
        <v>180.80246435112633</v>
      </c>
      <c r="L15" s="28">
        <f>INDEX([2]!tbl_Forecast,MATCH($D$8&amp;$C15&amp;$D$7,[2]!rng_ForecastRowLookup,0),MATCH(L$11,[2]!rng_ForecastColumnLookup,0))</f>
        <v>180.26005695807294</v>
      </c>
      <c r="M15" s="28">
        <f>INDEX([2]!tbl_Forecast,MATCH($D$8&amp;$C15&amp;$D$7,[2]!rng_ForecastRowLookup,0),MATCH(M$11,[2]!rng_ForecastColumnLookup,0))</f>
        <v>179.71927678719871</v>
      </c>
      <c r="N15" s="28">
        <f>INDEX([2]!tbl_Forecast,MATCH($D$8&amp;$C15&amp;$D$7,[2]!rng_ForecastRowLookup,0),MATCH(N$11,[2]!rng_ForecastColumnLookup,0))</f>
        <v>179.18011895683713</v>
      </c>
      <c r="O15" s="28">
        <f>INDEX([2]!tbl_Forecast,MATCH($D$8&amp;$C15&amp;$D$7,[2]!rng_ForecastRowLookup,0),MATCH(O$11,[2]!rng_ForecastColumnLookup,0))</f>
        <v>178.64257859996661</v>
      </c>
      <c r="P15" s="28">
        <f>INDEX([2]!tbl_Forecast,MATCH($D$8&amp;$C15&amp;$D$7,[2]!rng_ForecastRowLookup,0),MATCH(P$11,[2]!rng_ForecastColumnLookup,0))</f>
        <v>178.10665086416668</v>
      </c>
      <c r="Q15" s="28">
        <f>INDEX([2]!tbl_Forecast,MATCH($D$8&amp;$C15&amp;$D$7,[2]!rng_ForecastRowLookup,0),MATCH(Q$11,[2]!rng_ForecastColumnLookup,0))</f>
        <v>177.57233091157423</v>
      </c>
      <c r="R15" s="28">
        <f>INDEX([2]!tbl_Forecast,MATCH($D$8&amp;$C15&amp;$D$7,[2]!rng_ForecastRowLookup,0),MATCH(R$11,[2]!rng_ForecastColumnLookup,0))</f>
        <v>177.03961391883951</v>
      </c>
      <c r="S15" s="28">
        <f>INDEX([2]!tbl_Forecast,MATCH($D$8&amp;$C15&amp;$D$7,[2]!rng_ForecastRowLookup,0),MATCH(S$11,[2]!rng_ForecastColumnLookup,0))</f>
        <v>176.50849507708296</v>
      </c>
      <c r="T15" s="28">
        <f>INDEX([2]!tbl_Forecast,MATCH($D$8&amp;$C15&amp;$D$7,[2]!rng_ForecastRowLookup,0),MATCH(T$11,[2]!rng_ForecastColumnLookup,0))</f>
        <v>175.97896959185172</v>
      </c>
      <c r="U15" s="28">
        <f>INDEX([2]!tbl_Forecast,MATCH($D$8&amp;$C15&amp;$D$7,[2]!rng_ForecastRowLookup,0),MATCH(U$11,[2]!rng_ForecastColumnLookup,0))</f>
        <v>175.45103268307616</v>
      </c>
      <c r="V15" s="28">
        <f>INDEX([2]!tbl_Forecast,MATCH($D$8&amp;$C15&amp;$D$7,[2]!rng_ForecastRowLookup,0),MATCH(V$11,[2]!rng_ForecastColumnLookup,0))</f>
        <v>174.92467958502692</v>
      </c>
      <c r="W15" s="28">
        <f>INDEX([2]!tbl_Forecast,MATCH($D$8&amp;$C15&amp;$D$7,[2]!rng_ForecastRowLookup,0),MATCH(W$11,[2]!rng_ForecastColumnLookup,0))</f>
        <v>174.39990554627184</v>
      </c>
      <c r="X15" s="28">
        <f>INDEX([2]!tbl_Forecast,MATCH($D$8&amp;$C15&amp;$D$7,[2]!rng_ForecastRowLookup,0),MATCH(X$11,[2]!rng_ForecastColumnLookup,0))</f>
        <v>173.87670582963304</v>
      </c>
      <c r="Y15" s="32"/>
    </row>
    <row r="16" spans="1:25">
      <c r="C16" s="54" t="s">
        <v>195</v>
      </c>
      <c r="E16" s="28">
        <f>INDEX([2]!tbl_Forecast,MATCH($D$8&amp;$C16&amp;$D$7,[2]!rng_ForecastRowLookup,0),MATCH(E$11,[2]!rng_ForecastColumnLookup,0))</f>
        <v>138.35734062238015</v>
      </c>
      <c r="F16" s="28">
        <f>INDEX([2]!tbl_Forecast,MATCH($D$8&amp;$C16&amp;$D$7,[2]!rng_ForecastRowLookup,0),MATCH(F$11,[2]!rng_ForecastColumnLookup,0))</f>
        <v>137.7208968555172</v>
      </c>
      <c r="G16" s="28">
        <f>INDEX([2]!tbl_Forecast,MATCH($D$8&amp;$C16&amp;$D$7,[2]!rng_ForecastRowLookup,0),MATCH(G$11,[2]!rng_ForecastColumnLookup,0))</f>
        <v>137.08738072998179</v>
      </c>
      <c r="H16" s="28">
        <f>INDEX([2]!tbl_Forecast,MATCH($D$8&amp;$C16&amp;$D$7,[2]!rng_ForecastRowLookup,0),MATCH(H$11,[2]!rng_ForecastColumnLookup,0))</f>
        <v>136.45677877862389</v>
      </c>
      <c r="I16" s="28">
        <f>INDEX([2]!tbl_Forecast,MATCH($D$8&amp;$C16&amp;$D$7,[2]!rng_ForecastRowLookup,0),MATCH(I$11,[2]!rng_ForecastColumnLookup,0))</f>
        <v>135.8290775962422</v>
      </c>
      <c r="J16" s="28">
        <f>INDEX([2]!tbl_Forecast,MATCH($D$8&amp;$C16&amp;$D$7,[2]!rng_ForecastRowLookup,0),MATCH(J$11,[2]!rng_ForecastColumnLookup,0))</f>
        <v>135.20426383929947</v>
      </c>
      <c r="K16" s="28">
        <f>INDEX([2]!tbl_Forecast,MATCH($D$8&amp;$C16&amp;$D$7,[2]!rng_ForecastRowLookup,0),MATCH(K$11,[2]!rng_ForecastColumnLookup,0))</f>
        <v>134.5823242256387</v>
      </c>
      <c r="L16" s="28">
        <f>INDEX([2]!tbl_Forecast,MATCH($D$8&amp;$C16&amp;$D$7,[2]!rng_ForecastRowLookup,0),MATCH(L$11,[2]!rng_ForecastColumnLookup,0))</f>
        <v>133.96324553420075</v>
      </c>
      <c r="M16" s="28">
        <f>INDEX([2]!tbl_Forecast,MATCH($D$8&amp;$C16&amp;$D$7,[2]!rng_ForecastRowLookup,0),MATCH(M$11,[2]!rng_ForecastColumnLookup,0))</f>
        <v>133.34701460474344</v>
      </c>
      <c r="N16" s="28">
        <f>INDEX([2]!tbl_Forecast,MATCH($D$8&amp;$C16&amp;$D$7,[2]!rng_ForecastRowLookup,0),MATCH(N$11,[2]!rng_ForecastColumnLookup,0))</f>
        <v>132.73361833756161</v>
      </c>
      <c r="O16" s="28">
        <f>INDEX([2]!tbl_Forecast,MATCH($D$8&amp;$C16&amp;$D$7,[2]!rng_ForecastRowLookup,0),MATCH(O$11,[2]!rng_ForecastColumnLookup,0))</f>
        <v>132.12304369320884</v>
      </c>
      <c r="P16" s="28">
        <f>INDEX([2]!tbl_Forecast,MATCH($D$8&amp;$C16&amp;$D$7,[2]!rng_ForecastRowLookup,0),MATCH(P$11,[2]!rng_ForecastColumnLookup,0))</f>
        <v>131.51527769222005</v>
      </c>
      <c r="Q16" s="28">
        <f>INDEX([2]!tbl_Forecast,MATCH($D$8&amp;$C16&amp;$D$7,[2]!rng_ForecastRowLookup,0),MATCH(Q$11,[2]!rng_ForecastColumnLookup,0))</f>
        <v>130.91030741483584</v>
      </c>
      <c r="R16" s="28">
        <f>INDEX([2]!tbl_Forecast,MATCH($D$8&amp;$C16&amp;$D$7,[2]!rng_ForecastRowLookup,0),MATCH(R$11,[2]!rng_ForecastColumnLookup,0))</f>
        <v>130.3081200007276</v>
      </c>
      <c r="S16" s="28">
        <f>INDEX([2]!tbl_Forecast,MATCH($D$8&amp;$C16&amp;$D$7,[2]!rng_ForecastRowLookup,0),MATCH(S$11,[2]!rng_ForecastColumnLookup,0))</f>
        <v>129.70870264872423</v>
      </c>
      <c r="T16" s="28">
        <f>INDEX([2]!tbl_Forecast,MATCH($D$8&amp;$C16&amp;$D$7,[2]!rng_ForecastRowLookup,0),MATCH(T$11,[2]!rng_ForecastColumnLookup,0))</f>
        <v>129.11204261654012</v>
      </c>
      <c r="U16" s="28">
        <f>INDEX([2]!tbl_Forecast,MATCH($D$8&amp;$C16&amp;$D$7,[2]!rng_ForecastRowLookup,0),MATCH(U$11,[2]!rng_ForecastColumnLookup,0))</f>
        <v>128.51812722050403</v>
      </c>
      <c r="V16" s="28">
        <f>INDEX([2]!tbl_Forecast,MATCH($D$8&amp;$C16&amp;$D$7,[2]!rng_ForecastRowLookup,0),MATCH(V$11,[2]!rng_ForecastColumnLookup,0))</f>
        <v>127.92694383528971</v>
      </c>
      <c r="W16" s="28">
        <f>INDEX([2]!tbl_Forecast,MATCH($D$8&amp;$C16&amp;$D$7,[2]!rng_ForecastRowLookup,0),MATCH(W$11,[2]!rng_ForecastColumnLookup,0))</f>
        <v>127.33847989364737</v>
      </c>
      <c r="X16" s="28">
        <f>INDEX([2]!tbl_Forecast,MATCH($D$8&amp;$C16&amp;$D$7,[2]!rng_ForecastRowLookup,0),MATCH(X$11,[2]!rng_ForecastColumnLookup,0))</f>
        <v>126.75272288613657</v>
      </c>
      <c r="Y16" s="32"/>
    </row>
    <row r="17" spans="2:25">
      <c r="C17" s="54" t="s">
        <v>169</v>
      </c>
      <c r="E17" s="28">
        <f>INDEX([2]!tbl_Forecast,MATCH($D$8&amp;$C17&amp;$D$7,[2]!rng_ForecastRowLookup,0),MATCH(E$11,[2]!rng_ForecastColumnLookup,0))</f>
        <v>208.9574509880029</v>
      </c>
      <c r="F17" s="28">
        <f>INDEX([2]!tbl_Forecast,MATCH($D$8&amp;$C17&amp;$D$7,[2]!rng_ForecastRowLookup,0),MATCH(F$11,[2]!rng_ForecastColumnLookup,0))</f>
        <v>207.99624671345808</v>
      </c>
      <c r="G17" s="28">
        <f>INDEX([2]!tbl_Forecast,MATCH($D$8&amp;$C17&amp;$D$7,[2]!rng_ForecastRowLookup,0),MATCH(G$11,[2]!rng_ForecastColumnLookup,0))</f>
        <v>207.03946397857615</v>
      </c>
      <c r="H17" s="28">
        <f>INDEX([2]!tbl_Forecast,MATCH($D$8&amp;$C17&amp;$D$7,[2]!rng_ForecastRowLookup,0),MATCH(H$11,[2]!rng_ForecastColumnLookup,0))</f>
        <v>206.0870824442747</v>
      </c>
      <c r="I17" s="28">
        <f>INDEX([2]!tbl_Forecast,MATCH($D$8&amp;$C17&amp;$D$7,[2]!rng_ForecastRowLookup,0),MATCH(I$11,[2]!rng_ForecastColumnLookup,0))</f>
        <v>205.13908186503102</v>
      </c>
      <c r="J17" s="28">
        <f>INDEX([2]!tbl_Forecast,MATCH($D$8&amp;$C17&amp;$D$7,[2]!rng_ForecastRowLookup,0),MATCH(J$11,[2]!rng_ForecastColumnLookup,0))</f>
        <v>204.1954420884519</v>
      </c>
      <c r="K17" s="28">
        <f>INDEX([2]!tbl_Forecast,MATCH($D$8&amp;$C17&amp;$D$7,[2]!rng_ForecastRowLookup,0),MATCH(K$11,[2]!rng_ForecastColumnLookup,0))</f>
        <v>203.25614305484498</v>
      </c>
      <c r="L17" s="28">
        <f>INDEX([2]!tbl_Forecast,MATCH($D$8&amp;$C17&amp;$D$7,[2]!rng_ForecastRowLookup,0),MATCH(L$11,[2]!rng_ForecastColumnLookup,0))</f>
        <v>202.32116479679266</v>
      </c>
      <c r="M17" s="28">
        <f>INDEX([2]!tbl_Forecast,MATCH($D$8&amp;$C17&amp;$D$7,[2]!rng_ForecastRowLookup,0),MATCH(M$11,[2]!rng_ForecastColumnLookup,0))</f>
        <v>201.3904874387274</v>
      </c>
      <c r="N17" s="28">
        <f>INDEX([2]!tbl_Forecast,MATCH($D$8&amp;$C17&amp;$D$7,[2]!rng_ForecastRowLookup,0),MATCH(N$11,[2]!rng_ForecastColumnLookup,0))</f>
        <v>200.46409119650929</v>
      </c>
      <c r="O17" s="28">
        <f>INDEX([2]!tbl_Forecast,MATCH($D$8&amp;$C17&amp;$D$7,[2]!rng_ForecastRowLookup,0),MATCH(O$11,[2]!rng_ForecastColumnLookup,0))</f>
        <v>199.54195637700533</v>
      </c>
      <c r="P17" s="28">
        <f>INDEX([2]!tbl_Forecast,MATCH($D$8&amp;$C17&amp;$D$7,[2]!rng_ForecastRowLookup,0),MATCH(P$11,[2]!rng_ForecastColumnLookup,0))</f>
        <v>198.62406337767112</v>
      </c>
      <c r="Q17" s="28">
        <f>INDEX([2]!tbl_Forecast,MATCH($D$8&amp;$C17&amp;$D$7,[2]!rng_ForecastRowLookup,0),MATCH(Q$11,[2]!rng_ForecastColumnLookup,0))</f>
        <v>197.71039268613379</v>
      </c>
      <c r="R17" s="28">
        <f>INDEX([2]!tbl_Forecast,MATCH($D$8&amp;$C17&amp;$D$7,[2]!rng_ForecastRowLookup,0),MATCH(R$11,[2]!rng_ForecastColumnLookup,0))</f>
        <v>196.8009248797776</v>
      </c>
      <c r="S17" s="28">
        <f>INDEX([2]!tbl_Forecast,MATCH($D$8&amp;$C17&amp;$D$7,[2]!rng_ForecastRowLookup,0),MATCH(S$11,[2]!rng_ForecastColumnLookup,0))</f>
        <v>195.8956406253306</v>
      </c>
      <c r="T17" s="28">
        <f>INDEX([2]!tbl_Forecast,MATCH($D$8&amp;$C17&amp;$D$7,[2]!rng_ForecastRowLookup,0),MATCH(T$11,[2]!rng_ForecastColumnLookup,0))</f>
        <v>194.99452067845405</v>
      </c>
      <c r="U17" s="28">
        <f>INDEX([2]!tbl_Forecast,MATCH($D$8&amp;$C17&amp;$D$7,[2]!rng_ForecastRowLookup,0),MATCH(U$11,[2]!rng_ForecastColumnLookup,0))</f>
        <v>194.09754588333314</v>
      </c>
      <c r="V17" s="28">
        <f>INDEX([2]!tbl_Forecast,MATCH($D$8&amp;$C17&amp;$D$7,[2]!rng_ForecastRowLookup,0),MATCH(V$11,[2]!rng_ForecastColumnLookup,0))</f>
        <v>193.20469717226982</v>
      </c>
      <c r="W17" s="28">
        <f>INDEX([2]!tbl_Forecast,MATCH($D$8&amp;$C17&amp;$D$7,[2]!rng_ForecastRowLookup,0),MATCH(W$11,[2]!rng_ForecastColumnLookup,0))</f>
        <v>192.31595556527733</v>
      </c>
      <c r="X17" s="28">
        <f>INDEX([2]!tbl_Forecast,MATCH($D$8&amp;$C17&amp;$D$7,[2]!rng_ForecastRowLookup,0),MATCH(X$11,[2]!rng_ForecastColumnLookup,0))</f>
        <v>191.43130216967708</v>
      </c>
      <c r="Y17" s="32"/>
    </row>
    <row r="18" spans="2:25">
      <c r="C18" s="54" t="s">
        <v>168</v>
      </c>
      <c r="E18" s="28">
        <f>INDEX([2]!tbl_Forecast,MATCH($D$8&amp;$C18&amp;$D$7,[2]!rng_ForecastRowLookup,0),MATCH(E$11,[2]!rng_ForecastColumnLookup,0))</f>
        <v>97.115689913224898</v>
      </c>
      <c r="F18" s="28">
        <f>INDEX([2]!tbl_Forecast,MATCH($D$8&amp;$C18&amp;$D$7,[2]!rng_ForecastRowLookup,0),MATCH(F$11,[2]!rng_ForecastColumnLookup,0))</f>
        <v>96.668957739624062</v>
      </c>
      <c r="G18" s="28">
        <f>INDEX([2]!tbl_Forecast,MATCH($D$8&amp;$C18&amp;$D$7,[2]!rng_ForecastRowLookup,0),MATCH(G$11,[2]!rng_ForecastColumnLookup,0))</f>
        <v>96.224280534021787</v>
      </c>
      <c r="H18" s="28">
        <f>INDEX([2]!tbl_Forecast,MATCH($D$8&amp;$C18&amp;$D$7,[2]!rng_ForecastRowLookup,0),MATCH(H$11,[2]!rng_ForecastColumnLookup,0))</f>
        <v>95.781648843565293</v>
      </c>
      <c r="I18" s="28">
        <f>INDEX([2]!tbl_Forecast,MATCH($D$8&amp;$C18&amp;$D$7,[2]!rng_ForecastRowLookup,0),MATCH(I$11,[2]!rng_ForecastColumnLookup,0))</f>
        <v>95.34105325888487</v>
      </c>
      <c r="J18" s="28">
        <f>INDEX([2]!tbl_Forecast,MATCH($D$8&amp;$C18&amp;$D$7,[2]!rng_ForecastRowLookup,0),MATCH(J$11,[2]!rng_ForecastColumnLookup,0))</f>
        <v>94.902484413894001</v>
      </c>
      <c r="K18" s="28">
        <f>INDEX([2]!tbl_Forecast,MATCH($D$8&amp;$C18&amp;$D$7,[2]!rng_ForecastRowLookup,0),MATCH(K$11,[2]!rng_ForecastColumnLookup,0))</f>
        <v>94.465932985590086</v>
      </c>
      <c r="L18" s="28">
        <f>INDEX([2]!tbl_Forecast,MATCH($D$8&amp;$C18&amp;$D$7,[2]!rng_ForecastRowLookup,0),MATCH(L$11,[2]!rng_ForecastColumnLookup,0))</f>
        <v>94.031389693856369</v>
      </c>
      <c r="M18" s="28">
        <f>INDEX([2]!tbl_Forecast,MATCH($D$8&amp;$C18&amp;$D$7,[2]!rng_ForecastRowLookup,0),MATCH(M$11,[2]!rng_ForecastColumnLookup,0))</f>
        <v>93.598845301264618</v>
      </c>
      <c r="N18" s="28">
        <f>INDEX([2]!tbl_Forecast,MATCH($D$8&amp;$C18&amp;$D$7,[2]!rng_ForecastRowLookup,0),MATCH(N$11,[2]!rng_ForecastColumnLookup,0))</f>
        <v>93.168290612878806</v>
      </c>
      <c r="O18" s="28">
        <f>INDEX([2]!tbl_Forecast,MATCH($D$8&amp;$C18&amp;$D$7,[2]!rng_ForecastRowLookup,0),MATCH(O$11,[2]!rng_ForecastColumnLookup,0))</f>
        <v>92.739716476059556</v>
      </c>
      <c r="P18" s="28">
        <f>INDEX([2]!tbl_Forecast,MATCH($D$8&amp;$C18&amp;$D$7,[2]!rng_ForecastRowLookup,0),MATCH(P$11,[2]!rng_ForecastColumnLookup,0))</f>
        <v>92.313113780269674</v>
      </c>
      <c r="Q18" s="28">
        <f>INDEX([2]!tbl_Forecast,MATCH($D$8&amp;$C18&amp;$D$7,[2]!rng_ForecastRowLookup,0),MATCH(Q$11,[2]!rng_ForecastColumnLookup,0))</f>
        <v>91.888473456880433</v>
      </c>
      <c r="R18" s="28">
        <f>INDEX([2]!tbl_Forecast,MATCH($D$8&amp;$C18&amp;$D$7,[2]!rng_ForecastRowLookup,0),MATCH(R$11,[2]!rng_ForecastColumnLookup,0))</f>
        <v>91.465786478978771</v>
      </c>
      <c r="S18" s="28">
        <f>INDEX([2]!tbl_Forecast,MATCH($D$8&amp;$C18&amp;$D$7,[2]!rng_ForecastRowLookup,0),MATCH(S$11,[2]!rng_ForecastColumnLookup,0))</f>
        <v>91.045043861175472</v>
      </c>
      <c r="T18" s="28">
        <f>INDEX([2]!tbl_Forecast,MATCH($D$8&amp;$C18&amp;$D$7,[2]!rng_ForecastRowLookup,0),MATCH(T$11,[2]!rng_ForecastColumnLookup,0))</f>
        <v>90.626236659414062</v>
      </c>
      <c r="U18" s="28">
        <f>INDEX([2]!tbl_Forecast,MATCH($D$8&amp;$C18&amp;$D$7,[2]!rng_ForecastRowLookup,0),MATCH(U$11,[2]!rng_ForecastColumnLookup,0))</f>
        <v>90.209355970780734</v>
      </c>
      <c r="V18" s="28">
        <f>INDEX([2]!tbl_Forecast,MATCH($D$8&amp;$C18&amp;$D$7,[2]!rng_ForecastRowLookup,0),MATCH(V$11,[2]!rng_ForecastColumnLookup,0))</f>
        <v>89.794392933315152</v>
      </c>
      <c r="W18" s="28">
        <f>INDEX([2]!tbl_Forecast,MATCH($D$8&amp;$C18&amp;$D$7,[2]!rng_ForecastRowLookup,0),MATCH(W$11,[2]!rng_ForecastColumnLookup,0))</f>
        <v>89.381338725821905</v>
      </c>
      <c r="X18" s="28">
        <f>INDEX([2]!tbl_Forecast,MATCH($D$8&amp;$C18&amp;$D$7,[2]!rng_ForecastRowLookup,0),MATCH(X$11,[2]!rng_ForecastColumnLookup,0))</f>
        <v>88.97018456768312</v>
      </c>
      <c r="Y18" s="32"/>
    </row>
    <row r="19" spans="2:25">
      <c r="C19" s="54" t="s">
        <v>170</v>
      </c>
      <c r="E19" s="28">
        <f>INDEX([2]!tbl_Forecast,MATCH($D$8&amp;$C19&amp;$D$7,[2]!rng_ForecastRowLookup,0),MATCH(E$11,[2]!rng_ForecastColumnLookup,0))</f>
        <v>109.47966092768364</v>
      </c>
      <c r="F19" s="28">
        <f>INDEX([2]!tbl_Forecast,MATCH($D$8&amp;$C19&amp;$D$7,[2]!rng_ForecastRowLookup,0),MATCH(F$11,[2]!rng_ForecastColumnLookup,0))</f>
        <v>108.97605448741629</v>
      </c>
      <c r="G19" s="28">
        <f>INDEX([2]!tbl_Forecast,MATCH($D$8&amp;$C19&amp;$D$7,[2]!rng_ForecastRowLookup,0),MATCH(G$11,[2]!rng_ForecastColumnLookup,0))</f>
        <v>108.47476463677417</v>
      </c>
      <c r="H19" s="28">
        <f>INDEX([2]!tbl_Forecast,MATCH($D$8&amp;$C19&amp;$D$7,[2]!rng_ForecastRowLookup,0),MATCH(H$11,[2]!rng_ForecastColumnLookup,0))</f>
        <v>107.975780719445</v>
      </c>
      <c r="I19" s="28">
        <f>INDEX([2]!tbl_Forecast,MATCH($D$8&amp;$C19&amp;$D$7,[2]!rng_ForecastRowLookup,0),MATCH(I$11,[2]!rng_ForecastColumnLookup,0))</f>
        <v>107.47909212813555</v>
      </c>
      <c r="J19" s="28">
        <f>INDEX([2]!tbl_Forecast,MATCH($D$8&amp;$C19&amp;$D$7,[2]!rng_ForecastRowLookup,0),MATCH(J$11,[2]!rng_ForecastColumnLookup,0))</f>
        <v>106.98468830434612</v>
      </c>
      <c r="K19" s="28">
        <f>INDEX([2]!tbl_Forecast,MATCH($D$8&amp;$C19&amp;$D$7,[2]!rng_ForecastRowLookup,0),MATCH(K$11,[2]!rng_ForecastColumnLookup,0))</f>
        <v>106.49255873814613</v>
      </c>
      <c r="L19" s="28">
        <f>INDEX([2]!tbl_Forecast,MATCH($D$8&amp;$C19&amp;$D$7,[2]!rng_ForecastRowLookup,0),MATCH(L$11,[2]!rng_ForecastColumnLookup,0))</f>
        <v>106.00269296795065</v>
      </c>
      <c r="M19" s="28">
        <f>INDEX([2]!tbl_Forecast,MATCH($D$8&amp;$C19&amp;$D$7,[2]!rng_ForecastRowLookup,0),MATCH(M$11,[2]!rng_ForecastColumnLookup,0))</f>
        <v>105.51508058029808</v>
      </c>
      <c r="N19" s="28">
        <f>INDEX([2]!tbl_Forecast,MATCH($D$8&amp;$C19&amp;$D$7,[2]!rng_ForecastRowLookup,0),MATCH(N$11,[2]!rng_ForecastColumnLookup,0))</f>
        <v>105.0297112096287</v>
      </c>
      <c r="O19" s="28">
        <f>INDEX([2]!tbl_Forecast,MATCH($D$8&amp;$C19&amp;$D$7,[2]!rng_ForecastRowLookup,0),MATCH(O$11,[2]!rng_ForecastColumnLookup,0))</f>
        <v>104.54657453806439</v>
      </c>
      <c r="P19" s="28">
        <f>INDEX([2]!tbl_Forecast,MATCH($D$8&amp;$C19&amp;$D$7,[2]!rng_ForecastRowLookup,0),MATCH(P$11,[2]!rng_ForecastColumnLookup,0))</f>
        <v>104.0656602951893</v>
      </c>
      <c r="Q19" s="28">
        <f>INDEX([2]!tbl_Forecast,MATCH($D$8&amp;$C19&amp;$D$7,[2]!rng_ForecastRowLookup,0),MATCH(Q$11,[2]!rng_ForecastColumnLookup,0))</f>
        <v>103.58695825783141</v>
      </c>
      <c r="R19" s="28">
        <f>INDEX([2]!tbl_Forecast,MATCH($D$8&amp;$C19&amp;$D$7,[2]!rng_ForecastRowLookup,0),MATCH(R$11,[2]!rng_ForecastColumnLookup,0))</f>
        <v>103.11045824984539</v>
      </c>
      <c r="S19" s="28">
        <f>INDEX([2]!tbl_Forecast,MATCH($D$8&amp;$C19&amp;$D$7,[2]!rng_ForecastRowLookup,0),MATCH(S$11,[2]!rng_ForecastColumnLookup,0))</f>
        <v>102.6361501418961</v>
      </c>
      <c r="T19" s="28">
        <f>INDEX([2]!tbl_Forecast,MATCH($D$8&amp;$C19&amp;$D$7,[2]!rng_ForecastRowLookup,0),MATCH(T$11,[2]!rng_ForecastColumnLookup,0))</f>
        <v>102.16402385124337</v>
      </c>
      <c r="U19" s="28">
        <f>INDEX([2]!tbl_Forecast,MATCH($D$8&amp;$C19&amp;$D$7,[2]!rng_ForecastRowLookup,0),MATCH(U$11,[2]!rng_ForecastColumnLookup,0))</f>
        <v>101.69406934152764</v>
      </c>
      <c r="V19" s="28">
        <f>INDEX([2]!tbl_Forecast,MATCH($D$8&amp;$C19&amp;$D$7,[2]!rng_ForecastRowLookup,0),MATCH(V$11,[2]!rng_ForecastColumnLookup,0))</f>
        <v>101.2262766225566</v>
      </c>
      <c r="W19" s="28">
        <f>INDEX([2]!tbl_Forecast,MATCH($D$8&amp;$C19&amp;$D$7,[2]!rng_ForecastRowLookup,0),MATCH(W$11,[2]!rng_ForecastColumnLookup,0))</f>
        <v>100.76063575009285</v>
      </c>
      <c r="X19" s="28">
        <f>INDEX([2]!tbl_Forecast,MATCH($D$8&amp;$C19&amp;$D$7,[2]!rng_ForecastRowLookup,0),MATCH(X$11,[2]!rng_ForecastColumnLookup,0))</f>
        <v>100.29713682564241</v>
      </c>
      <c r="Y19" s="32"/>
    </row>
    <row r="20" spans="2:25">
      <c r="C20" s="18" t="s">
        <v>171</v>
      </c>
      <c r="E20" s="28">
        <f>INDEX([2]!tbl_Forecast,MATCH($D$8&amp;$C20&amp;$D$7,[2]!rng_ForecastRowLookup,0),MATCH(E$11,[2]!rng_ForecastColumnLookup,0))</f>
        <v>241.11763975818661</v>
      </c>
      <c r="F20" s="28">
        <f>INDEX([2]!tbl_Forecast,MATCH($D$8&amp;$C20&amp;$D$7,[2]!rng_ForecastRowLookup,0),MATCH(F$11,[2]!rng_ForecastColumnLookup,0))</f>
        <v>240.12905743517803</v>
      </c>
      <c r="G20" s="28">
        <f>INDEX([2]!tbl_Forecast,MATCH($D$8&amp;$C20&amp;$D$7,[2]!rng_ForecastRowLookup,0),MATCH(G$11,[2]!rng_ForecastColumnLookup,0))</f>
        <v>239.14452829969383</v>
      </c>
      <c r="H20" s="28">
        <f>INDEX([2]!tbl_Forecast,MATCH($D$8&amp;$C20&amp;$D$7,[2]!rng_ForecastRowLookup,0),MATCH(H$11,[2]!rng_ForecastColumnLookup,0))</f>
        <v>238.16403573366509</v>
      </c>
      <c r="I20" s="28">
        <f>INDEX([2]!tbl_Forecast,MATCH($D$8&amp;$C20&amp;$D$7,[2]!rng_ForecastRowLookup,0),MATCH(I$11,[2]!rng_ForecastColumnLookup,0))</f>
        <v>237.18756318715711</v>
      </c>
      <c r="J20" s="28">
        <f>INDEX([2]!tbl_Forecast,MATCH($D$8&amp;$C20&amp;$D$7,[2]!rng_ForecastRowLookup,0),MATCH(J$11,[2]!rng_ForecastColumnLookup,0))</f>
        <v>236.21509417808971</v>
      </c>
      <c r="K20" s="28">
        <f>INDEX([2]!tbl_Forecast,MATCH($D$8&amp;$C20&amp;$D$7,[2]!rng_ForecastRowLookup,0),MATCH(K$11,[2]!rng_ForecastColumnLookup,0))</f>
        <v>235.24661229195956</v>
      </c>
      <c r="L20" s="28">
        <f>INDEX([2]!tbl_Forecast,MATCH($D$8&amp;$C20&amp;$D$7,[2]!rng_ForecastRowLookup,0),MATCH(L$11,[2]!rng_ForecastColumnLookup,0))</f>
        <v>234.28210118156252</v>
      </c>
      <c r="M20" s="28">
        <f>INDEX([2]!tbl_Forecast,MATCH($D$8&amp;$C20&amp;$D$7,[2]!rng_ForecastRowLookup,0),MATCH(M$11,[2]!rng_ForecastColumnLookup,0))</f>
        <v>233.32154456671807</v>
      </c>
      <c r="N20" s="28">
        <f>INDEX([2]!tbl_Forecast,MATCH($D$8&amp;$C20&amp;$D$7,[2]!rng_ForecastRowLookup,0),MATCH(N$11,[2]!rng_ForecastColumnLookup,0))</f>
        <v>232.36492623399457</v>
      </c>
      <c r="O20" s="28">
        <f>INDEX([2]!tbl_Forecast,MATCH($D$8&amp;$C20&amp;$D$7,[2]!rng_ForecastRowLookup,0),MATCH(O$11,[2]!rng_ForecastColumnLookup,0))</f>
        <v>231.41223003643518</v>
      </c>
      <c r="P20" s="28">
        <f>INDEX([2]!tbl_Forecast,MATCH($D$8&amp;$C20&amp;$D$7,[2]!rng_ForecastRowLookup,0),MATCH(P$11,[2]!rng_ForecastColumnLookup,0))</f>
        <v>230.46343989328579</v>
      </c>
      <c r="Q20" s="28">
        <f>INDEX([2]!tbl_Forecast,MATCH($D$8&amp;$C20&amp;$D$7,[2]!rng_ForecastRowLookup,0),MATCH(Q$11,[2]!rng_ForecastColumnLookup,0))</f>
        <v>229.51853978972335</v>
      </c>
      <c r="R20" s="28">
        <f>INDEX([2]!tbl_Forecast,MATCH($D$8&amp;$C20&amp;$D$7,[2]!rng_ForecastRowLookup,0),MATCH(R$11,[2]!rng_ForecastColumnLookup,0))</f>
        <v>228.57751377658545</v>
      </c>
      <c r="S20" s="28">
        <f>INDEX([2]!tbl_Forecast,MATCH($D$8&amp;$C20&amp;$D$7,[2]!rng_ForecastRowLookup,0),MATCH(S$11,[2]!rng_ForecastColumnLookup,0))</f>
        <v>227.64034597010144</v>
      </c>
      <c r="T20" s="28">
        <f>INDEX([2]!tbl_Forecast,MATCH($D$8&amp;$C20&amp;$D$7,[2]!rng_ForecastRowLookup,0),MATCH(T$11,[2]!rng_ForecastColumnLookup,0))</f>
        <v>226.70702055162403</v>
      </c>
      <c r="U20" s="28">
        <f>INDEX([2]!tbl_Forecast,MATCH($D$8&amp;$C20&amp;$D$7,[2]!rng_ForecastRowLookup,0),MATCH(U$11,[2]!rng_ForecastColumnLookup,0))</f>
        <v>225.77752176736234</v>
      </c>
      <c r="V20" s="28">
        <f>INDEX([2]!tbl_Forecast,MATCH($D$8&amp;$C20&amp;$D$7,[2]!rng_ForecastRowLookup,0),MATCH(V$11,[2]!rng_ForecastColumnLookup,0))</f>
        <v>224.85183392811618</v>
      </c>
      <c r="W20" s="28">
        <f>INDEX([2]!tbl_Forecast,MATCH($D$8&amp;$C20&amp;$D$7,[2]!rng_ForecastRowLookup,0),MATCH(W$11,[2]!rng_ForecastColumnLookup,0))</f>
        <v>223.92994140901092</v>
      </c>
      <c r="X20" s="28">
        <f>INDEX([2]!tbl_Forecast,MATCH($D$8&amp;$C20&amp;$D$7,[2]!rng_ForecastRowLookup,0),MATCH(X$11,[2]!rng_ForecastColumnLookup,0))</f>
        <v>223.01182864923393</v>
      </c>
      <c r="Y20" s="32"/>
    </row>
    <row r="21" spans="2:25">
      <c r="C21" s="18" t="s">
        <v>155</v>
      </c>
      <c r="E21" s="28">
        <f>INDEX([2]!tbl_Forecast,MATCH($D$8&amp;$C21&amp;$D$7,[2]!rng_ForecastRowLookup,0),MATCH(E$11,[2]!rng_ForecastColumnLookup,0))</f>
        <v>122.15340627232256</v>
      </c>
      <c r="F21" s="28">
        <f>INDEX([2]!tbl_Forecast,MATCH($D$8&amp;$C21&amp;$D$7,[2]!rng_ForecastRowLookup,0),MATCH(F$11,[2]!rng_ForecastColumnLookup,0))</f>
        <v>121.65257730660603</v>
      </c>
      <c r="G21" s="28">
        <f>INDEX([2]!tbl_Forecast,MATCH($D$8&amp;$C21&amp;$D$7,[2]!rng_ForecastRowLookup,0),MATCH(G$11,[2]!rng_ForecastColumnLookup,0))</f>
        <v>121.15380173964894</v>
      </c>
      <c r="H21" s="28">
        <f>INDEX([2]!tbl_Forecast,MATCH($D$8&amp;$C21&amp;$D$7,[2]!rng_ForecastRowLookup,0),MATCH(H$11,[2]!rng_ForecastColumnLookup,0))</f>
        <v>120.65707115251638</v>
      </c>
      <c r="I21" s="28">
        <f>INDEX([2]!tbl_Forecast,MATCH($D$8&amp;$C21&amp;$D$7,[2]!rng_ForecastRowLookup,0),MATCH(I$11,[2]!rng_ForecastColumnLookup,0))</f>
        <v>120.16237716079107</v>
      </c>
      <c r="J21" s="28">
        <f>INDEX([2]!tbl_Forecast,MATCH($D$8&amp;$C21&amp;$D$7,[2]!rng_ForecastRowLookup,0),MATCH(J$11,[2]!rng_ForecastColumnLookup,0))</f>
        <v>119.66971141443182</v>
      </c>
      <c r="K21" s="28">
        <f>INDEX([2]!tbl_Forecast,MATCH($D$8&amp;$C21&amp;$D$7,[2]!rng_ForecastRowLookup,0),MATCH(K$11,[2]!rng_ForecastColumnLookup,0))</f>
        <v>119.17906559763266</v>
      </c>
      <c r="L21" s="28">
        <f>INDEX([2]!tbl_Forecast,MATCH($D$8&amp;$C21&amp;$D$7,[2]!rng_ForecastRowLookup,0),MATCH(L$11,[2]!rng_ForecastColumnLookup,0))</f>
        <v>118.69043142868237</v>
      </c>
      <c r="M21" s="28">
        <f>INDEX([2]!tbl_Forecast,MATCH($D$8&amp;$C21&amp;$D$7,[2]!rng_ForecastRowLookup,0),MATCH(M$11,[2]!rng_ForecastColumnLookup,0))</f>
        <v>118.20380065982476</v>
      </c>
      <c r="N21" s="28">
        <f>INDEX([2]!tbl_Forecast,MATCH($D$8&amp;$C21&amp;$D$7,[2]!rng_ForecastRowLookup,0),MATCH(N$11,[2]!rng_ForecastColumnLookup,0))</f>
        <v>117.71916507711948</v>
      </c>
      <c r="O21" s="28">
        <f>INDEX([2]!tbl_Forecast,MATCH($D$8&amp;$C21&amp;$D$7,[2]!rng_ForecastRowLookup,0),MATCH(O$11,[2]!rng_ForecastColumnLookup,0))</f>
        <v>117.23651650030328</v>
      </c>
      <c r="P21" s="28">
        <f>INDEX([2]!tbl_Forecast,MATCH($D$8&amp;$C21&amp;$D$7,[2]!rng_ForecastRowLookup,0),MATCH(P$11,[2]!rng_ForecastColumnLookup,0))</f>
        <v>116.75584678265207</v>
      </c>
      <c r="Q21" s="28">
        <f>INDEX([2]!tbl_Forecast,MATCH($D$8&amp;$C21&amp;$D$7,[2]!rng_ForecastRowLookup,0),MATCH(Q$11,[2]!rng_ForecastColumnLookup,0))</f>
        <v>116.27714781084319</v>
      </c>
      <c r="R21" s="28">
        <f>INDEX([2]!tbl_Forecast,MATCH($D$8&amp;$C21&amp;$D$7,[2]!rng_ForecastRowLookup,0),MATCH(R$11,[2]!rng_ForecastColumnLookup,0))</f>
        <v>115.80041150481873</v>
      </c>
      <c r="S21" s="28">
        <f>INDEX([2]!tbl_Forecast,MATCH($D$8&amp;$C21&amp;$D$7,[2]!rng_ForecastRowLookup,0),MATCH(S$11,[2]!rng_ForecastColumnLookup,0))</f>
        <v>115.32562981764897</v>
      </c>
      <c r="T21" s="28">
        <f>INDEX([2]!tbl_Forecast,MATCH($D$8&amp;$C21&amp;$D$7,[2]!rng_ForecastRowLookup,0),MATCH(T$11,[2]!rng_ForecastColumnLookup,0))</f>
        <v>114.8527947353966</v>
      </c>
      <c r="U21" s="28">
        <f>INDEX([2]!tbl_Forecast,MATCH($D$8&amp;$C21&amp;$D$7,[2]!rng_ForecastRowLookup,0),MATCH(U$11,[2]!rng_ForecastColumnLookup,0))</f>
        <v>114.38189827698147</v>
      </c>
      <c r="V21" s="28">
        <f>INDEX([2]!tbl_Forecast,MATCH($D$8&amp;$C21&amp;$D$7,[2]!rng_ForecastRowLookup,0),MATCH(V$11,[2]!rng_ForecastColumnLookup,0))</f>
        <v>113.91293249404585</v>
      </c>
      <c r="W21" s="28">
        <f>INDEX([2]!tbl_Forecast,MATCH($D$8&amp;$C21&amp;$D$7,[2]!rng_ForecastRowLookup,0),MATCH(W$11,[2]!rng_ForecastColumnLookup,0))</f>
        <v>113.44588947082025</v>
      </c>
      <c r="X21" s="28">
        <f>INDEX([2]!tbl_Forecast,MATCH($D$8&amp;$C21&amp;$D$7,[2]!rng_ForecastRowLookup,0),MATCH(X$11,[2]!rng_ForecastColumnLookup,0))</f>
        <v>112.98076132398991</v>
      </c>
      <c r="Y21" s="32"/>
    </row>
    <row r="22" spans="2:25">
      <c r="C22" s="18" t="s">
        <v>10</v>
      </c>
      <c r="E22" s="28">
        <f>INDEX([2]!tbl_Forecast,MATCH($D$8&amp;$C22&amp;$D$7,[2]!rng_ForecastRowLookup,0),MATCH(E$11,[2]!rng_ForecastColumnLookup,0))</f>
        <v>448.69829599576161</v>
      </c>
      <c r="F22" s="28">
        <f>INDEX([2]!tbl_Forecast,MATCH($D$8&amp;$C22&amp;$D$7,[2]!rng_ForecastRowLookup,0),MATCH(F$11,[2]!rng_ForecastColumnLookup,0))</f>
        <v>447.03811230057732</v>
      </c>
      <c r="G22" s="28">
        <f>INDEX([2]!tbl_Forecast,MATCH($D$8&amp;$C22&amp;$D$7,[2]!rng_ForecastRowLookup,0),MATCH(G$11,[2]!rng_ForecastColumnLookup,0))</f>
        <v>445.3840712850652</v>
      </c>
      <c r="H22" s="28">
        <f>INDEX([2]!tbl_Forecast,MATCH($D$8&amp;$C22&amp;$D$7,[2]!rng_ForecastRowLookup,0),MATCH(H$11,[2]!rng_ForecastColumnLookup,0))</f>
        <v>443.73615022131042</v>
      </c>
      <c r="I22" s="28">
        <f>INDEX([2]!tbl_Forecast,MATCH($D$8&amp;$C22&amp;$D$7,[2]!rng_ForecastRowLookup,0),MATCH(I$11,[2]!rng_ForecastColumnLookup,0))</f>
        <v>442.09432646549152</v>
      </c>
      <c r="J22" s="28">
        <f>INDEX([2]!tbl_Forecast,MATCH($D$8&amp;$C22&amp;$D$7,[2]!rng_ForecastRowLookup,0),MATCH(J$11,[2]!rng_ForecastColumnLookup,0))</f>
        <v>440.45857745756916</v>
      </c>
      <c r="K22" s="28">
        <f>INDEX([2]!tbl_Forecast,MATCH($D$8&amp;$C22&amp;$D$7,[2]!rng_ForecastRowLookup,0),MATCH(K$11,[2]!rng_ForecastColumnLookup,0))</f>
        <v>438.82888072097626</v>
      </c>
      <c r="L22" s="28">
        <f>INDEX([2]!tbl_Forecast,MATCH($D$8&amp;$C22&amp;$D$7,[2]!rng_ForecastRowLookup,0),MATCH(L$11,[2]!rng_ForecastColumnLookup,0))</f>
        <v>437.2052138623086</v>
      </c>
      <c r="M22" s="28">
        <f>INDEX([2]!tbl_Forecast,MATCH($D$8&amp;$C22&amp;$D$7,[2]!rng_ForecastRowLookup,0),MATCH(M$11,[2]!rng_ForecastColumnLookup,0))</f>
        <v>435.58755457101802</v>
      </c>
      <c r="N22" s="28">
        <f>INDEX([2]!tbl_Forecast,MATCH($D$8&amp;$C22&amp;$D$7,[2]!rng_ForecastRowLookup,0),MATCH(N$11,[2]!rng_ForecastColumnLookup,0))</f>
        <v>433.97588061910528</v>
      </c>
      <c r="O22" s="28">
        <f>INDEX([2]!tbl_Forecast,MATCH($D$8&amp;$C22&amp;$D$7,[2]!rng_ForecastRowLookup,0),MATCH(O$11,[2]!rng_ForecastColumnLookup,0))</f>
        <v>432.37016986081449</v>
      </c>
      <c r="P22" s="28">
        <f>INDEX([2]!tbl_Forecast,MATCH($D$8&amp;$C22&amp;$D$7,[2]!rng_ForecastRowLookup,0),MATCH(P$11,[2]!rng_ForecastColumnLookup,0))</f>
        <v>430.77040023232951</v>
      </c>
      <c r="Q22" s="28">
        <f>INDEX([2]!tbl_Forecast,MATCH($D$8&amp;$C22&amp;$D$7,[2]!rng_ForecastRowLookup,0),MATCH(Q$11,[2]!rng_ForecastColumnLookup,0))</f>
        <v>429.17654975146979</v>
      </c>
      <c r="R22" s="28">
        <f>INDEX([2]!tbl_Forecast,MATCH($D$8&amp;$C22&amp;$D$7,[2]!rng_ForecastRowLookup,0),MATCH(R$11,[2]!rng_ForecastColumnLookup,0))</f>
        <v>427.58859651738936</v>
      </c>
      <c r="S22" s="28">
        <f>INDEX([2]!tbl_Forecast,MATCH($D$8&amp;$C22&amp;$D$7,[2]!rng_ForecastRowLookup,0),MATCH(S$11,[2]!rng_ForecastColumnLookup,0))</f>
        <v>426.00651871027503</v>
      </c>
      <c r="T22" s="28">
        <f>INDEX([2]!tbl_Forecast,MATCH($D$8&amp;$C22&amp;$D$7,[2]!rng_ForecastRowLookup,0),MATCH(T$11,[2]!rng_ForecastColumnLookup,0))</f>
        <v>424.43029459104702</v>
      </c>
      <c r="U22" s="28">
        <f>INDEX([2]!tbl_Forecast,MATCH($D$8&amp;$C22&amp;$D$7,[2]!rng_ForecastRowLookup,0),MATCH(U$11,[2]!rng_ForecastColumnLookup,0))</f>
        <v>422.85990250106011</v>
      </c>
      <c r="V22" s="28">
        <f>INDEX([2]!tbl_Forecast,MATCH($D$8&amp;$C22&amp;$D$7,[2]!rng_ForecastRowLookup,0),MATCH(V$11,[2]!rng_ForecastColumnLookup,0))</f>
        <v>421.2953208618062</v>
      </c>
      <c r="W22" s="28">
        <f>INDEX([2]!tbl_Forecast,MATCH($D$8&amp;$C22&amp;$D$7,[2]!rng_ForecastRowLookup,0),MATCH(W$11,[2]!rng_ForecastColumnLookup,0))</f>
        <v>419.73652817461749</v>
      </c>
      <c r="X22" s="28">
        <f>INDEX([2]!tbl_Forecast,MATCH($D$8&amp;$C22&amp;$D$7,[2]!rng_ForecastRowLookup,0),MATCH(X$11,[2]!rng_ForecastColumnLookup,0))</f>
        <v>418.18350302037135</v>
      </c>
      <c r="Y22" s="32"/>
    </row>
    <row r="23" spans="2:25">
      <c r="C23" s="18" t="s">
        <v>158</v>
      </c>
      <c r="E23" s="28">
        <f>INDEX([2]!tbl_Forecast,MATCH($D$8&amp;$C23&amp;$D$7,[2]!rng_ForecastRowLookup,0),MATCH(E$11,[2]!rng_ForecastColumnLookup,0))</f>
        <v>53.720939527021244</v>
      </c>
      <c r="F23" s="28">
        <f>INDEX([2]!tbl_Forecast,MATCH($D$8&amp;$C23&amp;$D$7,[2]!rng_ForecastRowLookup,0),MATCH(F$11,[2]!rng_ForecastColumnLookup,0))</f>
        <v>53.237451071278059</v>
      </c>
      <c r="G23" s="28">
        <f>INDEX([2]!tbl_Forecast,MATCH($D$8&amp;$C23&amp;$D$7,[2]!rng_ForecastRowLookup,0),MATCH(G$11,[2]!rng_ForecastColumnLookup,0))</f>
        <v>52.758314011636557</v>
      </c>
      <c r="H23" s="28">
        <f>INDEX([2]!tbl_Forecast,MATCH($D$8&amp;$C23&amp;$D$7,[2]!rng_ForecastRowLookup,0),MATCH(H$11,[2]!rng_ForecastColumnLookup,0))</f>
        <v>52.283489185531828</v>
      </c>
      <c r="I23" s="28">
        <f>INDEX([2]!tbl_Forecast,MATCH($D$8&amp;$C23&amp;$D$7,[2]!rng_ForecastRowLookup,0),MATCH(I$11,[2]!rng_ForecastColumnLookup,0))</f>
        <v>51.812937782862043</v>
      </c>
      <c r="J23" s="28">
        <f>INDEX([2]!tbl_Forecast,MATCH($D$8&amp;$C23&amp;$D$7,[2]!rng_ForecastRowLookup,0),MATCH(J$11,[2]!rng_ForecastColumnLookup,0))</f>
        <v>51.346621342816277</v>
      </c>
      <c r="K23" s="28">
        <f>INDEX([2]!tbl_Forecast,MATCH($D$8&amp;$C23&amp;$D$7,[2]!rng_ForecastRowLookup,0),MATCH(K$11,[2]!rng_ForecastColumnLookup,0))</f>
        <v>50.884501750730934</v>
      </c>
      <c r="L23" s="28">
        <f>INDEX([2]!tbl_Forecast,MATCH($D$8&amp;$C23&amp;$D$7,[2]!rng_ForecastRowLookup,0),MATCH(L$11,[2]!rng_ForecastColumnLookup,0))</f>
        <v>50.426541234974358</v>
      </c>
      <c r="M23" s="28">
        <f>INDEX([2]!tbl_Forecast,MATCH($D$8&amp;$C23&amp;$D$7,[2]!rng_ForecastRowLookup,0),MATCH(M$11,[2]!rng_ForecastColumnLookup,0))</f>
        <v>49.97270236385959</v>
      </c>
      <c r="N23" s="28">
        <f>INDEX([2]!tbl_Forecast,MATCH($D$8&amp;$C23&amp;$D$7,[2]!rng_ForecastRowLookup,0),MATCH(N$11,[2]!rng_ForecastColumnLookup,0))</f>
        <v>49.522948042584851</v>
      </c>
      <c r="O23" s="28">
        <f>INDEX([2]!tbl_Forecast,MATCH($D$8&amp;$C23&amp;$D$7,[2]!rng_ForecastRowLookup,0),MATCH(O$11,[2]!rng_ForecastColumnLookup,0))</f>
        <v>49.077241510201581</v>
      </c>
      <c r="P23" s="28">
        <f>INDEX([2]!tbl_Forecast,MATCH($D$8&amp;$C23&amp;$D$7,[2]!rng_ForecastRowLookup,0),MATCH(P$11,[2]!rng_ForecastColumnLookup,0))</f>
        <v>48.635546336609778</v>
      </c>
      <c r="Q23" s="28">
        <f>INDEX([2]!tbl_Forecast,MATCH($D$8&amp;$C23&amp;$D$7,[2]!rng_ForecastRowLookup,0),MATCH(Q$11,[2]!rng_ForecastColumnLookup,0))</f>
        <v>48.197826419580288</v>
      </c>
      <c r="R23" s="28">
        <f>INDEX([2]!tbl_Forecast,MATCH($D$8&amp;$C23&amp;$D$7,[2]!rng_ForecastRowLookup,0),MATCH(R$11,[2]!rng_ForecastColumnLookup,0))</f>
        <v>47.76404598180406</v>
      </c>
      <c r="S23" s="28">
        <f>INDEX([2]!tbl_Forecast,MATCH($D$8&amp;$C23&amp;$D$7,[2]!rng_ForecastRowLookup,0),MATCH(S$11,[2]!rng_ForecastColumnLookup,0))</f>
        <v>47.33416956796782</v>
      </c>
      <c r="T23" s="28">
        <f>INDEX([2]!tbl_Forecast,MATCH($D$8&amp;$C23&amp;$D$7,[2]!rng_ForecastRowLookup,0),MATCH(T$11,[2]!rng_ForecastColumnLookup,0))</f>
        <v>46.908162041856116</v>
      </c>
      <c r="U23" s="28">
        <f>INDEX([2]!tbl_Forecast,MATCH($D$8&amp;$C23&amp;$D$7,[2]!rng_ForecastRowLookup,0),MATCH(U$11,[2]!rng_ForecastColumnLookup,0))</f>
        <v>46.485988583479411</v>
      </c>
      <c r="V23" s="28">
        <f>INDEX([2]!tbl_Forecast,MATCH($D$8&amp;$C23&amp;$D$7,[2]!rng_ForecastRowLookup,0),MATCH(V$11,[2]!rng_ForecastColumnLookup,0))</f>
        <v>46.067614686228097</v>
      </c>
      <c r="W23" s="28">
        <f>INDEX([2]!tbl_Forecast,MATCH($D$8&amp;$C23&amp;$D$7,[2]!rng_ForecastRowLookup,0),MATCH(W$11,[2]!rng_ForecastColumnLookup,0))</f>
        <v>45.653006154052044</v>
      </c>
      <c r="X23" s="28">
        <f>INDEX([2]!tbl_Forecast,MATCH($D$8&amp;$C23&amp;$D$7,[2]!rng_ForecastRowLookup,0),MATCH(X$11,[2]!rng_ForecastColumnLookup,0))</f>
        <v>45.242129098665572</v>
      </c>
      <c r="Y23" s="32"/>
    </row>
    <row r="24" spans="2:25">
      <c r="C24" s="18" t="s">
        <v>196</v>
      </c>
      <c r="E24" s="28">
        <f>INDEX([2]!tbl_Forecast,MATCH($D$8&amp;$C24&amp;$D$7,[2]!rng_ForecastRowLookup,0),MATCH(E$11,[2]!rng_ForecastColumnLookup,0))</f>
        <v>22.491017060912501</v>
      </c>
      <c r="F24" s="28">
        <f>INDEX([2]!tbl_Forecast,MATCH($D$8&amp;$C24&amp;$D$7,[2]!rng_ForecastRowLookup,0),MATCH(F$11,[2]!rng_ForecastColumnLookup,0))</f>
        <v>22.384859460384995</v>
      </c>
      <c r="G24" s="28">
        <f>INDEX([2]!tbl_Forecast,MATCH($D$8&amp;$C24&amp;$D$7,[2]!rng_ForecastRowLookup,0),MATCH(G$11,[2]!rng_ForecastColumnLookup,0))</f>
        <v>22.279202923731983</v>
      </c>
      <c r="H24" s="28">
        <f>INDEX([2]!tbl_Forecast,MATCH($D$8&amp;$C24&amp;$D$7,[2]!rng_ForecastRowLookup,0),MATCH(H$11,[2]!rng_ForecastColumnLookup,0))</f>
        <v>22.174045085931969</v>
      </c>
      <c r="I24" s="28">
        <f>INDEX([2]!tbl_Forecast,MATCH($D$8&amp;$C24&amp;$D$7,[2]!rng_ForecastRowLookup,0),MATCH(I$11,[2]!rng_ForecastColumnLookup,0))</f>
        <v>22.069383593126368</v>
      </c>
      <c r="J24" s="28">
        <f>INDEX([2]!tbl_Forecast,MATCH($D$8&amp;$C24&amp;$D$7,[2]!rng_ForecastRowLookup,0),MATCH(J$11,[2]!rng_ForecastColumnLookup,0))</f>
        <v>21.965216102566814</v>
      </c>
      <c r="K24" s="28">
        <f>INDEX([2]!tbl_Forecast,MATCH($D$8&amp;$C24&amp;$D$7,[2]!rng_ForecastRowLookup,0),MATCH(K$11,[2]!rng_ForecastColumnLookup,0))</f>
        <v>21.8615402825627</v>
      </c>
      <c r="L24" s="28">
        <f>INDEX([2]!tbl_Forecast,MATCH($D$8&amp;$C24&amp;$D$7,[2]!rng_ForecastRowLookup,0),MATCH(L$11,[2]!rng_ForecastColumnLookup,0))</f>
        <v>21.758353812429004</v>
      </c>
      <c r="M24" s="28">
        <f>INDEX([2]!tbl_Forecast,MATCH($D$8&amp;$C24&amp;$D$7,[2]!rng_ForecastRowLookup,0),MATCH(M$11,[2]!rng_ForecastColumnLookup,0))</f>
        <v>21.655654382434342</v>
      </c>
      <c r="N24" s="28">
        <f>INDEX([2]!tbl_Forecast,MATCH($D$8&amp;$C24&amp;$D$7,[2]!rng_ForecastRowLookup,0),MATCH(N$11,[2]!rng_ForecastColumnLookup,0))</f>
        <v>21.553439693749251</v>
      </c>
      <c r="O24" s="28">
        <f>INDEX([2]!tbl_Forecast,MATCH($D$8&amp;$C24&amp;$D$7,[2]!rng_ForecastRowLookup,0),MATCH(O$11,[2]!rng_ForecastColumnLookup,0))</f>
        <v>21.451707458394754</v>
      </c>
      <c r="P24" s="28">
        <f>INDEX([2]!tbl_Forecast,MATCH($D$8&amp;$C24&amp;$D$7,[2]!rng_ForecastRowLookup,0),MATCH(P$11,[2]!rng_ForecastColumnLookup,0))</f>
        <v>21.350455399191134</v>
      </c>
      <c r="Q24" s="28">
        <f>INDEX([2]!tbl_Forecast,MATCH($D$8&amp;$C24&amp;$D$7,[2]!rng_ForecastRowLookup,0),MATCH(Q$11,[2]!rng_ForecastColumnLookup,0))</f>
        <v>21.249681249706953</v>
      </c>
      <c r="R24" s="28">
        <f>INDEX([2]!tbl_Forecast,MATCH($D$8&amp;$C24&amp;$D$7,[2]!rng_ForecastRowLookup,0),MATCH(R$11,[2]!rng_ForecastColumnLookup,0))</f>
        <v>21.149382754208336</v>
      </c>
      <c r="S24" s="28">
        <f>INDEX([2]!tbl_Forecast,MATCH($D$8&amp;$C24&amp;$D$7,[2]!rng_ForecastRowLookup,0),MATCH(S$11,[2]!rng_ForecastColumnLookup,0))</f>
        <v>21.049557667608472</v>
      </c>
      <c r="T24" s="28">
        <f>INDEX([2]!tbl_Forecast,MATCH($D$8&amp;$C24&amp;$D$7,[2]!rng_ForecastRowLookup,0),MATCH(T$11,[2]!rng_ForecastColumnLookup,0))</f>
        <v>20.950203755417366</v>
      </c>
      <c r="U24" s="28">
        <f>INDEX([2]!tbl_Forecast,MATCH($D$8&amp;$C24&amp;$D$7,[2]!rng_ForecastRowLookup,0),MATCH(U$11,[2]!rng_ForecastColumnLookup,0))</f>
        <v>20.851318793691796</v>
      </c>
      <c r="V24" s="28">
        <f>INDEX([2]!tbl_Forecast,MATCH($D$8&amp;$C24&amp;$D$7,[2]!rng_ForecastRowLookup,0),MATCH(V$11,[2]!rng_ForecastColumnLookup,0))</f>
        <v>20.75290056898557</v>
      </c>
      <c r="W24" s="28">
        <f>INDEX([2]!tbl_Forecast,MATCH($D$8&amp;$C24&amp;$D$7,[2]!rng_ForecastRowLookup,0),MATCH(W$11,[2]!rng_ForecastColumnLookup,0))</f>
        <v>20.654946878299963</v>
      </c>
      <c r="X24" s="28">
        <f>INDEX([2]!tbl_Forecast,MATCH($D$8&amp;$C24&amp;$D$7,[2]!rng_ForecastRowLookup,0),MATCH(X$11,[2]!rng_ForecastColumnLookup,0))</f>
        <v>20.557455529034385</v>
      </c>
      <c r="Y24" s="32"/>
    </row>
    <row r="25" spans="2:25">
      <c r="C25" s="18" t="s">
        <v>161</v>
      </c>
      <c r="E25" s="28">
        <f>INDEX([2]!tbl_Forecast,MATCH($D$8&amp;$C25&amp;$D$7,[2]!rng_ForecastRowLookup,0),MATCH(E$11,[2]!rng_ForecastColumnLookup,0))</f>
        <v>51.550857208753726</v>
      </c>
      <c r="F25" s="28">
        <f>INDEX([2]!tbl_Forecast,MATCH($D$8&amp;$C25&amp;$D$7,[2]!rng_ForecastRowLookup,0),MATCH(F$11,[2]!rng_ForecastColumnLookup,0))</f>
        <v>51.307537162728408</v>
      </c>
      <c r="G25" s="28">
        <f>INDEX([2]!tbl_Forecast,MATCH($D$8&amp;$C25&amp;$D$7,[2]!rng_ForecastRowLookup,0),MATCH(G$11,[2]!rng_ForecastColumnLookup,0))</f>
        <v>51.065365587320336</v>
      </c>
      <c r="H25" s="28">
        <f>INDEX([2]!tbl_Forecast,MATCH($D$8&amp;$C25&amp;$D$7,[2]!rng_ForecastRowLookup,0),MATCH(H$11,[2]!rng_ForecastColumnLookup,0))</f>
        <v>50.824337061748189</v>
      </c>
      <c r="I25" s="28">
        <f>INDEX([2]!tbl_Forecast,MATCH($D$8&amp;$C25&amp;$D$7,[2]!rng_ForecastRowLookup,0),MATCH(I$11,[2]!rng_ForecastColumnLookup,0))</f>
        <v>50.584446190816735</v>
      </c>
      <c r="J25" s="28">
        <f>INDEX([2]!tbl_Forecast,MATCH($D$8&amp;$C25&amp;$D$7,[2]!rng_ForecastRowLookup,0),MATCH(J$11,[2]!rng_ForecastColumnLookup,0))</f>
        <v>50.345687604796083</v>
      </c>
      <c r="K25" s="28">
        <f>INDEX([2]!tbl_Forecast,MATCH($D$8&amp;$C25&amp;$D$7,[2]!rng_ForecastRowLookup,0),MATCH(K$11,[2]!rng_ForecastColumnLookup,0))</f>
        <v>50.108055959301453</v>
      </c>
      <c r="L25" s="28">
        <f>INDEX([2]!tbl_Forecast,MATCH($D$8&amp;$C25&amp;$D$7,[2]!rng_ForecastRowLookup,0),MATCH(L$11,[2]!rng_ForecastColumnLookup,0))</f>
        <v>49.871545935173543</v>
      </c>
      <c r="M25" s="28">
        <f>INDEX([2]!tbl_Forecast,MATCH($D$8&amp;$C25&amp;$D$7,[2]!rng_ForecastRowLookup,0),MATCH(M$11,[2]!rng_ForecastColumnLookup,0))</f>
        <v>49.636152238359529</v>
      </c>
      <c r="N25" s="28">
        <f>INDEX([2]!tbl_Forecast,MATCH($D$8&amp;$C25&amp;$D$7,[2]!rng_ForecastRowLookup,0),MATCH(N$11,[2]!rng_ForecastColumnLookup,0))</f>
        <v>49.40186959979448</v>
      </c>
      <c r="O25" s="28">
        <f>INDEX([2]!tbl_Forecast,MATCH($D$8&amp;$C25&amp;$D$7,[2]!rng_ForecastRowLookup,0),MATCH(O$11,[2]!rng_ForecastColumnLookup,0))</f>
        <v>49.168692775283453</v>
      </c>
      <c r="P25" s="28">
        <f>INDEX([2]!tbl_Forecast,MATCH($D$8&amp;$C25&amp;$D$7,[2]!rng_ForecastRowLookup,0),MATCH(P$11,[2]!rng_ForecastColumnLookup,0))</f>
        <v>48.936616545384119</v>
      </c>
      <c r="Q25" s="28">
        <f>INDEX([2]!tbl_Forecast,MATCH($D$8&amp;$C25&amp;$D$7,[2]!rng_ForecastRowLookup,0),MATCH(Q$11,[2]!rng_ForecastColumnLookup,0))</f>
        <v>48.705635715289908</v>
      </c>
      <c r="R25" s="28">
        <f>INDEX([2]!tbl_Forecast,MATCH($D$8&amp;$C25&amp;$D$7,[2]!rng_ForecastRowLookup,0),MATCH(R$11,[2]!rng_ForecastColumnLookup,0))</f>
        <v>48.475745114713739</v>
      </c>
      <c r="S25" s="28">
        <f>INDEX([2]!tbl_Forecast,MATCH($D$8&amp;$C25&amp;$D$7,[2]!rng_ForecastRowLookup,0),MATCH(S$11,[2]!rng_ForecastColumnLookup,0))</f>
        <v>48.246939597772297</v>
      </c>
      <c r="T25" s="28">
        <f>INDEX([2]!tbl_Forecast,MATCH($D$8&amp;$C25&amp;$D$7,[2]!rng_ForecastRowLookup,0),MATCH(T$11,[2]!rng_ForecastColumnLookup,0))</f>
        <v>48.019214042870807</v>
      </c>
      <c r="U25" s="28">
        <f>INDEX([2]!tbl_Forecast,MATCH($D$8&amp;$C25&amp;$D$7,[2]!rng_ForecastRowLookup,0),MATCH(U$11,[2]!rng_ForecastColumnLookup,0))</f>
        <v>47.792563352588466</v>
      </c>
      <c r="V25" s="28">
        <f>INDEX([2]!tbl_Forecast,MATCH($D$8&amp;$C25&amp;$D$7,[2]!rng_ForecastRowLookup,0),MATCH(V$11,[2]!rng_ForecastColumnLookup,0))</f>
        <v>47.56698245356425</v>
      </c>
      <c r="W25" s="28">
        <f>INDEX([2]!tbl_Forecast,MATCH($D$8&amp;$C25&amp;$D$7,[2]!rng_ForecastRowLookup,0),MATCH(W$11,[2]!rng_ForecastColumnLookup,0))</f>
        <v>47.342466296383435</v>
      </c>
      <c r="X25" s="28">
        <f>INDEX([2]!tbl_Forecast,MATCH($D$8&amp;$C25&amp;$D$7,[2]!rng_ForecastRowLookup,0),MATCH(X$11,[2]!rng_ForecastColumnLookup,0))</f>
        <v>47.119009855464505</v>
      </c>
      <c r="Y25" s="32"/>
    </row>
    <row r="26" spans="2:25">
      <c r="C26" s="18" t="s">
        <v>5</v>
      </c>
      <c r="E26" s="28">
        <f>INDEX([2]!tbl_Forecast,MATCH($D$8&amp;$C26&amp;$D$7,[2]!rng_ForecastRowLookup,0),MATCH(E$11,[2]!rng_ForecastColumnLookup,0))</f>
        <v>170.15189589049527</v>
      </c>
      <c r="F26" s="28">
        <f>INDEX([2]!tbl_Forecast,MATCH($D$8&amp;$C26&amp;$D$7,[2]!rng_ForecastRowLookup,0),MATCH(F$11,[2]!rng_ForecastColumnLookup,0))</f>
        <v>169.74353134035809</v>
      </c>
      <c r="G26" s="28">
        <f>INDEX([2]!tbl_Forecast,MATCH($D$8&amp;$C26&amp;$D$7,[2]!rng_ForecastRowLookup,0),MATCH(G$11,[2]!rng_ForecastColumnLookup,0))</f>
        <v>169.33614686514122</v>
      </c>
      <c r="H26" s="28">
        <f>INDEX([2]!tbl_Forecast,MATCH($D$8&amp;$C26&amp;$D$7,[2]!rng_ForecastRowLookup,0),MATCH(H$11,[2]!rng_ForecastColumnLookup,0))</f>
        <v>168.92974011266489</v>
      </c>
      <c r="I26" s="28">
        <f>INDEX([2]!tbl_Forecast,MATCH($D$8&amp;$C26&amp;$D$7,[2]!rng_ForecastRowLookup,0),MATCH(I$11,[2]!rng_ForecastColumnLookup,0))</f>
        <v>168.52430873639449</v>
      </c>
      <c r="J26" s="28">
        <f>INDEX([2]!tbl_Forecast,MATCH($D$8&amp;$C26&amp;$D$7,[2]!rng_ForecastRowLookup,0),MATCH(J$11,[2]!rng_ForecastColumnLookup,0))</f>
        <v>168.11985039542716</v>
      </c>
      <c r="K26" s="28">
        <f>INDEX([2]!tbl_Forecast,MATCH($D$8&amp;$C26&amp;$D$7,[2]!rng_ForecastRowLookup,0),MATCH(K$11,[2]!rng_ForecastColumnLookup,0))</f>
        <v>167.71636275447813</v>
      </c>
      <c r="L26" s="28">
        <f>INDEX([2]!tbl_Forecast,MATCH($D$8&amp;$C26&amp;$D$7,[2]!rng_ForecastRowLookup,0),MATCH(L$11,[2]!rng_ForecastColumnLookup,0))</f>
        <v>167.31384348386743</v>
      </c>
      <c r="M26" s="28">
        <f>INDEX([2]!tbl_Forecast,MATCH($D$8&amp;$C26&amp;$D$7,[2]!rng_ForecastRowLookup,0),MATCH(M$11,[2]!rng_ForecastColumnLookup,0))</f>
        <v>166.91229025950614</v>
      </c>
      <c r="N26" s="28">
        <f>INDEX([2]!tbl_Forecast,MATCH($D$8&amp;$C26&amp;$D$7,[2]!rng_ForecastRowLookup,0),MATCH(N$11,[2]!rng_ForecastColumnLookup,0))</f>
        <v>166.51170076288332</v>
      </c>
      <c r="O26" s="28">
        <f>INDEX([2]!tbl_Forecast,MATCH($D$8&amp;$C26&amp;$D$7,[2]!rng_ForecastRowLookup,0),MATCH(O$11,[2]!rng_ForecastColumnLookup,0))</f>
        <v>166.11207268105238</v>
      </c>
      <c r="P26" s="28">
        <f>INDEX([2]!tbl_Forecast,MATCH($D$8&amp;$C26&amp;$D$7,[2]!rng_ForecastRowLookup,0),MATCH(P$11,[2]!rng_ForecastColumnLookup,0))</f>
        <v>165.7134037066179</v>
      </c>
      <c r="Q26" s="28">
        <f>INDEX([2]!tbl_Forecast,MATCH($D$8&amp;$C26&amp;$D$7,[2]!rng_ForecastRowLookup,0),MATCH(Q$11,[2]!rng_ForecastColumnLookup,0))</f>
        <v>165.31569153772202</v>
      </c>
      <c r="R26" s="28">
        <f>INDEX([2]!tbl_Forecast,MATCH($D$8&amp;$C26&amp;$D$7,[2]!rng_ForecastRowLookup,0),MATCH(R$11,[2]!rng_ForecastColumnLookup,0))</f>
        <v>164.91893387803151</v>
      </c>
      <c r="S26" s="28">
        <f>INDEX([2]!tbl_Forecast,MATCH($D$8&amp;$C26&amp;$D$7,[2]!rng_ForecastRowLookup,0),MATCH(S$11,[2]!rng_ForecastColumnLookup,0))</f>
        <v>164.52312843672422</v>
      </c>
      <c r="T26" s="28">
        <f>INDEX([2]!tbl_Forecast,MATCH($D$8&amp;$C26&amp;$D$7,[2]!rng_ForecastRowLookup,0),MATCH(T$11,[2]!rng_ForecastColumnLookup,0))</f>
        <v>164.12827292847609</v>
      </c>
      <c r="U26" s="28">
        <f>INDEX([2]!tbl_Forecast,MATCH($D$8&amp;$C26&amp;$D$7,[2]!rng_ForecastRowLookup,0),MATCH(U$11,[2]!rng_ForecastColumnLookup,0))</f>
        <v>163.73436507344778</v>
      </c>
      <c r="V26" s="28">
        <f>INDEX([2]!tbl_Forecast,MATCH($D$8&amp;$C26&amp;$D$7,[2]!rng_ForecastRowLookup,0),MATCH(V$11,[2]!rng_ForecastColumnLookup,0))</f>
        <v>163.3414025972715</v>
      </c>
      <c r="W26" s="28">
        <f>INDEX([2]!tbl_Forecast,MATCH($D$8&amp;$C26&amp;$D$7,[2]!rng_ForecastRowLookup,0),MATCH(W$11,[2]!rng_ForecastColumnLookup,0))</f>
        <v>162.94938323103807</v>
      </c>
      <c r="X26" s="28">
        <f>INDEX([2]!tbl_Forecast,MATCH($D$8&amp;$C26&amp;$D$7,[2]!rng_ForecastRowLookup,0),MATCH(X$11,[2]!rng_ForecastColumnLookup,0))</f>
        <v>162.55830471128357</v>
      </c>
      <c r="Y26" s="32"/>
    </row>
    <row r="27" spans="2:25">
      <c r="C27" s="18" t="s">
        <v>164</v>
      </c>
      <c r="E27" s="28">
        <f>INDEX([2]!tbl_Forecast,MATCH($D$8&amp;$C27&amp;$D$7,[2]!rng_ForecastRowLookup,0),MATCH(E$11,[2]!rng_ForecastColumnLookup,0))</f>
        <v>105.02947953487826</v>
      </c>
      <c r="F27" s="28">
        <f>INDEX([2]!tbl_Forecast,MATCH($D$8&amp;$C27&amp;$D$7,[2]!rng_ForecastRowLookup,0),MATCH(F$11,[2]!rng_ForecastColumnLookup,0))</f>
        <v>104.80891762785501</v>
      </c>
      <c r="G27" s="28">
        <f>INDEX([2]!tbl_Forecast,MATCH($D$8&amp;$C27&amp;$D$7,[2]!rng_ForecastRowLookup,0),MATCH(G$11,[2]!rng_ForecastColumnLookup,0))</f>
        <v>104.58881890083651</v>
      </c>
      <c r="H27" s="28">
        <f>INDEX([2]!tbl_Forecast,MATCH($D$8&amp;$C27&amp;$D$7,[2]!rng_ForecastRowLookup,0),MATCH(H$11,[2]!rng_ForecastColumnLookup,0))</f>
        <v>104.36918238114475</v>
      </c>
      <c r="I27" s="28">
        <f>INDEX([2]!tbl_Forecast,MATCH($D$8&amp;$C27&amp;$D$7,[2]!rng_ForecastRowLookup,0),MATCH(I$11,[2]!rng_ForecastColumnLookup,0))</f>
        <v>104.15000709814436</v>
      </c>
      <c r="J27" s="28">
        <f>INDEX([2]!tbl_Forecast,MATCH($D$8&amp;$C27&amp;$D$7,[2]!rng_ForecastRowLookup,0),MATCH(J$11,[2]!rng_ForecastColumnLookup,0))</f>
        <v>103.93129208323826</v>
      </c>
      <c r="K27" s="28">
        <f>INDEX([2]!tbl_Forecast,MATCH($D$8&amp;$C27&amp;$D$7,[2]!rng_ForecastRowLookup,0),MATCH(K$11,[2]!rng_ForecastColumnLookup,0))</f>
        <v>103.71303636986346</v>
      </c>
      <c r="L27" s="28">
        <f>INDEX([2]!tbl_Forecast,MATCH($D$8&amp;$C27&amp;$D$7,[2]!rng_ForecastRowLookup,0),MATCH(L$11,[2]!rng_ForecastColumnLookup,0))</f>
        <v>103.49523899348674</v>
      </c>
      <c r="M27" s="28">
        <f>INDEX([2]!tbl_Forecast,MATCH($D$8&amp;$C27&amp;$D$7,[2]!rng_ForecastRowLookup,0),MATCH(M$11,[2]!rng_ForecastColumnLookup,0))</f>
        <v>103.27789899160042</v>
      </c>
      <c r="N27" s="28">
        <f>INDEX([2]!tbl_Forecast,MATCH($D$8&amp;$C27&amp;$D$7,[2]!rng_ForecastRowLookup,0),MATCH(N$11,[2]!rng_ForecastColumnLookup,0))</f>
        <v>103.06101540371807</v>
      </c>
      <c r="O27" s="28">
        <f>INDEX([2]!tbl_Forecast,MATCH($D$8&amp;$C27&amp;$D$7,[2]!rng_ForecastRowLookup,0),MATCH(O$11,[2]!rng_ForecastColumnLookup,0))</f>
        <v>102.84458727137024</v>
      </c>
      <c r="P27" s="28">
        <f>INDEX([2]!tbl_Forecast,MATCH($D$8&amp;$C27&amp;$D$7,[2]!rng_ForecastRowLookup,0),MATCH(P$11,[2]!rng_ForecastColumnLookup,0))</f>
        <v>102.62861363810038</v>
      </c>
      <c r="Q27" s="28">
        <f>INDEX([2]!tbl_Forecast,MATCH($D$8&amp;$C27&amp;$D$7,[2]!rng_ForecastRowLookup,0),MATCH(Q$11,[2]!rng_ForecastColumnLookup,0))</f>
        <v>102.41309354946036</v>
      </c>
      <c r="R27" s="28">
        <f>INDEX([2]!tbl_Forecast,MATCH($D$8&amp;$C27&amp;$D$7,[2]!rng_ForecastRowLookup,0),MATCH(R$11,[2]!rng_ForecastColumnLookup,0))</f>
        <v>102.19802605300649</v>
      </c>
      <c r="S27" s="28">
        <f>INDEX([2]!tbl_Forecast,MATCH($D$8&amp;$C27&amp;$D$7,[2]!rng_ForecastRowLookup,0),MATCH(S$11,[2]!rng_ForecastColumnLookup,0))</f>
        <v>101.98341019829519</v>
      </c>
      <c r="T27" s="28">
        <f>INDEX([2]!tbl_Forecast,MATCH($D$8&amp;$C27&amp;$D$7,[2]!rng_ForecastRowLookup,0),MATCH(T$11,[2]!rng_ForecastColumnLookup,0))</f>
        <v>101.76924503687877</v>
      </c>
      <c r="U27" s="28">
        <f>INDEX([2]!tbl_Forecast,MATCH($D$8&amp;$C27&amp;$D$7,[2]!rng_ForecastRowLookup,0),MATCH(U$11,[2]!rng_ForecastColumnLookup,0))</f>
        <v>101.55552962230132</v>
      </c>
      <c r="V27" s="28">
        <f>INDEX([2]!tbl_Forecast,MATCH($D$8&amp;$C27&amp;$D$7,[2]!rng_ForecastRowLookup,0),MATCH(V$11,[2]!rng_ForecastColumnLookup,0))</f>
        <v>101.3422630100945</v>
      </c>
      <c r="W27" s="28">
        <f>INDEX([2]!tbl_Forecast,MATCH($D$8&amp;$C27&amp;$D$7,[2]!rng_ForecastRowLookup,0),MATCH(W$11,[2]!rng_ForecastColumnLookup,0))</f>
        <v>101.1294442577733</v>
      </c>
      <c r="X27" s="28">
        <f>INDEX([2]!tbl_Forecast,MATCH($D$8&amp;$C27&amp;$D$7,[2]!rng_ForecastRowLookup,0),MATCH(X$11,[2]!rng_ForecastColumnLookup,0))</f>
        <v>100.91707242483197</v>
      </c>
      <c r="Y27" s="32"/>
    </row>
    <row r="28" spans="2:25">
      <c r="C28" s="54" t="s">
        <v>7</v>
      </c>
      <c r="E28" s="28">
        <f>INDEX([2]!tbl_Forecast,MATCH($D$8&amp;$C28&amp;$D$7,[2]!rng_ForecastRowLookup,0),MATCH(E$11,[2]!rng_ForecastColumnLookup,0))</f>
        <v>128.74820917277606</v>
      </c>
      <c r="F28" s="28">
        <f>INDEX([2]!tbl_Forecast,MATCH($D$8&amp;$C28&amp;$D$7,[2]!rng_ForecastRowLookup,0),MATCH(F$11,[2]!rng_ForecastColumnLookup,0))</f>
        <v>128.43921347076139</v>
      </c>
      <c r="G28" s="28">
        <f>INDEX([2]!tbl_Forecast,MATCH($D$8&amp;$C28&amp;$D$7,[2]!rng_ForecastRowLookup,0),MATCH(G$11,[2]!rng_ForecastColumnLookup,0))</f>
        <v>128.1309593584316</v>
      </c>
      <c r="H28" s="28">
        <f>INDEX([2]!tbl_Forecast,MATCH($D$8&amp;$C28&amp;$D$7,[2]!rng_ForecastRowLookup,0),MATCH(H$11,[2]!rng_ForecastColumnLookup,0))</f>
        <v>127.82344505597135</v>
      </c>
      <c r="I28" s="28">
        <f>INDEX([2]!tbl_Forecast,MATCH($D$8&amp;$C28&amp;$D$7,[2]!rng_ForecastRowLookup,0),MATCH(I$11,[2]!rng_ForecastColumnLookup,0))</f>
        <v>127.51666878783702</v>
      </c>
      <c r="J28" s="28">
        <f>INDEX([2]!tbl_Forecast,MATCH($D$8&amp;$C28&amp;$D$7,[2]!rng_ForecastRowLookup,0),MATCH(J$11,[2]!rng_ForecastColumnLookup,0))</f>
        <v>127.21062878274621</v>
      </c>
      <c r="K28" s="28">
        <f>INDEX([2]!tbl_Forecast,MATCH($D$8&amp;$C28&amp;$D$7,[2]!rng_ForecastRowLookup,0),MATCH(K$11,[2]!rng_ForecastColumnLookup,0))</f>
        <v>126.90532327366765</v>
      </c>
      <c r="L28" s="28">
        <f>INDEX([2]!tbl_Forecast,MATCH($D$8&amp;$C28&amp;$D$7,[2]!rng_ForecastRowLookup,0),MATCH(L$11,[2]!rng_ForecastColumnLookup,0))</f>
        <v>126.60075049781085</v>
      </c>
      <c r="M28" s="28">
        <f>INDEX([2]!tbl_Forecast,MATCH($D$8&amp;$C28&amp;$D$7,[2]!rng_ForecastRowLookup,0),MATCH(M$11,[2]!rng_ForecastColumnLookup,0))</f>
        <v>126.29690869661611</v>
      </c>
      <c r="N28" s="28">
        <f>INDEX([2]!tbl_Forecast,MATCH($D$8&amp;$C28&amp;$D$7,[2]!rng_ForecastRowLookup,0),MATCH(N$11,[2]!rng_ForecastColumnLookup,0))</f>
        <v>125.99379611574425</v>
      </c>
      <c r="O28" s="28">
        <f>INDEX([2]!tbl_Forecast,MATCH($D$8&amp;$C28&amp;$D$7,[2]!rng_ForecastRowLookup,0),MATCH(O$11,[2]!rng_ForecastColumnLookup,0))</f>
        <v>125.69141100506647</v>
      </c>
      <c r="P28" s="28">
        <f>INDEX([2]!tbl_Forecast,MATCH($D$8&amp;$C28&amp;$D$7,[2]!rng_ForecastRowLookup,0),MATCH(P$11,[2]!rng_ForecastColumnLookup,0))</f>
        <v>125.3897516186543</v>
      </c>
      <c r="Q28" s="28">
        <f>INDEX([2]!tbl_Forecast,MATCH($D$8&amp;$C28&amp;$D$7,[2]!rng_ForecastRowLookup,0),MATCH(Q$11,[2]!rng_ForecastColumnLookup,0))</f>
        <v>125.08881621476955</v>
      </c>
      <c r="R28" s="28">
        <f>INDEX([2]!tbl_Forecast,MATCH($D$8&amp;$C28&amp;$D$7,[2]!rng_ForecastRowLookup,0),MATCH(R$11,[2]!rng_ForecastColumnLookup,0))</f>
        <v>124.78860305585408</v>
      </c>
      <c r="S28" s="28">
        <f>INDEX([2]!tbl_Forecast,MATCH($D$8&amp;$C28&amp;$D$7,[2]!rng_ForecastRowLookup,0),MATCH(S$11,[2]!rng_ForecastColumnLookup,0))</f>
        <v>124.48911040852005</v>
      </c>
      <c r="T28" s="28">
        <f>INDEX([2]!tbl_Forecast,MATCH($D$8&amp;$C28&amp;$D$7,[2]!rng_ForecastRowLookup,0),MATCH(T$11,[2]!rng_ForecastColumnLookup,0))</f>
        <v>124.1903365435396</v>
      </c>
      <c r="U28" s="28">
        <f>INDEX([2]!tbl_Forecast,MATCH($D$8&amp;$C28&amp;$D$7,[2]!rng_ForecastRowLookup,0),MATCH(U$11,[2]!rng_ForecastColumnLookup,0))</f>
        <v>123.8922797358351</v>
      </c>
      <c r="V28" s="28">
        <f>INDEX([2]!tbl_Forecast,MATCH($D$8&amp;$C28&amp;$D$7,[2]!rng_ForecastRowLookup,0),MATCH(V$11,[2]!rng_ForecastColumnLookup,0))</f>
        <v>123.59493826446912</v>
      </c>
      <c r="W28" s="28">
        <f>INDEX([2]!tbl_Forecast,MATCH($D$8&amp;$C28&amp;$D$7,[2]!rng_ForecastRowLookup,0),MATCH(W$11,[2]!rng_ForecastColumnLookup,0))</f>
        <v>123.29831041263438</v>
      </c>
      <c r="X28" s="28">
        <f>INDEX([2]!tbl_Forecast,MATCH($D$8&amp;$C28&amp;$D$7,[2]!rng_ForecastRowLookup,0),MATCH(X$11,[2]!rng_ForecastColumnLookup,0))</f>
        <v>123.00239446764408</v>
      </c>
      <c r="Y28" s="32"/>
    </row>
    <row r="29" spans="2:25">
      <c r="C29" s="18" t="s">
        <v>3</v>
      </c>
      <c r="E29" s="28">
        <f>INDEX([2]!tbl_Forecast,MATCH($D$8&amp;$C29&amp;$D$7,[2]!rng_ForecastRowLookup,0),MATCH(E$11,[2]!rng_ForecastColumnLookup,0))</f>
        <v>375.90224900649127</v>
      </c>
      <c r="F29" s="28">
        <f>INDEX([2]!tbl_Forecast,MATCH($D$8&amp;$C29&amp;$D$7,[2]!rng_ForecastRowLookup,0),MATCH(F$11,[2]!rng_ForecastColumnLookup,0))</f>
        <v>374.21570091594884</v>
      </c>
      <c r="G29" s="28">
        <f>INDEX([2]!tbl_Forecast,MATCH($D$8&amp;$C29&amp;$D$7,[2]!rng_ForecastRowLookup,0),MATCH(G$11,[2]!rng_ForecastColumnLookup,0))</f>
        <v>372.53671980450594</v>
      </c>
      <c r="H29" s="28">
        <f>INDEX([2]!tbl_Forecast,MATCH($D$8&amp;$C29&amp;$D$7,[2]!rng_ForecastRowLookup,0),MATCH(H$11,[2]!rng_ForecastColumnLookup,0))</f>
        <v>370.86527172164978</v>
      </c>
      <c r="I29" s="28">
        <f>INDEX([2]!tbl_Forecast,MATCH($D$8&amp;$C29&amp;$D$7,[2]!rng_ForecastRowLookup,0),MATCH(I$11,[2]!rng_ForecastColumnLookup,0))</f>
        <v>369.20132286919198</v>
      </c>
      <c r="J29" s="28">
        <f>INDEX([2]!tbl_Forecast,MATCH($D$8&amp;$C29&amp;$D$7,[2]!rng_ForecastRowLookup,0),MATCH(J$11,[2]!rng_ForecastColumnLookup,0))</f>
        <v>367.54483960058553</v>
      </c>
      <c r="K29" s="28">
        <f>INDEX([2]!tbl_Forecast,MATCH($D$8&amp;$C29&amp;$D$7,[2]!rng_ForecastRowLookup,0),MATCH(K$11,[2]!rng_ForecastColumnLookup,0))</f>
        <v>365.89578842024423</v>
      </c>
      <c r="L29" s="28">
        <f>INDEX([2]!tbl_Forecast,MATCH($D$8&amp;$C29&amp;$D$7,[2]!rng_ForecastRowLookup,0),MATCH(L$11,[2]!rng_ForecastColumnLookup,0))</f>
        <v>364.25413598286536</v>
      </c>
      <c r="M29" s="28">
        <f>INDEX([2]!tbl_Forecast,MATCH($D$8&amp;$C29&amp;$D$7,[2]!rng_ForecastRowLookup,0),MATCH(M$11,[2]!rng_ForecastColumnLookup,0))</f>
        <v>362.6198490927556</v>
      </c>
      <c r="N29" s="28">
        <f>INDEX([2]!tbl_Forecast,MATCH($D$8&amp;$C29&amp;$D$7,[2]!rng_ForecastRowLookup,0),MATCH(N$11,[2]!rng_ForecastColumnLookup,0))</f>
        <v>360.99289470315949</v>
      </c>
      <c r="O29" s="28">
        <f>INDEX([2]!tbl_Forecast,MATCH($D$8&amp;$C29&amp;$D$7,[2]!rng_ForecastRowLookup,0),MATCH(O$11,[2]!rng_ForecastColumnLookup,0))</f>
        <v>359.37323991559134</v>
      </c>
      <c r="P29" s="28">
        <f>INDEX([2]!tbl_Forecast,MATCH($D$8&amp;$C29&amp;$D$7,[2]!rng_ForecastRowLookup,0),MATCH(P$11,[2]!rng_ForecastColumnLookup,0))</f>
        <v>357.76085197917007</v>
      </c>
      <c r="Q29" s="28">
        <f>INDEX([2]!tbl_Forecast,MATCH($D$8&amp;$C29&amp;$D$7,[2]!rng_ForecastRowLookup,0),MATCH(Q$11,[2]!rng_ForecastColumnLookup,0))</f>
        <v>356.15569828995689</v>
      </c>
      <c r="R29" s="28">
        <f>INDEX([2]!tbl_Forecast,MATCH($D$8&amp;$C29&amp;$D$7,[2]!rng_ForecastRowLookup,0),MATCH(R$11,[2]!rng_ForecastColumnLookup,0))</f>
        <v>354.55774639029596</v>
      </c>
      <c r="S29" s="28">
        <f>INDEX([2]!tbl_Forecast,MATCH($D$8&amp;$C29&amp;$D$7,[2]!rng_ForecastRowLookup,0),MATCH(S$11,[2]!rng_ForecastColumnLookup,0))</f>
        <v>352.96696396815821</v>
      </c>
      <c r="T29" s="28">
        <f>INDEX([2]!tbl_Forecast,MATCH($D$8&amp;$C29&amp;$D$7,[2]!rng_ForecastRowLookup,0),MATCH(T$11,[2]!rng_ForecastColumnLookup,0))</f>
        <v>351.38331885648773</v>
      </c>
      <c r="U29" s="28">
        <f>INDEX([2]!tbl_Forecast,MATCH($D$8&amp;$C29&amp;$D$7,[2]!rng_ForecastRowLookup,0),MATCH(U$11,[2]!rng_ForecastColumnLookup,0))</f>
        <v>349.80677903255156</v>
      </c>
      <c r="V29" s="28">
        <f>INDEX([2]!tbl_Forecast,MATCH($D$8&amp;$C29&amp;$D$7,[2]!rng_ForecastRowLookup,0),MATCH(V$11,[2]!rng_ForecastColumnLookup,0))</f>
        <v>348.23731261729228</v>
      </c>
      <c r="W29" s="28">
        <f>INDEX([2]!tbl_Forecast,MATCH($D$8&amp;$C29&amp;$D$7,[2]!rng_ForecastRowLookup,0),MATCH(W$11,[2]!rng_ForecastColumnLookup,0))</f>
        <v>346.67488787468267</v>
      </c>
      <c r="X29" s="28">
        <f>INDEX([2]!tbl_Forecast,MATCH($D$8&amp;$C29&amp;$D$7,[2]!rng_ForecastRowLookup,0),MATCH(X$11,[2]!rng_ForecastColumnLookup,0))</f>
        <v>345.11947321108494</v>
      </c>
      <c r="Y29" s="32"/>
    </row>
    <row r="30" spans="2:25">
      <c r="C30" s="18" t="s">
        <v>11</v>
      </c>
      <c r="E30" s="28">
        <f>INDEX([2]!tbl_Forecast,MATCH($D$8&amp;$C30&amp;$D$7,[2]!rng_ForecastRowLookup,0),MATCH(E$11,[2]!rng_ForecastColumnLookup,0))</f>
        <v>342.64988330108076</v>
      </c>
      <c r="F30" s="28">
        <f>INDEX([2]!tbl_Forecast,MATCH($D$8&amp;$C30&amp;$D$7,[2]!rng_ForecastRowLookup,0),MATCH(F$11,[2]!rng_ForecastColumnLookup,0))</f>
        <v>339.56603435137106</v>
      </c>
      <c r="G30" s="28">
        <f>INDEX([2]!tbl_Forecast,MATCH($D$8&amp;$C30&amp;$D$7,[2]!rng_ForecastRowLookup,0),MATCH(G$11,[2]!rng_ForecastColumnLookup,0))</f>
        <v>336.50994004220871</v>
      </c>
      <c r="H30" s="28">
        <f>INDEX([2]!tbl_Forecast,MATCH($D$8&amp;$C30&amp;$D$7,[2]!rng_ForecastRowLookup,0),MATCH(H$11,[2]!rng_ForecastColumnLookup,0))</f>
        <v>333.48135058182885</v>
      </c>
      <c r="I30" s="28">
        <f>INDEX([2]!tbl_Forecast,MATCH($D$8&amp;$C30&amp;$D$7,[2]!rng_ForecastRowLookup,0),MATCH(I$11,[2]!rng_ForecastColumnLookup,0))</f>
        <v>330.48001842659238</v>
      </c>
      <c r="J30" s="28">
        <f>INDEX([2]!tbl_Forecast,MATCH($D$8&amp;$C30&amp;$D$7,[2]!rng_ForecastRowLookup,0),MATCH(J$11,[2]!rng_ForecastColumnLookup,0))</f>
        <v>327.50569826075304</v>
      </c>
      <c r="K30" s="28">
        <f>INDEX([2]!tbl_Forecast,MATCH($D$8&amp;$C30&amp;$D$7,[2]!rng_ForecastRowLookup,0),MATCH(K$11,[2]!rng_ForecastColumnLookup,0))</f>
        <v>324.55814697640625</v>
      </c>
      <c r="L30" s="28">
        <f>INDEX([2]!tbl_Forecast,MATCH($D$8&amp;$C30&amp;$D$7,[2]!rng_ForecastRowLookup,0),MATCH(L$11,[2]!rng_ForecastColumnLookup,0))</f>
        <v>321.63712365361863</v>
      </c>
      <c r="M30" s="28">
        <f>INDEX([2]!tbl_Forecast,MATCH($D$8&amp;$C30&amp;$D$7,[2]!rng_ForecastRowLookup,0),MATCH(M$11,[2]!rng_ForecastColumnLookup,0))</f>
        <v>318.7423895407361</v>
      </c>
      <c r="N30" s="28">
        <f>INDEX([2]!tbl_Forecast,MATCH($D$8&amp;$C30&amp;$D$7,[2]!rng_ForecastRowLookup,0),MATCH(N$11,[2]!rng_ForecastColumnLookup,0))</f>
        <v>315.87370803486942</v>
      </c>
      <c r="O30" s="28">
        <f>INDEX([2]!tbl_Forecast,MATCH($D$8&amp;$C30&amp;$D$7,[2]!rng_ForecastRowLookup,0),MATCH(O$11,[2]!rng_ForecastColumnLookup,0))</f>
        <v>313.03084466255564</v>
      </c>
      <c r="P30" s="28">
        <f>INDEX([2]!tbl_Forecast,MATCH($D$8&amp;$C30&amp;$D$7,[2]!rng_ForecastRowLookup,0),MATCH(P$11,[2]!rng_ForecastColumnLookup,0))</f>
        <v>310.21356706059254</v>
      </c>
      <c r="Q30" s="28">
        <f>INDEX([2]!tbl_Forecast,MATCH($D$8&amp;$C30&amp;$D$7,[2]!rng_ForecastRowLookup,0),MATCH(Q$11,[2]!rng_ForecastColumnLookup,0))</f>
        <v>307.42164495704725</v>
      </c>
      <c r="R30" s="28">
        <f>INDEX([2]!tbl_Forecast,MATCH($D$8&amp;$C30&amp;$D$7,[2]!rng_ForecastRowLookup,0),MATCH(R$11,[2]!rng_ForecastColumnLookup,0))</f>
        <v>304.65485015243382</v>
      </c>
      <c r="S30" s="28">
        <f>INDEX([2]!tbl_Forecast,MATCH($D$8&amp;$C30&amp;$D$7,[2]!rng_ForecastRowLookup,0),MATCH(S$11,[2]!rng_ForecastColumnLookup,0))</f>
        <v>301.9129565010619</v>
      </c>
      <c r="T30" s="28">
        <f>INDEX([2]!tbl_Forecast,MATCH($D$8&amp;$C30&amp;$D$7,[2]!rng_ForecastRowLookup,0),MATCH(T$11,[2]!rng_ForecastColumnLookup,0))</f>
        <v>299.19573989255235</v>
      </c>
      <c r="U30" s="28">
        <f>INDEX([2]!tbl_Forecast,MATCH($D$8&amp;$C30&amp;$D$7,[2]!rng_ForecastRowLookup,0),MATCH(U$11,[2]!rng_ForecastColumnLookup,0))</f>
        <v>296.50297823351934</v>
      </c>
      <c r="V30" s="28">
        <f>INDEX([2]!tbl_Forecast,MATCH($D$8&amp;$C30&amp;$D$7,[2]!rng_ForecastRowLookup,0),MATCH(V$11,[2]!rng_ForecastColumnLookup,0))</f>
        <v>293.83445142941764</v>
      </c>
      <c r="W30" s="28">
        <f>INDEX([2]!tbl_Forecast,MATCH($D$8&amp;$C30&amp;$D$7,[2]!rng_ForecastRowLookup,0),MATCH(W$11,[2]!rng_ForecastColumnLookup,0))</f>
        <v>291.18994136655289</v>
      </c>
      <c r="X30" s="28">
        <f>INDEX([2]!tbl_Forecast,MATCH($D$8&amp;$C30&amp;$D$7,[2]!rng_ForecastRowLookup,0),MATCH(X$11,[2]!rng_ForecastColumnLookup,0))</f>
        <v>288.5692318942539</v>
      </c>
      <c r="Y30" s="32"/>
    </row>
    <row r="31" spans="2:25">
      <c r="B31" s="190"/>
      <c r="E31" s="33">
        <f>SUM(E13:E30)</f>
        <v>3371.0405269479006</v>
      </c>
      <c r="F31" s="33">
        <f t="shared" ref="F31:X31" si="2">SUM(F13:F30)</f>
        <v>3356.5369104716883</v>
      </c>
      <c r="G31" s="33">
        <f t="shared" si="2"/>
        <v>3342.1075656435023</v>
      </c>
      <c r="H31" s="33">
        <f t="shared" si="2"/>
        <v>3327.7520346049623</v>
      </c>
      <c r="I31" s="33">
        <f t="shared" si="2"/>
        <v>3313.4698627952139</v>
      </c>
      <c r="J31" s="33">
        <f t="shared" si="2"/>
        <v>3299.2605989245808</v>
      </c>
      <c r="K31" s="33">
        <f t="shared" si="2"/>
        <v>3285.1237949484457</v>
      </c>
      <c r="L31" s="33">
        <f t="shared" si="2"/>
        <v>3271.0590060413433</v>
      </c>
      <c r="M31" s="33">
        <f t="shared" si="2"/>
        <v>3257.0657905712806</v>
      </c>
      <c r="N31" s="33">
        <f t="shared" si="2"/>
        <v>3243.1437100742696</v>
      </c>
      <c r="O31" s="33">
        <f t="shared" si="2"/>
        <v>3229.2923292290834</v>
      </c>
      <c r="P31" s="33">
        <f t="shared" si="2"/>
        <v>3215.5112158322117</v>
      </c>
      <c r="Q31" s="33">
        <f t="shared" si="2"/>
        <v>3201.7999407730422</v>
      </c>
      <c r="R31" s="33">
        <f t="shared" si="2"/>
        <v>3188.1580780092468</v>
      </c>
      <c r="S31" s="33">
        <f t="shared" si="2"/>
        <v>3174.5852045423726</v>
      </c>
      <c r="T31" s="33">
        <f t="shared" si="2"/>
        <v>3161.0809003936483</v>
      </c>
      <c r="U31" s="33">
        <f t="shared" si="2"/>
        <v>3147.644748579979</v>
      </c>
      <c r="V31" s="33">
        <f t="shared" si="2"/>
        <v>3134.2763350901637</v>
      </c>
      <c r="W31" s="33">
        <f t="shared" si="2"/>
        <v>3120.9752488612994</v>
      </c>
      <c r="X31" s="33">
        <f t="shared" si="2"/>
        <v>3107.74108175539</v>
      </c>
      <c r="Y31" s="36"/>
    </row>
    <row r="32" spans="2:25">
      <c r="E32" s="31"/>
      <c r="F32" s="31"/>
      <c r="G32" s="31"/>
      <c r="H32" s="31"/>
      <c r="I32" s="31"/>
      <c r="J32" s="31"/>
      <c r="K32" s="31"/>
      <c r="L32" s="31"/>
      <c r="M32" s="31"/>
      <c r="N32" s="31"/>
      <c r="O32" s="31"/>
      <c r="P32" s="31"/>
      <c r="Q32" s="31"/>
      <c r="R32" s="31"/>
      <c r="S32" s="31"/>
      <c r="T32" s="31"/>
      <c r="U32" s="31"/>
      <c r="V32" s="31"/>
      <c r="W32" s="31"/>
      <c r="X32" s="31"/>
      <c r="Y32" s="32"/>
    </row>
    <row r="33" spans="1:72">
      <c r="E33" s="31"/>
      <c r="F33" s="31"/>
      <c r="G33" s="31"/>
      <c r="H33" s="375" t="s">
        <v>924</v>
      </c>
      <c r="I33" s="31"/>
      <c r="J33" s="31"/>
      <c r="K33" s="31"/>
      <c r="L33" s="31"/>
      <c r="M33" s="31"/>
      <c r="N33" s="31"/>
      <c r="O33" s="31"/>
      <c r="P33" s="31"/>
      <c r="Q33" s="31"/>
      <c r="R33" s="31"/>
      <c r="S33" s="31"/>
      <c r="T33" s="31"/>
      <c r="U33" s="31"/>
      <c r="V33" s="31"/>
      <c r="W33" s="31"/>
      <c r="X33" s="31"/>
    </row>
    <row r="34" spans="1:72">
      <c r="A34" s="27" t="s">
        <v>896</v>
      </c>
      <c r="B34" s="27"/>
      <c r="C34" s="27"/>
      <c r="D34" s="47" t="s">
        <v>895</v>
      </c>
      <c r="E34" s="27">
        <f>E11</f>
        <v>2016</v>
      </c>
      <c r="F34" s="27">
        <f t="shared" ref="F34:X34" si="3">F11</f>
        <v>2017</v>
      </c>
      <c r="G34" s="27">
        <f t="shared" si="3"/>
        <v>2018</v>
      </c>
      <c r="H34" s="27">
        <f t="shared" si="3"/>
        <v>2019</v>
      </c>
      <c r="I34" s="27">
        <f t="shared" si="3"/>
        <v>2020</v>
      </c>
      <c r="J34" s="27">
        <f t="shared" si="3"/>
        <v>2021</v>
      </c>
      <c r="K34" s="27">
        <f t="shared" si="3"/>
        <v>2022</v>
      </c>
      <c r="L34" s="27">
        <f t="shared" si="3"/>
        <v>2023</v>
      </c>
      <c r="M34" s="27">
        <f t="shared" si="3"/>
        <v>2024</v>
      </c>
      <c r="N34" s="27">
        <f t="shared" si="3"/>
        <v>2025</v>
      </c>
      <c r="O34" s="27">
        <f t="shared" si="3"/>
        <v>2026</v>
      </c>
      <c r="P34" s="27">
        <f t="shared" si="3"/>
        <v>2027</v>
      </c>
      <c r="Q34" s="27">
        <f t="shared" si="3"/>
        <v>2028</v>
      </c>
      <c r="R34" s="27">
        <f t="shared" si="3"/>
        <v>2029</v>
      </c>
      <c r="S34" s="27">
        <f t="shared" si="3"/>
        <v>2030</v>
      </c>
      <c r="T34" s="27">
        <f t="shared" si="3"/>
        <v>2031</v>
      </c>
      <c r="U34" s="27">
        <f t="shared" si="3"/>
        <v>2032</v>
      </c>
      <c r="V34" s="27">
        <f t="shared" si="3"/>
        <v>2033</v>
      </c>
      <c r="W34" s="27">
        <f t="shared" si="3"/>
        <v>2034</v>
      </c>
      <c r="X34" s="27">
        <f t="shared" si="3"/>
        <v>2035</v>
      </c>
      <c r="Y34" s="287">
        <v>0.85</v>
      </c>
    </row>
    <row r="35" spans="1:72">
      <c r="A35" s="27" t="s">
        <v>40</v>
      </c>
      <c r="B35" s="27"/>
      <c r="C35" s="27" t="str">
        <f>C8</f>
        <v>Commercial EM-Retro</v>
      </c>
      <c r="D35" s="47" t="str">
        <f>VLOOKUP(C35,[1]ACHIEV!$B$13:$C$95,2,FALSE)</f>
        <v>RetroEven20</v>
      </c>
      <c r="E35" s="35">
        <f>VLOOKUP($C$35,[1]!ACHIEV,MATCH(E$11,$E$11:$X$11,0)+2,FALSE)</f>
        <v>0.05</v>
      </c>
      <c r="F35" s="35">
        <f>VLOOKUP($C$35,[1]!ACHIEV,MATCH(F$11,$E$11:$X$11,0)+2,FALSE)</f>
        <v>0.05</v>
      </c>
      <c r="G35" s="35">
        <f>VLOOKUP($C$35,[1]!ACHIEV,MATCH(G$11,$E$11:$X$11,0)+2,FALSE)</f>
        <v>0.05</v>
      </c>
      <c r="H35" s="35">
        <f>VLOOKUP($C$35,[1]!ACHIEV,MATCH(H$11,$E$11:$X$11,0)+2,FALSE)</f>
        <v>0.05</v>
      </c>
      <c r="I35" s="35">
        <f>VLOOKUP($C$35,[1]!ACHIEV,MATCH(I$11,$E$11:$X$11,0)+2,FALSE)</f>
        <v>0.05</v>
      </c>
      <c r="J35" s="35">
        <f>VLOOKUP($C$35,[1]!ACHIEV,MATCH(J$11,$E$11:$X$11,0)+2,FALSE)</f>
        <v>0.05</v>
      </c>
      <c r="K35" s="35">
        <f>VLOOKUP($C$35,[1]!ACHIEV,MATCH(K$11,$E$11:$X$11,0)+2,FALSE)</f>
        <v>0.05</v>
      </c>
      <c r="L35" s="35">
        <f>VLOOKUP($C$35,[1]!ACHIEV,MATCH(L$11,$E$11:$X$11,0)+2,FALSE)</f>
        <v>0.05</v>
      </c>
      <c r="M35" s="35">
        <f>VLOOKUP($C$35,[1]!ACHIEV,MATCH(M$11,$E$11:$X$11,0)+2,FALSE)</f>
        <v>0.05</v>
      </c>
      <c r="N35" s="35">
        <f>VLOOKUP($C$35,[1]!ACHIEV,MATCH(N$11,$E$11:$X$11,0)+2,FALSE)</f>
        <v>0.05</v>
      </c>
      <c r="O35" s="35">
        <f>VLOOKUP($C$35,[1]!ACHIEV,MATCH(O$11,$E$11:$X$11,0)+2,FALSE)</f>
        <v>0.05</v>
      </c>
      <c r="P35" s="35">
        <f>VLOOKUP($C$35,[1]!ACHIEV,MATCH(P$11,$E$11:$X$11,0)+2,FALSE)</f>
        <v>0.05</v>
      </c>
      <c r="Q35" s="35">
        <f>VLOOKUP($C$35,[1]!ACHIEV,MATCH(Q$11,$E$11:$X$11,0)+2,FALSE)</f>
        <v>0.05</v>
      </c>
      <c r="R35" s="35">
        <f>VLOOKUP($C$35,[1]!ACHIEV,MATCH(R$11,$E$11:$X$11,0)+2,FALSE)</f>
        <v>0.05</v>
      </c>
      <c r="S35" s="35">
        <f>VLOOKUP($C$35,[1]!ACHIEV,MATCH(S$11,$E$11:$X$11,0)+2,FALSE)</f>
        <v>0.05</v>
      </c>
      <c r="T35" s="35">
        <f>VLOOKUP($C$35,[1]!ACHIEV,MATCH(T$11,$E$11:$X$11,0)+2,FALSE)</f>
        <v>0.05</v>
      </c>
      <c r="U35" s="35">
        <f>VLOOKUP($C$35,[1]!ACHIEV,MATCH(U$11,$E$11:$X$11,0)+2,FALSE)</f>
        <v>0.05</v>
      </c>
      <c r="V35" s="35">
        <f>VLOOKUP($C$35,[1]!ACHIEV,MATCH(V$11,$E$11:$X$11,0)+2,FALSE)</f>
        <v>0.05</v>
      </c>
      <c r="W35" s="35">
        <f>VLOOKUP($C$35,[1]!ACHIEV,MATCH(W$11,$E$11:$X$11,0)+2,FALSE)</f>
        <v>0.05</v>
      </c>
      <c r="X35" s="35">
        <f>VLOOKUP($C$35,[1]!ACHIEV,MATCH(X$11,$E$11:$X$11,0)+2,FALSE)</f>
        <v>0.05</v>
      </c>
      <c r="Y35" s="17"/>
    </row>
    <row r="36" spans="1:72">
      <c r="B36" s="300">
        <f>VLOOKUP($C$35,[1]!APPLIC,MATCH(C36,BLDGTYP,0)+1,FALSE)</f>
        <v>0.81420000000000003</v>
      </c>
      <c r="C36" s="18" t="str">
        <f>C13</f>
        <v>Large Off</v>
      </c>
      <c r="E36" s="33">
        <f>E13*E$35*$Y$34*$B36</f>
        <v>13.15238496237302</v>
      </c>
      <c r="F36" s="33">
        <f t="shared" ref="F36:G50" si="4">F13*F$35*$Y$34*$B36</f>
        <v>13.112927807485899</v>
      </c>
      <c r="G36" s="33">
        <f t="shared" si="4"/>
        <v>13.073589024063441</v>
      </c>
      <c r="H36" s="395">
        <f>(H13+'SC New'!D165)*H$35*$Y$34*$B36</f>
        <v>13.302506757554156</v>
      </c>
      <c r="I36" s="395">
        <f>(I13+'SC New'!E165)*I$35*$Y$34*$B36</f>
        <v>13.533541239463082</v>
      </c>
      <c r="J36" s="395">
        <f>(J13+'SC New'!F165)*J$35*$Y$34*$B36</f>
        <v>13.70043586225689</v>
      </c>
      <c r="K36" s="395">
        <f>(K13+'SC New'!G165)*K$35*$Y$34*$B36</f>
        <v>13.865412905037452</v>
      </c>
      <c r="L36" s="395">
        <f>(L13+'SC New'!H165)*L$35*$Y$34*$B36</f>
        <v>14.065133075460285</v>
      </c>
      <c r="M36" s="395">
        <f>(M13+'SC New'!I165)*M$35*$Y$34*$B36</f>
        <v>14.256299606870604</v>
      </c>
      <c r="N36" s="395">
        <f>(N13+'SC New'!J165)*N$35*$Y$34*$B36</f>
        <v>14.405961078410781</v>
      </c>
      <c r="O36" s="395">
        <f>(O13+'SC New'!K165)*O$35*$Y$34*$B36</f>
        <v>14.607140310817623</v>
      </c>
      <c r="P36" s="395">
        <f>(P13+'SC New'!L165)*P$35*$Y$34*$B36</f>
        <v>14.77787577380642</v>
      </c>
      <c r="Q36" s="395">
        <f>(Q13+'SC New'!M165)*Q$35*$Y$34*$B36</f>
        <v>14.942547205073801</v>
      </c>
      <c r="R36" s="395">
        <f>(R13+'SC New'!N165)*R$35*$Y$34*$B36</f>
        <v>15.133037721240946</v>
      </c>
      <c r="S36" s="395">
        <f>(S13+'SC New'!O165)*S$35*$Y$34*$B36</f>
        <v>15.323758351977823</v>
      </c>
      <c r="T36" s="395">
        <f>(T13+'SC New'!P165)*T$35*$Y$34*$B36</f>
        <v>15.536027519377267</v>
      </c>
      <c r="U36" s="395">
        <f>(U13+'SC New'!Q165)*U$35*$Y$34*$B36</f>
        <v>15.772788861812705</v>
      </c>
      <c r="V36" s="395">
        <f>(V13+'SC New'!R165)*V$35*$Y$34*$B36</f>
        <v>15.986371715442191</v>
      </c>
      <c r="W36" s="395">
        <f>(W13+'SC New'!S165)*W$35*$Y$34*$B36</f>
        <v>16.222670048577903</v>
      </c>
      <c r="X36" s="395">
        <f>(X13+'SC New'!T165)*X$35*$Y$34*$B36</f>
        <v>16.453894033061516</v>
      </c>
      <c r="Y36" s="36">
        <f>(X13+'SC New'!T165)*$Y$34*B36</f>
        <v>329.07788066123027</v>
      </c>
    </row>
    <row r="37" spans="1:72">
      <c r="B37" s="300">
        <f>VLOOKUP($C$35,[1]!APPLIC,MATCH(C37,BLDGTYP,0)+1,FALSE)</f>
        <v>0.81420000000000003</v>
      </c>
      <c r="C37" s="18" t="str">
        <f t="shared" ref="C37:C53" si="5">C14</f>
        <v>Medium Off</v>
      </c>
      <c r="E37" s="33">
        <f t="shared" ref="E37:G54" si="6">E14*E$35*$Y$34*$B37</f>
        <v>6.6001633289130686</v>
      </c>
      <c r="F37" s="33">
        <f t="shared" si="6"/>
        <v>6.5803628389263293</v>
      </c>
      <c r="G37" s="33">
        <f t="shared" si="6"/>
        <v>6.5606217504095499</v>
      </c>
      <c r="H37" s="395">
        <f>(H14+'SC New'!D166)*H$35*$Y$34*$B37</f>
        <v>6.7483980811027626</v>
      </c>
      <c r="I37" s="395">
        <f>(I14+'SC New'!E166)*I$35*$Y$34*$B37</f>
        <v>6.9478392663106723</v>
      </c>
      <c r="J37" s="395">
        <f>(J14+'SC New'!F166)*J$35*$Y$34*$B37</f>
        <v>7.0883009931964036</v>
      </c>
      <c r="K37" s="395">
        <f>(K14+'SC New'!G166)*K$35*$Y$34*$B37</f>
        <v>7.2312743961680921</v>
      </c>
      <c r="L37" s="395">
        <f>(L14+'SC New'!H166)*L$35*$Y$34*$B37</f>
        <v>7.4040907144106782</v>
      </c>
      <c r="M37" s="395">
        <f>(M14+'SC New'!I166)*M$35*$Y$34*$B37</f>
        <v>7.5677663001412965</v>
      </c>
      <c r="N37" s="395">
        <f>(N14+'SC New'!J166)*N$35*$Y$34*$B37</f>
        <v>7.6901538261225237</v>
      </c>
      <c r="O37" s="395">
        <f>(O14+'SC New'!K166)*O$35*$Y$34*$B37</f>
        <v>7.8652371715723906</v>
      </c>
      <c r="P37" s="395">
        <f>(P14+'SC New'!L166)*P$35*$Y$34*$B37</f>
        <v>8.0153322027062046</v>
      </c>
      <c r="Q37" s="395">
        <f>(Q14+'SC New'!M166)*Q$35*$Y$34*$B37</f>
        <v>8.157046690946034</v>
      </c>
      <c r="R37" s="395">
        <f>(R14+'SC New'!N166)*R$35*$Y$34*$B37</f>
        <v>8.3234247733214488</v>
      </c>
      <c r="S37" s="395">
        <f>(S14+'SC New'!O166)*S$35*$Y$34*$B37</f>
        <v>8.4893421353093945</v>
      </c>
      <c r="T37" s="395">
        <f>(T14+'SC New'!P166)*T$35*$Y$34*$B37</f>
        <v>8.6681821394269924</v>
      </c>
      <c r="U37" s="395">
        <f>(U14+'SC New'!Q166)*U$35*$Y$34*$B37</f>
        <v>8.8625642963038072</v>
      </c>
      <c r="V37" s="395">
        <f>(V14+'SC New'!R166)*V$35*$Y$34*$B37</f>
        <v>9.0444066917583577</v>
      </c>
      <c r="W37" s="395">
        <f>(W14+'SC New'!S166)*W$35*$Y$34*$B37</f>
        <v>9.2482033838101501</v>
      </c>
      <c r="X37" s="395">
        <f>(X14+'SC New'!T166)*X$35*$Y$34*$B37</f>
        <v>9.4407946173066222</v>
      </c>
      <c r="Y37" s="36">
        <f>(X14+'SC New'!T166)*$Y$34*B37</f>
        <v>188.81589234613242</v>
      </c>
    </row>
    <row r="38" spans="1:72">
      <c r="B38" s="300">
        <f>VLOOKUP($C$35,[1]!APPLIC,MATCH(C38,BLDGTYP,0)+1,FALSE)</f>
        <v>0.81420000000000003</v>
      </c>
      <c r="C38" s="18" t="str">
        <f t="shared" si="5"/>
        <v>Small Off</v>
      </c>
      <c r="E38" s="33">
        <f t="shared" si="6"/>
        <v>6.3702052236754652</v>
      </c>
      <c r="F38" s="33">
        <f t="shared" si="4"/>
        <v>6.3510946080044404</v>
      </c>
      <c r="G38" s="33">
        <f t="shared" si="4"/>
        <v>6.3320413241804276</v>
      </c>
      <c r="H38" s="395">
        <f>(H15+'SC New'!D167)*H$35*$Y$34*$B38</f>
        <v>6.3674510455594246</v>
      </c>
      <c r="I38" s="395">
        <f>(I15+'SC New'!E167)*I$35*$Y$34*$B38</f>
        <v>6.4060270681950353</v>
      </c>
      <c r="J38" s="395">
        <f>(J15+'SC New'!F167)*J$35*$Y$34*$B38</f>
        <v>6.4292594844164208</v>
      </c>
      <c r="K38" s="395">
        <f>(K15+'SC New'!G167)*K$35*$Y$34*$B38</f>
        <v>6.4534955626988744</v>
      </c>
      <c r="L38" s="395">
        <f>(L15+'SC New'!H167)*L$35*$Y$34*$B38</f>
        <v>6.4851993605887062</v>
      </c>
      <c r="M38" s="395">
        <f>(M15+'SC New'!I167)*M$35*$Y$34*$B38</f>
        <v>6.5149454577729839</v>
      </c>
      <c r="N38" s="395">
        <f>(N15+'SC New'!J167)*N$35*$Y$34*$B38</f>
        <v>6.5336180070053294</v>
      </c>
      <c r="O38" s="395">
        <f>(O15+'SC New'!K167)*O$35*$Y$34*$B38</f>
        <v>6.5660503885972936</v>
      </c>
      <c r="P38" s="395">
        <f>(P15+'SC New'!L167)*P$35*$Y$34*$B38</f>
        <v>6.5921313249212918</v>
      </c>
      <c r="Q38" s="395">
        <f>(Q15+'SC New'!M167)*Q$35*$Y$34*$B38</f>
        <v>6.6159942161179766</v>
      </c>
      <c r="R38" s="395">
        <f>(R15+'SC New'!N167)*R$35*$Y$34*$B38</f>
        <v>6.646048303371761</v>
      </c>
      <c r="S38" s="395">
        <f>(S15+'SC New'!O167)*S$35*$Y$34*$B38</f>
        <v>6.6760845826164319</v>
      </c>
      <c r="T38" s="395">
        <f>(T15+'SC New'!P167)*T$35*$Y$34*$B38</f>
        <v>6.7096534173691174</v>
      </c>
      <c r="U38" s="395">
        <f>(U15+'SC New'!Q167)*U$35*$Y$34*$B38</f>
        <v>6.7474348848738952</v>
      </c>
      <c r="V38" s="395">
        <f>(V15+'SC New'!R167)*V$35*$Y$34*$B38</f>
        <v>6.7817749481199723</v>
      </c>
      <c r="W38" s="395">
        <f>(W15+'SC New'!S167)*W$35*$Y$34*$B38</f>
        <v>6.8220638611263507</v>
      </c>
      <c r="X38" s="395">
        <f>(X15+'SC New'!T167)*X$35*$Y$34*$B38</f>
        <v>6.8592292623638738</v>
      </c>
      <c r="Y38" s="36">
        <f>(X15+'SC New'!T167)*$Y$34*B38</f>
        <v>137.18458524727745</v>
      </c>
    </row>
    <row r="39" spans="1:72">
      <c r="B39" s="300">
        <f>VLOOKUP($C$35,[1]!APPLIC,MATCH(C39,BLDGTYP,0)+1,FALSE)</f>
        <v>0.81420000000000003</v>
      </c>
      <c r="C39" s="18" t="str">
        <f t="shared" si="5"/>
        <v>XLarge Ret</v>
      </c>
      <c r="E39" s="33">
        <f t="shared" si="6"/>
        <v>4.7876482362265316</v>
      </c>
      <c r="F39" s="33">
        <f t="shared" si="4"/>
        <v>4.765625054339889</v>
      </c>
      <c r="G39" s="33">
        <f t="shared" si="4"/>
        <v>4.7437031790899251</v>
      </c>
      <c r="H39" s="395">
        <f>(H16+'SC New'!D168)*H$35*$Y$34*$B39</f>
        <v>4.752695239977113</v>
      </c>
      <c r="I39" s="395">
        <f>(I16+'SC New'!E168)*I$35*$Y$34*$B39</f>
        <v>4.7932407487241697</v>
      </c>
      <c r="J39" s="395">
        <f>(J16+'SC New'!F168)*J$35*$Y$34*$B39</f>
        <v>4.8230323351520274</v>
      </c>
      <c r="K39" s="395">
        <f>(K16+'SC New'!G168)*K$35*$Y$34*$B39</f>
        <v>4.8325830400212988</v>
      </c>
      <c r="L39" s="395">
        <f>(L16+'SC New'!H168)*L$35*$Y$34*$B39</f>
        <v>4.842719728845335</v>
      </c>
      <c r="M39" s="395">
        <f>(M16+'SC New'!I168)*M$35*$Y$34*$B39</f>
        <v>4.8508523577182423</v>
      </c>
      <c r="N39" s="395">
        <f>(N16+'SC New'!J168)*N$35*$Y$34*$B39</f>
        <v>4.8549580182541821</v>
      </c>
      <c r="O39" s="395">
        <f>(O16+'SC New'!K168)*O$35*$Y$34*$B39</f>
        <v>4.8592387773325987</v>
      </c>
      <c r="P39" s="395">
        <f>(P16+'SC New'!L168)*P$35*$Y$34*$B39</f>
        <v>4.8628944894635406</v>
      </c>
      <c r="Q39" s="395">
        <f>(Q16+'SC New'!M168)*Q$35*$Y$34*$B39</f>
        <v>4.8729152737184629</v>
      </c>
      <c r="R39" s="395">
        <f>(R16+'SC New'!N168)*R$35*$Y$34*$B39</f>
        <v>4.8877911935142135</v>
      </c>
      <c r="S39" s="395">
        <f>(S16+'SC New'!O168)*S$35*$Y$34*$B39</f>
        <v>4.9049864500921974</v>
      </c>
      <c r="T39" s="395">
        <f>(T16+'SC New'!P168)*T$35*$Y$34*$B39</f>
        <v>4.9403037451386869</v>
      </c>
      <c r="U39" s="395">
        <f>(U16+'SC New'!Q168)*U$35*$Y$34*$B39</f>
        <v>4.9828657766367019</v>
      </c>
      <c r="V39" s="395">
        <f>(V16+'SC New'!R168)*V$35*$Y$34*$B39</f>
        <v>5.0186995039258298</v>
      </c>
      <c r="W39" s="395">
        <f>(W16+'SC New'!S168)*W$35*$Y$34*$B39</f>
        <v>5.0535995023629869</v>
      </c>
      <c r="X39" s="395">
        <f>(X16+'SC New'!T168)*X$35*$Y$34*$B39</f>
        <v>5.0865967996139876</v>
      </c>
      <c r="Y39" s="36">
        <f>(X16+'SC New'!T168)*$Y$34*B39</f>
        <v>101.73193599227974</v>
      </c>
    </row>
    <row r="40" spans="1:72">
      <c r="B40" s="300">
        <f>VLOOKUP($C$35,[1]!APPLIC,MATCH(C40,BLDGTYP,0)+1,FALSE)</f>
        <v>0.81420000000000003</v>
      </c>
      <c r="C40" s="18" t="str">
        <f t="shared" si="5"/>
        <v>Large Ret</v>
      </c>
      <c r="E40" s="33">
        <f t="shared" si="6"/>
        <v>7.2306591552633579</v>
      </c>
      <c r="F40" s="33">
        <f>F17*F$35*$Y$34*$B40</f>
        <v>7.1973981231491484</v>
      </c>
      <c r="G40" s="33">
        <f t="shared" si="4"/>
        <v>7.16429009178266</v>
      </c>
      <c r="H40" s="395">
        <f>(H17+'SC New'!D169)*H$35*$Y$34*$B40</f>
        <v>7.1436775621815993</v>
      </c>
      <c r="I40" s="395">
        <f>(I17+'SC New'!E169)*I$35*$Y$34*$B40</f>
        <v>7.1357742505706963</v>
      </c>
      <c r="J40" s="395">
        <f>(J17+'SC New'!F169)*J$35*$Y$34*$B40</f>
        <v>7.1237612543329396</v>
      </c>
      <c r="K40" s="395">
        <f>(K17+'SC New'!G169)*K$35*$Y$34*$B40</f>
        <v>7.10392719760054</v>
      </c>
      <c r="L40" s="395">
        <f>(L17+'SC New'!H169)*L$35*$Y$34*$B40</f>
        <v>7.0844869020601591</v>
      </c>
      <c r="M40" s="395">
        <f>(M17+'SC New'!I169)*M$35*$Y$34*$B40</f>
        <v>7.0642219932793271</v>
      </c>
      <c r="N40" s="395">
        <f>(N17+'SC New'!J169)*N$35*$Y$34*$B40</f>
        <v>7.0422995035414058</v>
      </c>
      <c r="O40" s="395">
        <f>(O17+'SC New'!K169)*O$35*$Y$34*$B40</f>
        <v>7.0205556373124285</v>
      </c>
      <c r="P40" s="395">
        <f>(P17+'SC New'!L169)*P$35*$Y$34*$B40</f>
        <v>6.998626364162674</v>
      </c>
      <c r="Q40" s="395">
        <f>(Q17+'SC New'!M169)*Q$35*$Y$34*$B40</f>
        <v>6.9796250294414293</v>
      </c>
      <c r="R40" s="395">
        <f>(R17+'SC New'!N169)*R$35*$Y$34*$B40</f>
        <v>6.9629114860586609</v>
      </c>
      <c r="S40" s="395">
        <f>(S17+'SC New'!O169)*S$35*$Y$34*$B40</f>
        <v>6.9471419634823244</v>
      </c>
      <c r="T40" s="395">
        <f>(T17+'SC New'!P169)*T$35*$Y$34*$B40</f>
        <v>6.9385263304677762</v>
      </c>
      <c r="U40" s="395">
        <f>(U17+'SC New'!Q169)*U$35*$Y$34*$B40</f>
        <v>6.9328708478648604</v>
      </c>
      <c r="V40" s="395">
        <f>(V17+'SC New'!R169)*V$35*$Y$34*$B40</f>
        <v>6.9246614820829357</v>
      </c>
      <c r="W40" s="395">
        <f>(W17+'SC New'!S169)*W$35*$Y$34*$B40</f>
        <v>6.9162634782968464</v>
      </c>
      <c r="X40" s="395">
        <f>(X17+'SC New'!T169)*X$35*$Y$34*$B40</f>
        <v>6.9071672292214528</v>
      </c>
      <c r="Y40" s="36">
        <f>(X17+'SC New'!T169)*$Y$34*B40</f>
        <v>138.14334458442903</v>
      </c>
    </row>
    <row r="41" spans="1:72">
      <c r="B41" s="300">
        <f>VLOOKUP($C$35,[1]!APPLIC,MATCH(C41,BLDGTYP,0)+1,FALSE)</f>
        <v>0.81420000000000003</v>
      </c>
      <c r="C41" s="18" t="str">
        <f t="shared" si="5"/>
        <v>Medium Ret</v>
      </c>
      <c r="E41" s="33">
        <f t="shared" si="6"/>
        <v>3.3605427759122781</v>
      </c>
      <c r="F41" s="33">
        <f t="shared" si="4"/>
        <v>3.3450842791430819</v>
      </c>
      <c r="G41" s="33">
        <f t="shared" si="4"/>
        <v>3.3296968914590228</v>
      </c>
      <c r="H41" s="395">
        <f>(H18+'SC New'!D170)*H$35*$Y$34*$B41</f>
        <v>3.3608612515359839</v>
      </c>
      <c r="I41" s="395">
        <f>(I18+'SC New'!E170)*I$35*$Y$34*$B41</f>
        <v>3.4399992609524763</v>
      </c>
      <c r="J41" s="395">
        <f>(J18+'SC New'!F170)*J$35*$Y$34*$B41</f>
        <v>3.502514339140768</v>
      </c>
      <c r="K41" s="395">
        <f>(K18+'SC New'!G170)*K$35*$Y$34*$B41</f>
        <v>3.535322046690859</v>
      </c>
      <c r="L41" s="395">
        <f>(L18+'SC New'!H170)*L$35*$Y$34*$B41</f>
        <v>3.5692261974806878</v>
      </c>
      <c r="M41" s="395">
        <f>(M18+'SC New'!I170)*M$35*$Y$34*$B41</f>
        <v>3.5994126723246276</v>
      </c>
      <c r="N41" s="395">
        <f>(N18+'SC New'!J170)*N$35*$Y$34*$B41</f>
        <v>3.6227005148123856</v>
      </c>
      <c r="O41" s="395">
        <f>(O18+'SC New'!K170)*O$35*$Y$34*$B41</f>
        <v>3.6456995650489525</v>
      </c>
      <c r="P41" s="395">
        <f>(P18+'SC New'!L170)*P$35*$Y$34*$B41</f>
        <v>3.6676242850206715</v>
      </c>
      <c r="Q41" s="395">
        <f>(Q18+'SC New'!M170)*Q$35*$Y$34*$B41</f>
        <v>3.7002934977608102</v>
      </c>
      <c r="R41" s="395">
        <f>(R18+'SC New'!N170)*R$35*$Y$34*$B41</f>
        <v>3.7413860197166171</v>
      </c>
      <c r="S41" s="395">
        <f>(S18+'SC New'!O170)*S$35*$Y$34*$B41</f>
        <v>3.7857028973121607</v>
      </c>
      <c r="T41" s="395">
        <f>(T18+'SC New'!P170)*T$35*$Y$34*$B41</f>
        <v>3.855904320324937</v>
      </c>
      <c r="U41" s="395">
        <f>(U18+'SC New'!Q170)*U$35*$Y$34*$B41</f>
        <v>3.9371318053234177</v>
      </c>
      <c r="V41" s="395">
        <f>(V18+'SC New'!R170)*V$35*$Y$34*$B41</f>
        <v>4.0080532772938273</v>
      </c>
      <c r="W41" s="395">
        <f>(W18+'SC New'!S170)*W$35*$Y$34*$B41</f>
        <v>4.078027003205424</v>
      </c>
      <c r="X41" s="395">
        <f>(X18+'SC New'!T170)*X$35*$Y$34*$B41</f>
        <v>4.1448986975719944</v>
      </c>
      <c r="Y41" s="36">
        <f>(X18+'SC New'!T170)*$Y$34*B41</f>
        <v>82.897973951439894</v>
      </c>
    </row>
    <row r="42" spans="1:72">
      <c r="B42" s="300">
        <f>VLOOKUP($C$35,[1]!APPLIC,MATCH(C42,BLDGTYP,0)+1,FALSE)</f>
        <v>0.81420000000000003</v>
      </c>
      <c r="C42" s="18" t="str">
        <f t="shared" si="5"/>
        <v>Small Ret</v>
      </c>
      <c r="E42" s="33">
        <f t="shared" si="6"/>
        <v>3.7883794469111014</v>
      </c>
      <c r="F42" s="33">
        <f t="shared" si="4"/>
        <v>3.7709529014553094</v>
      </c>
      <c r="G42" s="33">
        <f t="shared" si="4"/>
        <v>3.7536065181086151</v>
      </c>
      <c r="H42" s="395">
        <f>(H19+'SC New'!D171)*H$35*$Y$34*$B42</f>
        <v>3.7510374891936844</v>
      </c>
      <c r="I42" s="395">
        <f>(I19+'SC New'!E171)*I$35*$Y$34*$B42</f>
        <v>3.7636958230144919</v>
      </c>
      <c r="J42" s="395">
        <f>(J19+'SC New'!F171)*J$35*$Y$34*$B42</f>
        <v>3.7712405725735554</v>
      </c>
      <c r="K42" s="395">
        <f>(K19+'SC New'!G171)*K$35*$Y$34*$B42</f>
        <v>3.7694326014418249</v>
      </c>
      <c r="L42" s="395">
        <f>(L19+'SC New'!H171)*L$35*$Y$34*$B42</f>
        <v>3.7680114603457753</v>
      </c>
      <c r="M42" s="395">
        <f>(M19+'SC New'!I171)*M$35*$Y$34*$B42</f>
        <v>3.7654552773211978</v>
      </c>
      <c r="N42" s="395">
        <f>(N19+'SC New'!J171)*N$35*$Y$34*$B42</f>
        <v>3.7605293593848623</v>
      </c>
      <c r="O42" s="395">
        <f>(O19+'SC New'!K171)*O$35*$Y$34*$B42</f>
        <v>3.7555578711159239</v>
      </c>
      <c r="P42" s="395">
        <f>(P19+'SC New'!L171)*P$35*$Y$34*$B42</f>
        <v>3.7503238601366409</v>
      </c>
      <c r="Q42" s="395">
        <f>(Q19+'SC New'!M171)*Q$35*$Y$34*$B42</f>
        <v>3.748877097894709</v>
      </c>
      <c r="R42" s="395">
        <f>(R19+'SC New'!N171)*R$35*$Y$34*$B42</f>
        <v>3.750343233283941</v>
      </c>
      <c r="S42" s="395">
        <f>(S19+'SC New'!O171)*S$35*$Y$34*$B42</f>
        <v>3.7528992216903658</v>
      </c>
      <c r="T42" s="395">
        <f>(T19+'SC New'!P171)*T$35*$Y$34*$B42</f>
        <v>3.7635421866380008</v>
      </c>
      <c r="U42" s="395">
        <f>(U19+'SC New'!Q171)*U$35*$Y$34*$B42</f>
        <v>3.7776822817697608</v>
      </c>
      <c r="V42" s="395">
        <f>(V19+'SC New'!R171)*V$35*$Y$34*$B42</f>
        <v>3.7886311069670064</v>
      </c>
      <c r="W42" s="395">
        <f>(W19+'SC New'!S171)*W$35*$Y$34*$B42</f>
        <v>3.799415202737118</v>
      </c>
      <c r="X42" s="395">
        <f>(X19+'SC New'!T171)*X$35*$Y$34*$B42</f>
        <v>3.8092899280298731</v>
      </c>
      <c r="Y42" s="36">
        <f>(X19+'SC New'!T171)*$Y$34*B42</f>
        <v>76.185798560597448</v>
      </c>
    </row>
    <row r="43" spans="1:72">
      <c r="B43" s="300">
        <f>VLOOKUP($C$35,[1]!APPLIC,MATCH(C43,BLDGTYP,0)+1,FALSE)</f>
        <v>0.81420000000000003</v>
      </c>
      <c r="C43" s="18" t="str">
        <f t="shared" si="5"/>
        <v>School K-12</v>
      </c>
      <c r="E43" s="33">
        <f t="shared" si="6"/>
        <v>8.3435142473724113</v>
      </c>
      <c r="F43" s="33">
        <f t="shared" si="4"/>
        <v>8.3093058389581831</v>
      </c>
      <c r="G43" s="33">
        <f t="shared" si="4"/>
        <v>8.2752376850184568</v>
      </c>
      <c r="H43" s="395">
        <f>(H20+'SC New'!D172)*H$35*$Y$34*$B43</f>
        <v>8.2587226912835145</v>
      </c>
      <c r="I43" s="395">
        <f>(I20+'SC New'!E172)*I$35*$Y$34*$B43</f>
        <v>8.2420056916605748</v>
      </c>
      <c r="J43" s="395">
        <f>(J20+'SC New'!F172)*J$35*$Y$34*$B43</f>
        <v>8.2465215628393054</v>
      </c>
      <c r="K43" s="395">
        <f>(K20+'SC New'!G172)*K$35*$Y$34*$B43</f>
        <v>8.2458794147385017</v>
      </c>
      <c r="L43" s="395">
        <f>(L20+'SC New'!H172)*L$35*$Y$34*$B43</f>
        <v>8.2373218273571833</v>
      </c>
      <c r="M43" s="395">
        <f>(M20+'SC New'!I172)*M$35*$Y$34*$B43</f>
        <v>8.2298361042423309</v>
      </c>
      <c r="N43" s="395">
        <f>(N20+'SC New'!J172)*N$35*$Y$34*$B43</f>
        <v>8.2261952162038909</v>
      </c>
      <c r="O43" s="395">
        <f>(O20+'SC New'!K172)*O$35*$Y$34*$B43</f>
        <v>8.2275343187936727</v>
      </c>
      <c r="P43" s="395">
        <f>(P20+'SC New'!L172)*P$35*$Y$34*$B43</f>
        <v>8.2466587317574209</v>
      </c>
      <c r="Q43" s="395">
        <f>(Q20+'SC New'!M172)*Q$35*$Y$34*$B43</f>
        <v>8.2786629041108544</v>
      </c>
      <c r="R43" s="395">
        <f>(R20+'SC New'!N172)*R$35*$Y$34*$B43</f>
        <v>8.3030322368020713</v>
      </c>
      <c r="S43" s="395">
        <f>(S20+'SC New'!O172)*S$35*$Y$34*$B43</f>
        <v>8.3285748210804762</v>
      </c>
      <c r="T43" s="395">
        <f>(T20+'SC New'!P172)*T$35*$Y$34*$B43</f>
        <v>8.3583676972300314</v>
      </c>
      <c r="U43" s="395">
        <f>(U20+'SC New'!Q172)*U$35*$Y$34*$B43</f>
        <v>8.3906503823386664</v>
      </c>
      <c r="V43" s="395">
        <f>(V20+'SC New'!R172)*V$35*$Y$34*$B43</f>
        <v>8.4191373196825356</v>
      </c>
      <c r="W43" s="395">
        <f>(W20+'SC New'!S172)*W$35*$Y$34*$B43</f>
        <v>8.4494384743610418</v>
      </c>
      <c r="X43" s="395">
        <f>(X20+'SC New'!T172)*X$35*$Y$34*$B43</f>
        <v>8.4737096905959035</v>
      </c>
      <c r="Y43" s="36">
        <f>(X20+'SC New'!T172)*$Y$34*B43</f>
        <v>169.47419381191804</v>
      </c>
    </row>
    <row r="44" spans="1:72">
      <c r="B44" s="300">
        <f>VLOOKUP($C$35,[1]!APPLIC,MATCH(C44,BLDGTYP,0)+1,FALSE)</f>
        <v>0.81420000000000003</v>
      </c>
      <c r="C44" s="18" t="str">
        <f t="shared" si="5"/>
        <v>University</v>
      </c>
      <c r="E44" s="33">
        <f t="shared" si="6"/>
        <v>4.2269353939443137</v>
      </c>
      <c r="F44" s="33">
        <f t="shared" si="4"/>
        <v>4.209604958829142</v>
      </c>
      <c r="G44" s="33">
        <f t="shared" si="4"/>
        <v>4.1923455784979424</v>
      </c>
      <c r="H44" s="395">
        <f>(H21+'SC New'!D173)*H$35*$Y$34*$B44</f>
        <v>4.1972886434754146</v>
      </c>
      <c r="I44" s="395">
        <f>(I21+'SC New'!E173)*I$35*$Y$34*$B44</f>
        <v>4.1898602065584845</v>
      </c>
      <c r="J44" s="395">
        <f>(J21+'SC New'!F173)*J$35*$Y$34*$B44</f>
        <v>4.1830963630985449</v>
      </c>
      <c r="K44" s="395">
        <f>(K21+'SC New'!G173)*K$35*$Y$34*$B44</f>
        <v>4.1862586156843884</v>
      </c>
      <c r="L44" s="395">
        <f>(L21+'SC New'!H173)*L$35*$Y$34*$B44</f>
        <v>4.1981366272267042</v>
      </c>
      <c r="M44" s="395">
        <f>(M21+'SC New'!I173)*M$35*$Y$34*$B44</f>
        <v>4.2043470481151868</v>
      </c>
      <c r="N44" s="395">
        <f>(N21+'SC New'!J173)*N$35*$Y$34*$B44</f>
        <v>4.2130618321490978</v>
      </c>
      <c r="O44" s="395">
        <f>(O21+'SC New'!K173)*O$35*$Y$34*$B44</f>
        <v>4.2186223820486104</v>
      </c>
      <c r="P44" s="395">
        <f>(P21+'SC New'!L173)*P$35*$Y$34*$B44</f>
        <v>4.2356550734084859</v>
      </c>
      <c r="Q44" s="395">
        <f>(Q21+'SC New'!M173)*Q$35*$Y$34*$B44</f>
        <v>4.2599951348055569</v>
      </c>
      <c r="R44" s="395">
        <f>(R21+'SC New'!N173)*R$35*$Y$34*$B44</f>
        <v>4.284279701077832</v>
      </c>
      <c r="S44" s="395">
        <f>(S21+'SC New'!O173)*S$35*$Y$34*$B44</f>
        <v>4.3126691806918602</v>
      </c>
      <c r="T44" s="395">
        <f>(T21+'SC New'!P173)*T$35*$Y$34*$B44</f>
        <v>4.34208524548598</v>
      </c>
      <c r="U44" s="395">
        <f>(U21+'SC New'!Q173)*U$35*$Y$34*$B44</f>
        <v>4.375028227227828</v>
      </c>
      <c r="V44" s="395">
        <f>(V21+'SC New'!R173)*V$35*$Y$34*$B44</f>
        <v>4.4087338704923189</v>
      </c>
      <c r="W44" s="395">
        <f>(W21+'SC New'!S173)*W$35*$Y$34*$B44</f>
        <v>4.4372940116841644</v>
      </c>
      <c r="X44" s="395">
        <f>(X21+'SC New'!T173)*X$35*$Y$34*$B44</f>
        <v>4.4619793501624017</v>
      </c>
      <c r="Y44" s="36">
        <f>(X21+'SC New'!T173)*$Y$34*B44</f>
        <v>89.239587003248033</v>
      </c>
    </row>
    <row r="45" spans="1:72">
      <c r="B45" s="300">
        <f>VLOOKUP($C$35,[1]!APPLIC,MATCH(C45,BLDGTYP,0)+1,FALSE)</f>
        <v>0.81420000000000003</v>
      </c>
      <c r="C45" s="18" t="str">
        <f t="shared" si="5"/>
        <v>Warehouse</v>
      </c>
      <c r="E45" s="33">
        <f t="shared" si="6"/>
        <v>15.52653148548934</v>
      </c>
      <c r="F45" s="33">
        <f t="shared" si="4"/>
        <v>15.469083318993029</v>
      </c>
      <c r="G45" s="33">
        <f t="shared" si="4"/>
        <v>15.411847710712753</v>
      </c>
      <c r="H45" s="395">
        <f>(H22+'SC New'!D174)*H$35*$Y$34*$B45</f>
        <v>15.629234497748593</v>
      </c>
      <c r="I45" s="395">
        <f>(I22+'SC New'!E174)*I$35*$Y$34*$B45</f>
        <v>15.837438124542093</v>
      </c>
      <c r="J45" s="395">
        <f>(J22+'SC New'!F174)*J$35*$Y$34*$B45</f>
        <v>16.043041955495884</v>
      </c>
      <c r="K45" s="395">
        <f>(K22+'SC New'!G174)*K$35*$Y$34*$B45</f>
        <v>16.181999135510221</v>
      </c>
      <c r="L45" s="395">
        <f>(L22+'SC New'!H174)*L$35*$Y$34*$B45</f>
        <v>16.291938827964429</v>
      </c>
      <c r="M45" s="395">
        <f>(M22+'SC New'!I174)*M$35*$Y$34*$B45</f>
        <v>16.360124327452848</v>
      </c>
      <c r="N45" s="395">
        <f>(N22+'SC New'!J174)*N$35*$Y$34*$B45</f>
        <v>16.413458977152043</v>
      </c>
      <c r="O45" s="395">
        <f>(O22+'SC New'!K174)*O$35*$Y$34*$B45</f>
        <v>16.498703443658673</v>
      </c>
      <c r="P45" s="395">
        <f>(P22+'SC New'!L174)*P$35*$Y$34*$B45</f>
        <v>16.600446708651706</v>
      </c>
      <c r="Q45" s="395">
        <f>(Q22+'SC New'!M174)*Q$35*$Y$34*$B45</f>
        <v>16.713312840027754</v>
      </c>
      <c r="R45" s="395">
        <f>(R22+'SC New'!N174)*R$35*$Y$34*$B45</f>
        <v>16.8208841434171</v>
      </c>
      <c r="S45" s="395">
        <f>(S22+'SC New'!O174)*S$35*$Y$34*$B45</f>
        <v>16.934163519792151</v>
      </c>
      <c r="T45" s="395">
        <f>(T22+'SC New'!P174)*T$35*$Y$34*$B45</f>
        <v>17.033666781549933</v>
      </c>
      <c r="U45" s="395">
        <f>(U22+'SC New'!Q174)*U$35*$Y$34*$B45</f>
        <v>17.113095832320745</v>
      </c>
      <c r="V45" s="395">
        <f>(V22+'SC New'!R174)*V$35*$Y$34*$B45</f>
        <v>17.19673812788611</v>
      </c>
      <c r="W45" s="395">
        <f>(W22+'SC New'!S174)*W$35*$Y$34*$B45</f>
        <v>17.281045680308235</v>
      </c>
      <c r="X45" s="395">
        <f>(X22+'SC New'!T174)*X$35*$Y$34*$B45</f>
        <v>17.382115282510743</v>
      </c>
      <c r="Y45" s="36">
        <f>(X22+'SC New'!T174)*$Y$34*B45</f>
        <v>347.64230565021484</v>
      </c>
    </row>
    <row r="46" spans="1:72">
      <c r="B46" s="300">
        <f>VLOOKUP($C$35,[1]!APPLIC,MATCH(C46,BLDGTYP,0)+1,FALSE)</f>
        <v>0.81420000000000003</v>
      </c>
      <c r="C46" s="18" t="str">
        <f t="shared" si="5"/>
        <v>Supermarket</v>
      </c>
      <c r="E46" s="33">
        <f t="shared" si="6"/>
        <v>1.8589325309232798</v>
      </c>
      <c r="F46" s="33">
        <f t="shared" si="4"/>
        <v>1.8422021381449702</v>
      </c>
      <c r="G46" s="33">
        <f t="shared" si="4"/>
        <v>1.8256223189016658</v>
      </c>
      <c r="H46" s="395">
        <f>(H23+'SC New'!D175)*H$35*$Y$34*$B46</f>
        <v>1.8196109589405891</v>
      </c>
      <c r="I46" s="395">
        <f>(I23+'SC New'!E175)*I$35*$Y$34*$B46</f>
        <v>1.8167976105368853</v>
      </c>
      <c r="J46" s="395">
        <f>(J23+'SC New'!F175)*J$35*$Y$34*$B46</f>
        <v>1.8125447254654683</v>
      </c>
      <c r="K46" s="395">
        <f>(K23+'SC New'!G175)*K$35*$Y$34*$B46</f>
        <v>1.8069096800399587</v>
      </c>
      <c r="L46" s="395">
        <f>(L23+'SC New'!H175)*L$35*$Y$34*$B46</f>
        <v>1.8013360330055774</v>
      </c>
      <c r="M46" s="395">
        <f>(M23+'SC New'!I175)*M$35*$Y$34*$B46</f>
        <v>1.7957981050886684</v>
      </c>
      <c r="N46" s="395">
        <f>(N23+'SC New'!J175)*N$35*$Y$34*$B46</f>
        <v>1.7902844990241287</v>
      </c>
      <c r="O46" s="395">
        <f>(O23+'SC New'!K175)*O$35*$Y$34*$B46</f>
        <v>1.7847629886164469</v>
      </c>
      <c r="P46" s="395">
        <f>(P23+'SC New'!L175)*P$35*$Y$34*$B46</f>
        <v>1.7792244716530716</v>
      </c>
      <c r="Q46" s="395">
        <f>(Q23+'SC New'!M175)*Q$35*$Y$34*$B46</f>
        <v>1.7736591247154816</v>
      </c>
      <c r="R46" s="395">
        <f>(R23+'SC New'!N175)*R$35*$Y$34*$B46</f>
        <v>1.7681155438495995</v>
      </c>
      <c r="S46" s="395">
        <f>(S23+'SC New'!O175)*S$35*$Y$34*$B46</f>
        <v>1.7626051244412888</v>
      </c>
      <c r="T46" s="395">
        <f>(T23+'SC New'!P175)*T$35*$Y$34*$B46</f>
        <v>1.7571379995659466</v>
      </c>
      <c r="U46" s="395">
        <f>(U23+'SC New'!Q175)*U$35*$Y$34*$B46</f>
        <v>1.7517546966600157</v>
      </c>
      <c r="V46" s="395">
        <f>(V23+'SC New'!R175)*V$35*$Y$34*$B46</f>
        <v>1.7459761920882373</v>
      </c>
      <c r="W46" s="395">
        <f>(W23+'SC New'!S175)*W$35*$Y$34*$B46</f>
        <v>1.7407837590227473</v>
      </c>
      <c r="X46" s="395">
        <f>(X23+'SC New'!T175)*X$35*$Y$34*$B46</f>
        <v>1.735666407196538</v>
      </c>
      <c r="Y46" s="36">
        <f>(X23+'SC New'!T175)*$Y$34*B46</f>
        <v>34.713328143930752</v>
      </c>
    </row>
    <row r="47" spans="1:72">
      <c r="B47" s="300">
        <f>VLOOKUP($C$35,[1]!APPLIC,MATCH(C47,BLDGTYP,0)+1,FALSE)</f>
        <v>0.81420000000000003</v>
      </c>
      <c r="C47" s="18" t="str">
        <f t="shared" si="5"/>
        <v>MiniMart</v>
      </c>
      <c r="E47" s="33">
        <f t="shared" si="6"/>
        <v>0.77826790886728581</v>
      </c>
      <c r="F47" s="33">
        <f t="shared" si="4"/>
        <v>0.77459448433743217</v>
      </c>
      <c r="G47" s="33">
        <f t="shared" si="4"/>
        <v>0.77093839837135958</v>
      </c>
      <c r="H47" s="395">
        <f>(H24+'SC New'!D176)*H$35*$Y$34*$B47</f>
        <v>0.77260932829087614</v>
      </c>
      <c r="I47" s="395">
        <f>(I24+'SC New'!E176)*I$35*$Y$34*$B47</f>
        <v>0.77582724298564698</v>
      </c>
      <c r="J47" s="395">
        <f>(J24+'SC New'!F176)*J$35*$Y$34*$B47</f>
        <v>0.77865912210059407</v>
      </c>
      <c r="K47" s="395">
        <f>(K24+'SC New'!G176)*K$35*$Y$34*$B47</f>
        <v>0.77838523479533428</v>
      </c>
      <c r="L47" s="395">
        <f>(L24+'SC New'!H176)*L$35*$Y$34*$B47</f>
        <v>0.77829644375783902</v>
      </c>
      <c r="M47" s="395">
        <f>(M24+'SC New'!I176)*M$35*$Y$34*$B47</f>
        <v>0.77770636281747541</v>
      </c>
      <c r="N47" s="395">
        <f>(N24+'SC New'!J176)*N$35*$Y$34*$B47</f>
        <v>0.77643296624074487</v>
      </c>
      <c r="O47" s="395">
        <f>(O24+'SC New'!K176)*O$35*$Y$34*$B47</f>
        <v>0.77489348285182658</v>
      </c>
      <c r="P47" s="395">
        <f>(P24+'SC New'!L176)*P$35*$Y$34*$B47</f>
        <v>0.77329601544876747</v>
      </c>
      <c r="Q47" s="395">
        <f>(Q24+'SC New'!M176)*Q$35*$Y$34*$B47</f>
        <v>0.77236663688860596</v>
      </c>
      <c r="R47" s="395">
        <f>(R24+'SC New'!N176)*R$35*$Y$34*$B47</f>
        <v>0.7720814235466672</v>
      </c>
      <c r="S47" s="395">
        <f>(S24+'SC New'!O176)*S$35*$Y$34*$B47</f>
        <v>0.77222371340584861</v>
      </c>
      <c r="T47" s="395">
        <f>(T24+'SC New'!P176)*T$35*$Y$34*$B47</f>
        <v>0.77403582230632517</v>
      </c>
      <c r="U47" s="395">
        <f>(U24+'SC New'!Q176)*U$35*$Y$34*$B47</f>
        <v>0.77604922749169247</v>
      </c>
      <c r="V47" s="395">
        <f>(V24+'SC New'!R176)*V$35*$Y$34*$B47</f>
        <v>0.77766478122189342</v>
      </c>
      <c r="W47" s="395">
        <f>(W24+'SC New'!S176)*W$35*$Y$34*$B47</f>
        <v>0.77956013179410122</v>
      </c>
      <c r="X47" s="395">
        <f>(X24+'SC New'!T176)*X$35*$Y$34*$B47</f>
        <v>0.78106729167347877</v>
      </c>
      <c r="Y47" s="36">
        <f>(X24+'SC New'!T176)*$Y$34*B47</f>
        <v>15.621345833469578</v>
      </c>
    </row>
    <row r="48" spans="1:72">
      <c r="B48" s="300">
        <f>VLOOKUP($C$35,[1]!APPLIC,MATCH(C48,BLDGTYP,0)+1,FALSE)</f>
        <v>0.81420000000000003</v>
      </c>
      <c r="C48" s="18" t="str">
        <f t="shared" si="5"/>
        <v>Restaurant</v>
      </c>
      <c r="E48" s="33">
        <f t="shared" si="6"/>
        <v>1.7838400874231097</v>
      </c>
      <c r="F48" s="33">
        <f t="shared" si="4"/>
        <v>1.7754203622104727</v>
      </c>
      <c r="G48" s="33">
        <f t="shared" si="4"/>
        <v>1.7670403781008395</v>
      </c>
      <c r="H48" s="395">
        <f>(H25+'SC New'!D177)*H$35*$Y$34*$B48</f>
        <v>1.7814163848593536</v>
      </c>
      <c r="I48" s="395">
        <f>(I25+'SC New'!E177)*I$35*$Y$34*$B48</f>
        <v>1.7893425880669334</v>
      </c>
      <c r="J48" s="395">
        <f>(J25+'SC New'!F177)*J$35*$Y$34*$B48</f>
        <v>1.7974784080442467</v>
      </c>
      <c r="K48" s="395">
        <f>(K25+'SC New'!G177)*K$35*$Y$34*$B48</f>
        <v>1.804877129881634</v>
      </c>
      <c r="L48" s="395">
        <f>(L25+'SC New'!H177)*L$35*$Y$34*$B48</f>
        <v>1.8122824031434135</v>
      </c>
      <c r="M48" s="395">
        <f>(M25+'SC New'!I177)*M$35*$Y$34*$B48</f>
        <v>1.8196317285168744</v>
      </c>
      <c r="N48" s="395">
        <f>(N25+'SC New'!J177)*N$35*$Y$34*$B48</f>
        <v>1.8269313825913762</v>
      </c>
      <c r="O48" s="395">
        <f>(O25+'SC New'!K177)*O$35*$Y$34*$B48</f>
        <v>1.8341828414827768</v>
      </c>
      <c r="P48" s="395">
        <f>(P25+'SC New'!L177)*P$35*$Y$34*$B48</f>
        <v>1.841374541687792</v>
      </c>
      <c r="Q48" s="395">
        <f>(Q25+'SC New'!M177)*Q$35*$Y$34*$B48</f>
        <v>1.8485065042185143</v>
      </c>
      <c r="R48" s="395">
        <f>(R25+'SC New'!N177)*R$35*$Y$34*$B48</f>
        <v>1.8556088226011231</v>
      </c>
      <c r="S48" s="395">
        <f>(S25+'SC New'!O177)*S$35*$Y$34*$B48</f>
        <v>1.862771696305179</v>
      </c>
      <c r="T48" s="395">
        <f>(T25+'SC New'!P177)*T$35*$Y$34*$B48</f>
        <v>1.875363671472547</v>
      </c>
      <c r="U48" s="395">
        <f>(U25+'SC New'!Q177)*U$35*$Y$34*$B48</f>
        <v>1.8905209156194791</v>
      </c>
      <c r="V48" s="395">
        <f>(V25+'SC New'!R177)*V$35*$Y$34*$B48</f>
        <v>1.9053297967667353</v>
      </c>
      <c r="W48" s="395">
        <f>(W25+'SC New'!S177)*W$35*$Y$34*$B48</f>
        <v>1.9209548258271825</v>
      </c>
      <c r="X48" s="395">
        <f>(X25+'SC New'!T177)*X$35*$Y$34*$B48</f>
        <v>1.9376386200168723</v>
      </c>
      <c r="Y48" s="36">
        <f>(X25+'SC New'!T177)*$Y$34*B48</f>
        <v>38.752772400337442</v>
      </c>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row>
    <row r="49" spans="1:80">
      <c r="B49" s="300">
        <f>VLOOKUP($C$35,[1]!APPLIC,MATCH(C49,BLDGTYP,0)+1,FALSE)</f>
        <v>0.81420000000000003</v>
      </c>
      <c r="C49" s="18" t="str">
        <f t="shared" si="5"/>
        <v>Lodging</v>
      </c>
      <c r="E49" s="33">
        <f t="shared" si="6"/>
        <v>5.8878511294467533</v>
      </c>
      <c r="F49" s="33">
        <f t="shared" si="4"/>
        <v>5.8737202867360816</v>
      </c>
      <c r="G49" s="33">
        <f t="shared" si="4"/>
        <v>5.859623358047914</v>
      </c>
      <c r="H49" s="395">
        <f>(H26+'SC New'!D178)*H$35*$Y$34*$B49</f>
        <v>5.8948076325312817</v>
      </c>
      <c r="I49" s="395">
        <f>(I26+'SC New'!E178)*I$35*$Y$34*$B49</f>
        <v>5.9165125414252664</v>
      </c>
      <c r="J49" s="395">
        <f>(J26+'SC New'!F178)*J$35*$Y$34*$B49</f>
        <v>5.9376697883121237</v>
      </c>
      <c r="K49" s="395">
        <f>(K26+'SC New'!G178)*K$35*$Y$34*$B49</f>
        <v>5.9494198051449132</v>
      </c>
      <c r="L49" s="395">
        <f>(L26+'SC New'!H178)*L$35*$Y$34*$B49</f>
        <v>5.9618086108932431</v>
      </c>
      <c r="M49" s="395">
        <f>(M26+'SC New'!I178)*M$35*$Y$34*$B49</f>
        <v>5.9706190357191042</v>
      </c>
      <c r="N49" s="395">
        <f>(N26+'SC New'!J178)*N$35*$Y$34*$B49</f>
        <v>5.9784726715491212</v>
      </c>
      <c r="O49" s="395">
        <f>(O26+'SC New'!K178)*O$35*$Y$34*$B49</f>
        <v>5.9857603365073304</v>
      </c>
      <c r="P49" s="395">
        <f>(P26+'SC New'!L178)*P$35*$Y$34*$B49</f>
        <v>5.9929249227868757</v>
      </c>
      <c r="Q49" s="395">
        <f>(Q26+'SC New'!M178)*Q$35*$Y$34*$B49</f>
        <v>6.0016888427733788</v>
      </c>
      <c r="R49" s="395">
        <f>(R26+'SC New'!N178)*R$35*$Y$34*$B49</f>
        <v>6.0119467200639782</v>
      </c>
      <c r="S49" s="395">
        <f>(S26+'SC New'!O178)*S$35*$Y$34*$B49</f>
        <v>6.0255331793879119</v>
      </c>
      <c r="T49" s="395">
        <f>(T26+'SC New'!P178)*T$35*$Y$34*$B49</f>
        <v>6.0590885545793061</v>
      </c>
      <c r="U49" s="395">
        <f>(U26+'SC New'!Q178)*U$35*$Y$34*$B49</f>
        <v>6.1009350821105066</v>
      </c>
      <c r="V49" s="395">
        <f>(V26+'SC New'!R178)*V$35*$Y$34*$B49</f>
        <v>6.1441308811151583</v>
      </c>
      <c r="W49" s="395">
        <f>(W26+'SC New'!S178)*W$35*$Y$34*$B49</f>
        <v>6.1883632778255944</v>
      </c>
      <c r="X49" s="395">
        <f>(X26+'SC New'!T178)*X$35*$Y$34*$B49</f>
        <v>6.2355826370309888</v>
      </c>
      <c r="Y49" s="36">
        <f>(X26+'SC New'!T178)*$Y$34*B49</f>
        <v>124.71165274061978</v>
      </c>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row>
    <row r="50" spans="1:80">
      <c r="B50" s="300">
        <f>VLOOKUP($C$35,[1]!APPLIC,MATCH(C50,BLDGTYP,0)+1,FALSE)</f>
        <v>0.81420000000000003</v>
      </c>
      <c r="C50" s="18" t="str">
        <f t="shared" si="5"/>
        <v>Hospital</v>
      </c>
      <c r="E50" s="33">
        <f t="shared" si="6"/>
        <v>3.6343875950851596</v>
      </c>
      <c r="F50" s="33">
        <f t="shared" si="4"/>
        <v>3.6267553811354811</v>
      </c>
      <c r="G50" s="33">
        <f t="shared" si="4"/>
        <v>3.6191391948350966</v>
      </c>
      <c r="H50" s="395">
        <f>(H27+'SC New'!D179)*H$35*$Y$34*$B50</f>
        <v>3.7148087520780035</v>
      </c>
      <c r="I50" s="395">
        <f>(I27+'SC New'!E179)*I$35*$Y$34*$B50</f>
        <v>3.8502617910522985</v>
      </c>
      <c r="J50" s="395">
        <f>(J27+'SC New'!F179)*J$35*$Y$34*$B50</f>
        <v>3.9658869616493382</v>
      </c>
      <c r="K50" s="395">
        <f>(K27+'SC New'!G179)*K$35*$Y$34*$B50</f>
        <v>4.069092637906885</v>
      </c>
      <c r="L50" s="395">
        <f>(L27+'SC New'!H179)*L$35*$Y$34*$B50</f>
        <v>4.1533642439626011</v>
      </c>
      <c r="M50" s="395">
        <f>(M27+'SC New'!I179)*M$35*$Y$34*$B50</f>
        <v>4.2106561600656081</v>
      </c>
      <c r="N50" s="395">
        <f>(N27+'SC New'!J179)*N$35*$Y$34*$B50</f>
        <v>4.2601337996045716</v>
      </c>
      <c r="O50" s="395">
        <f>(O27+'SC New'!K179)*O$35*$Y$34*$B50</f>
        <v>4.3052289387225624</v>
      </c>
      <c r="P50" s="395">
        <f>(P27+'SC New'!L179)*P$35*$Y$34*$B50</f>
        <v>4.3438755440701948</v>
      </c>
      <c r="Q50" s="395">
        <f>(Q27+'SC New'!M179)*Q$35*$Y$34*$B50</f>
        <v>4.3826907803248583</v>
      </c>
      <c r="R50" s="395">
        <f>(R27+'SC New'!N179)*R$35*$Y$34*$B50</f>
        <v>4.4239935577092604</v>
      </c>
      <c r="S50" s="395">
        <f>(S27+'SC New'!O179)*S$35*$Y$34*$B50</f>
        <v>4.4744446821353145</v>
      </c>
      <c r="T50" s="395">
        <f>(T27+'SC New'!P179)*T$35*$Y$34*$B50</f>
        <v>4.5367891660963418</v>
      </c>
      <c r="U50" s="395">
        <f>(U27+'SC New'!Q179)*U$35*$Y$34*$B50</f>
        <v>4.6090985617430524</v>
      </c>
      <c r="V50" s="395">
        <f>(V27+'SC New'!R179)*V$35*$Y$34*$B50</f>
        <v>4.6731380007968317</v>
      </c>
      <c r="W50" s="395">
        <f>(W27+'SC New'!S179)*W$35*$Y$34*$B50</f>
        <v>4.7345657735905791</v>
      </c>
      <c r="X50" s="395">
        <f>(X27+'SC New'!T179)*X$35*$Y$34*$B50</f>
        <v>4.7941479904309485</v>
      </c>
      <c r="Y50" s="36">
        <f>(X27+'SC New'!T179)*$Y$34*B50</f>
        <v>95.882959808618963</v>
      </c>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row>
    <row r="51" spans="1:80">
      <c r="B51" s="300">
        <f>VLOOKUP($C$35,[1]!APPLIC,MATCH(C51,BLDGTYP,0)+1,FALSE)</f>
        <v>0.81420000000000003</v>
      </c>
      <c r="C51" s="18" t="str">
        <f t="shared" si="5"/>
        <v>Residential Care</v>
      </c>
      <c r="E51" s="33">
        <f t="shared" si="6"/>
        <v>4.4551386561101571</v>
      </c>
      <c r="F51" s="33">
        <f t="shared" ref="F51:X54" si="7">F28*F$35*$Y$34*$B51</f>
        <v>4.4444463233354927</v>
      </c>
      <c r="G51" s="33">
        <f t="shared" si="7"/>
        <v>4.4337796521594877</v>
      </c>
      <c r="H51" s="395">
        <f>(H28+'SC New'!D180)*H$35*$Y$34*$B51</f>
        <v>4.5263114437846426</v>
      </c>
      <c r="I51" s="395">
        <f>(I28+'SC New'!E180)*I$35*$Y$34*$B51</f>
        <v>4.6715134194853274</v>
      </c>
      <c r="J51" s="395">
        <f>(J28+'SC New'!F180)*J$35*$Y$34*$B51</f>
        <v>4.8020574426855474</v>
      </c>
      <c r="K51" s="395">
        <f>(K28+'SC New'!G180)*K$35*$Y$34*$B51</f>
        <v>4.9157880035773465</v>
      </c>
      <c r="L51" s="395">
        <f>(L28+'SC New'!H180)*L$35*$Y$34*$B51</f>
        <v>5.0104465947005794</v>
      </c>
      <c r="M51" s="395">
        <f>(M28+'SC New'!I180)*M$35*$Y$34*$B51</f>
        <v>5.0795852621520767</v>
      </c>
      <c r="N51" s="395">
        <f>(N28+'SC New'!J180)*N$35*$Y$34*$B51</f>
        <v>5.1428762492141997</v>
      </c>
      <c r="O51" s="395">
        <f>(O28+'SC New'!K180)*O$35*$Y$34*$B51</f>
        <v>5.200828991855281</v>
      </c>
      <c r="P51" s="395">
        <f>(P28+'SC New'!L180)*P$35*$Y$34*$B51</f>
        <v>5.2530092644968889</v>
      </c>
      <c r="Q51" s="395">
        <f>(Q28+'SC New'!M180)*Q$35*$Y$34*$B51</f>
        <v>5.3084237385387185</v>
      </c>
      <c r="R51" s="395">
        <f>(R28+'SC New'!N180)*R$35*$Y$34*$B51</f>
        <v>5.3676913877358894</v>
      </c>
      <c r="S51" s="395">
        <f>(S28+'SC New'!O180)*S$35*$Y$34*$B51</f>
        <v>5.4370552603687887</v>
      </c>
      <c r="T51" s="395">
        <f>(T28+'SC New'!P180)*T$35*$Y$34*$B51</f>
        <v>5.5235802013298709</v>
      </c>
      <c r="U51" s="395">
        <f>(U28+'SC New'!Q180)*U$35*$Y$34*$B51</f>
        <v>5.6194380271372735</v>
      </c>
      <c r="V51" s="395">
        <f>(V28+'SC New'!R180)*V$35*$Y$34*$B51</f>
        <v>5.7041068240052821</v>
      </c>
      <c r="W51" s="395">
        <f>(W28+'SC New'!S180)*W$35*$Y$34*$B51</f>
        <v>5.79089338084371</v>
      </c>
      <c r="X51" s="395">
        <f>(X28+'SC New'!T180)*X$35*$Y$34*$B51</f>
        <v>5.8750618242059875</v>
      </c>
      <c r="Y51" s="36">
        <f>(X28+'SC New'!T180)*$Y$34*B51</f>
        <v>117.50123648411974</v>
      </c>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row>
    <row r="52" spans="1:80">
      <c r="B52" s="300">
        <f>VLOOKUP($C$35,[1]!APPLIC,MATCH(C52,BLDGTYP,0)+1,FALSE)</f>
        <v>0.81420000000000003</v>
      </c>
      <c r="C52" s="18" t="str">
        <f t="shared" si="5"/>
        <v>Assembly</v>
      </c>
      <c r="E52" s="33">
        <f t="shared" si="6"/>
        <v>13.007533473496121</v>
      </c>
      <c r="F52" s="33">
        <f t="shared" si="7"/>
        <v>12.949173006645037</v>
      </c>
      <c r="G52" s="33">
        <f t="shared" si="7"/>
        <v>12.891074383755223</v>
      </c>
      <c r="H52" s="395">
        <f>(H29+'SC New'!D181)*H$35*$Y$34*$B52</f>
        <v>12.980800896395683</v>
      </c>
      <c r="I52" s="395">
        <f>(I29+'SC New'!E181)*I$35*$Y$34*$B52</f>
        <v>13.033451301025751</v>
      </c>
      <c r="J52" s="395">
        <f>(J29+'SC New'!F181)*J$35*$Y$34*$B52</f>
        <v>13.085821015692895</v>
      </c>
      <c r="K52" s="395">
        <f>(K29+'SC New'!G181)*K$35*$Y$34*$B52</f>
        <v>13.107060700685238</v>
      </c>
      <c r="L52" s="395">
        <f>(L29+'SC New'!H181)*L$35*$Y$34*$B52</f>
        <v>13.140304603919759</v>
      </c>
      <c r="M52" s="395">
        <f>(M29+'SC New'!I181)*M$35*$Y$34*$B52</f>
        <v>13.163062688768655</v>
      </c>
      <c r="N52" s="395">
        <f>(N29+'SC New'!J181)*N$35*$Y$34*$B52</f>
        <v>13.181357234625349</v>
      </c>
      <c r="O52" s="395">
        <f>(O29+'SC New'!K181)*O$35*$Y$34*$B52</f>
        <v>13.176595262321808</v>
      </c>
      <c r="P52" s="395">
        <f>(P29+'SC New'!L181)*P$35*$Y$34*$B52</f>
        <v>13.174794088234762</v>
      </c>
      <c r="Q52" s="395">
        <f>(Q29+'SC New'!M181)*Q$35*$Y$34*$B52</f>
        <v>13.200727889438626</v>
      </c>
      <c r="R52" s="395">
        <f>(R29+'SC New'!N181)*R$35*$Y$34*$B52</f>
        <v>13.258726356947307</v>
      </c>
      <c r="S52" s="395">
        <f>(S29+'SC New'!O181)*S$35*$Y$34*$B52</f>
        <v>13.329088863501914</v>
      </c>
      <c r="T52" s="395">
        <f>(T29+'SC New'!P181)*T$35*$Y$34*$B52</f>
        <v>13.427998421987041</v>
      </c>
      <c r="U52" s="395">
        <f>(U29+'SC New'!Q181)*U$35*$Y$34*$B52</f>
        <v>13.57492099090223</v>
      </c>
      <c r="V52" s="395">
        <f>(V29+'SC New'!R181)*V$35*$Y$34*$B52</f>
        <v>13.744165798616757</v>
      </c>
      <c r="W52" s="395">
        <f>(W29+'SC New'!S181)*W$35*$Y$34*$B52</f>
        <v>13.928915808628593</v>
      </c>
      <c r="X52" s="395">
        <f>(X29+'SC New'!T181)*X$35*$Y$34*$B52</f>
        <v>14.108615282123486</v>
      </c>
      <c r="Y52" s="36">
        <f>(X29+'SC New'!T181)*$Y$34*B52</f>
        <v>282.17230564246972</v>
      </c>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row>
    <row r="53" spans="1:80">
      <c r="B53" s="300">
        <f>VLOOKUP($C$35,[1]!APPLIC,MATCH(C53,BLDGTYP,0)+1,FALSE)</f>
        <v>0.81420000000000003</v>
      </c>
      <c r="C53" s="18" t="str">
        <f t="shared" si="5"/>
        <v>Other</v>
      </c>
      <c r="E53" s="33">
        <f t="shared" si="6"/>
        <v>11.856885236808948</v>
      </c>
      <c r="F53" s="33">
        <f t="shared" si="7"/>
        <v>11.750173269677669</v>
      </c>
      <c r="G53" s="33">
        <f t="shared" si="7"/>
        <v>11.644421710250569</v>
      </c>
      <c r="H53" s="395">
        <f>(H30+'SC New'!D182)*H$35*$Y$34*$B53</f>
        <v>11.864700584011693</v>
      </c>
      <c r="I53" s="395">
        <f>(I30+'SC New'!E182)*I$35*$Y$34*$B53</f>
        <v>12.205952514321588</v>
      </c>
      <c r="J53" s="395">
        <f>(J30+'SC New'!F182)*J$35*$Y$34*$B53</f>
        <v>12.474050662144794</v>
      </c>
      <c r="K53" s="395">
        <f>(K30+'SC New'!G182)*K$35*$Y$34*$B53</f>
        <v>12.723008212683528</v>
      </c>
      <c r="L53" s="395">
        <f>(L30+'SC New'!H182)*L$35*$Y$34*$B53</f>
        <v>12.949320951616253</v>
      </c>
      <c r="M53" s="395">
        <f>(M30+'SC New'!I182)*M$35*$Y$34*$B53</f>
        <v>13.10396820004558</v>
      </c>
      <c r="N53" s="395">
        <f>(N30+'SC New'!J182)*N$35*$Y$34*$B53</f>
        <v>13.287036716380838</v>
      </c>
      <c r="O53" s="395">
        <f>(O30+'SC New'!K182)*O$35*$Y$34*$B53</f>
        <v>13.464120264438117</v>
      </c>
      <c r="P53" s="395">
        <f>(P30+'SC New'!L182)*P$35*$Y$34*$B53</f>
        <v>13.664313245610563</v>
      </c>
      <c r="Q53" s="395">
        <f>(Q30+'SC New'!M182)*Q$35*$Y$34*$B53</f>
        <v>13.890234581097351</v>
      </c>
      <c r="R53" s="395">
        <f>(R30+'SC New'!N182)*R$35*$Y$34*$B53</f>
        <v>14.107907339300423</v>
      </c>
      <c r="S53" s="395">
        <f>(S30+'SC New'!O182)*S$35*$Y$34*$B53</f>
        <v>14.365444928906586</v>
      </c>
      <c r="T53" s="395">
        <f>(T30+'SC New'!P182)*T$35*$Y$34*$B53</f>
        <v>14.644710431464514</v>
      </c>
      <c r="U53" s="395">
        <f>(U30+'SC New'!Q182)*U$35*$Y$34*$B53</f>
        <v>14.932356070906089</v>
      </c>
      <c r="V53" s="395">
        <f>(V30+'SC New'!R182)*V$35*$Y$34*$B53</f>
        <v>15.195292052117544</v>
      </c>
      <c r="W53" s="395">
        <f>(W30+'SC New'!S182)*W$35*$Y$34*$B53</f>
        <v>15.485372009179722</v>
      </c>
      <c r="X53" s="395">
        <f>(X30+'SC New'!T182)*X$35*$Y$34*$B53</f>
        <v>15.739369101213141</v>
      </c>
      <c r="Y53" s="36">
        <f>(X30+'SC New'!T182)*$Y$34*B53</f>
        <v>314.7873820242628</v>
      </c>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row>
    <row r="54" spans="1:80">
      <c r="E54" s="33">
        <f t="shared" si="6"/>
        <v>0</v>
      </c>
      <c r="F54" s="33">
        <f t="shared" si="7"/>
        <v>0</v>
      </c>
      <c r="G54" s="33">
        <f t="shared" si="7"/>
        <v>0</v>
      </c>
      <c r="H54" s="33">
        <f t="shared" si="7"/>
        <v>0</v>
      </c>
      <c r="I54" s="33">
        <f t="shared" si="7"/>
        <v>0</v>
      </c>
      <c r="J54" s="33">
        <f t="shared" si="7"/>
        <v>0</v>
      </c>
      <c r="K54" s="33">
        <f t="shared" si="7"/>
        <v>0</v>
      </c>
      <c r="L54" s="33">
        <f t="shared" si="7"/>
        <v>0</v>
      </c>
      <c r="M54" s="33">
        <f t="shared" si="7"/>
        <v>0</v>
      </c>
      <c r="N54" s="33">
        <f t="shared" si="7"/>
        <v>0</v>
      </c>
      <c r="O54" s="33">
        <f t="shared" si="7"/>
        <v>0</v>
      </c>
      <c r="P54" s="33">
        <f t="shared" si="7"/>
        <v>0</v>
      </c>
      <c r="Q54" s="33">
        <f t="shared" si="7"/>
        <v>0</v>
      </c>
      <c r="R54" s="33">
        <f t="shared" si="7"/>
        <v>0</v>
      </c>
      <c r="S54" s="33">
        <f t="shared" si="7"/>
        <v>0</v>
      </c>
      <c r="T54" s="33">
        <f t="shared" si="7"/>
        <v>0</v>
      </c>
      <c r="U54" s="33">
        <f t="shared" si="7"/>
        <v>0</v>
      </c>
      <c r="V54" s="33">
        <f t="shared" si="7"/>
        <v>0</v>
      </c>
      <c r="W54" s="33">
        <f t="shared" si="7"/>
        <v>0</v>
      </c>
      <c r="X54" s="33">
        <f t="shared" si="7"/>
        <v>0</v>
      </c>
      <c r="Y54" s="33">
        <f t="shared" ref="Y54" si="8">SUM(Y34:Y53)</f>
        <v>2685.3864808865956</v>
      </c>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row>
    <row r="55" spans="1:80">
      <c r="E55" s="33"/>
      <c r="F55" s="33"/>
      <c r="G55" s="33"/>
      <c r="H55" s="33"/>
      <c r="I55" s="33"/>
      <c r="J55" s="33"/>
      <c r="K55" s="33"/>
      <c r="L55" s="33"/>
      <c r="M55" s="33"/>
      <c r="N55" s="33"/>
      <c r="O55" s="33"/>
      <c r="P55" s="33"/>
      <c r="Q55" s="33"/>
      <c r="R55" s="33"/>
      <c r="S55" s="33"/>
      <c r="T55" s="33"/>
      <c r="U55" s="33"/>
      <c r="V55" s="33"/>
      <c r="W55" s="33"/>
      <c r="X55" s="33"/>
      <c r="Y55" s="36"/>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row>
    <row r="56" spans="1:80">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80" ht="15">
      <c r="A57" s="38" t="s">
        <v>41</v>
      </c>
      <c r="C57" s="39" t="str">
        <f>C8</f>
        <v>Commercial EM-Retro</v>
      </c>
      <c r="D57" s="39"/>
      <c r="E57" s="18" t="s">
        <v>2</v>
      </c>
      <c r="AA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80" ht="15">
      <c r="A58" s="39"/>
      <c r="B58" s="39"/>
      <c r="C58" s="39"/>
      <c r="D58" s="39"/>
      <c r="E58" s="40">
        <f>E11</f>
        <v>2016</v>
      </c>
      <c r="F58" s="40">
        <f t="shared" ref="F58:X58" si="9">F11</f>
        <v>2017</v>
      </c>
      <c r="G58" s="40">
        <f t="shared" si="9"/>
        <v>2018</v>
      </c>
      <c r="H58" s="40">
        <f t="shared" si="9"/>
        <v>2019</v>
      </c>
      <c r="I58" s="40">
        <f t="shared" si="9"/>
        <v>2020</v>
      </c>
      <c r="J58" s="40">
        <f t="shared" si="9"/>
        <v>2021</v>
      </c>
      <c r="K58" s="40">
        <f t="shared" si="9"/>
        <v>2022</v>
      </c>
      <c r="L58" s="40">
        <f t="shared" si="9"/>
        <v>2023</v>
      </c>
      <c r="M58" s="40">
        <f t="shared" si="9"/>
        <v>2024</v>
      </c>
      <c r="N58" s="40">
        <f t="shared" si="9"/>
        <v>2025</v>
      </c>
      <c r="O58" s="40">
        <f t="shared" si="9"/>
        <v>2026</v>
      </c>
      <c r="P58" s="40">
        <f t="shared" si="9"/>
        <v>2027</v>
      </c>
      <c r="Q58" s="40">
        <f t="shared" si="9"/>
        <v>2028</v>
      </c>
      <c r="R58" s="40">
        <f t="shared" si="9"/>
        <v>2029</v>
      </c>
      <c r="S58" s="40">
        <f t="shared" si="9"/>
        <v>2030</v>
      </c>
      <c r="T58" s="40">
        <f t="shared" si="9"/>
        <v>2031</v>
      </c>
      <c r="U58" s="40">
        <f t="shared" si="9"/>
        <v>2032</v>
      </c>
      <c r="V58" s="40">
        <f t="shared" si="9"/>
        <v>2033</v>
      </c>
      <c r="W58" s="40">
        <f t="shared" si="9"/>
        <v>2034</v>
      </c>
      <c r="X58" s="40">
        <f t="shared" si="9"/>
        <v>2035</v>
      </c>
      <c r="Y58" s="192" t="s">
        <v>38</v>
      </c>
      <c r="AA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80" ht="15">
      <c r="A59" s="39" t="s">
        <v>42</v>
      </c>
      <c r="B59" s="39" t="s">
        <v>43</v>
      </c>
      <c r="C59" s="39" t="s">
        <v>44</v>
      </c>
      <c r="D59" s="39" t="s">
        <v>45</v>
      </c>
      <c r="E59" s="41" t="str">
        <f>CONCATENATE("aMW_",E$11)</f>
        <v>aMW_2016</v>
      </c>
      <c r="F59" s="41" t="str">
        <f t="shared" ref="F59:X59" si="10">CONCATENATE("aMW_",F$11)</f>
        <v>aMW_2017</v>
      </c>
      <c r="G59" s="41" t="str">
        <f t="shared" si="10"/>
        <v>aMW_2018</v>
      </c>
      <c r="H59" s="41" t="str">
        <f t="shared" si="10"/>
        <v>aMW_2019</v>
      </c>
      <c r="I59" s="41" t="str">
        <f t="shared" si="10"/>
        <v>aMW_2020</v>
      </c>
      <c r="J59" s="41" t="str">
        <f t="shared" si="10"/>
        <v>aMW_2021</v>
      </c>
      <c r="K59" s="41" t="str">
        <f t="shared" si="10"/>
        <v>aMW_2022</v>
      </c>
      <c r="L59" s="41" t="str">
        <f t="shared" si="10"/>
        <v>aMW_2023</v>
      </c>
      <c r="M59" s="41" t="str">
        <f t="shared" si="10"/>
        <v>aMW_2024</v>
      </c>
      <c r="N59" s="41" t="str">
        <f t="shared" si="10"/>
        <v>aMW_2025</v>
      </c>
      <c r="O59" s="41" t="str">
        <f t="shared" si="10"/>
        <v>aMW_2026</v>
      </c>
      <c r="P59" s="41" t="str">
        <f t="shared" si="10"/>
        <v>aMW_2027</v>
      </c>
      <c r="Q59" s="41" t="str">
        <f t="shared" si="10"/>
        <v>aMW_2028</v>
      </c>
      <c r="R59" s="41" t="str">
        <f t="shared" si="10"/>
        <v>aMW_2029</v>
      </c>
      <c r="S59" s="41" t="str">
        <f t="shared" si="10"/>
        <v>aMW_2030</v>
      </c>
      <c r="T59" s="41" t="str">
        <f t="shared" si="10"/>
        <v>aMW_2031</v>
      </c>
      <c r="U59" s="41" t="str">
        <f t="shared" si="10"/>
        <v>aMW_2032</v>
      </c>
      <c r="V59" s="41" t="str">
        <f t="shared" si="10"/>
        <v>aMW_2033</v>
      </c>
      <c r="W59" s="41" t="str">
        <f t="shared" si="10"/>
        <v>aMW_2034</v>
      </c>
      <c r="X59" s="41" t="str">
        <f t="shared" si="10"/>
        <v>aMW_2035</v>
      </c>
      <c r="Y59" s="193" t="s">
        <v>38</v>
      </c>
      <c r="AA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80">
      <c r="A60" s="278">
        <f>VLOOKUP(D60,'Measure InputOutput_Out'!$A$4:$M$21,3,FALSE)</f>
        <v>725.50864856337955</v>
      </c>
      <c r="B60" s="278">
        <f>VLOOKUP(D60,'Measure InputOutput_Out'!$A$4:$M$21,11,FALSE)</f>
        <v>39.162427820666892</v>
      </c>
      <c r="C60" s="18" t="str">
        <f>C36</f>
        <v>Large Off</v>
      </c>
      <c r="D60" s="18" t="str">
        <f>CONCATENATE($C$57,"-",C60)</f>
        <v>Commercial EM-Retro-Large Off</v>
      </c>
      <c r="E60" s="37">
        <f t="shared" ref="E60:X60" si="11">E36*$A60/8760000*1000</f>
        <v>1.089288703132028</v>
      </c>
      <c r="F60" s="37">
        <f t="shared" si="11"/>
        <v>1.0860208370226319</v>
      </c>
      <c r="G60" s="37">
        <f t="shared" si="11"/>
        <v>1.0827627745115638</v>
      </c>
      <c r="H60" s="37">
        <f t="shared" si="11"/>
        <v>1.1017218835820022</v>
      </c>
      <c r="I60" s="37">
        <f t="shared" si="11"/>
        <v>1.1208563030730165</v>
      </c>
      <c r="J60" s="37">
        <f t="shared" si="11"/>
        <v>1.1346786195382712</v>
      </c>
      <c r="K60" s="37">
        <f t="shared" si="11"/>
        <v>1.1483421208341282</v>
      </c>
      <c r="L60" s="37">
        <f t="shared" si="11"/>
        <v>1.1648830695709227</v>
      </c>
      <c r="M60" s="37">
        <f t="shared" si="11"/>
        <v>1.1807156006044897</v>
      </c>
      <c r="N60" s="37">
        <f t="shared" si="11"/>
        <v>1.1931106567642069</v>
      </c>
      <c r="O60" s="37">
        <f t="shared" si="11"/>
        <v>1.2097724459220272</v>
      </c>
      <c r="P60" s="37">
        <f t="shared" si="11"/>
        <v>1.2239128631611647</v>
      </c>
      <c r="Q60" s="37">
        <f t="shared" si="11"/>
        <v>1.2375510535214154</v>
      </c>
      <c r="R60" s="37">
        <f t="shared" si="11"/>
        <v>1.2533275965520734</v>
      </c>
      <c r="S60" s="37">
        <f t="shared" si="11"/>
        <v>1.2691231978145239</v>
      </c>
      <c r="T60" s="37">
        <f t="shared" si="11"/>
        <v>1.286703462286173</v>
      </c>
      <c r="U60" s="37">
        <f t="shared" si="11"/>
        <v>1.3063121839279979</v>
      </c>
      <c r="V60" s="37">
        <f t="shared" si="11"/>
        <v>1.3240012487103081</v>
      </c>
      <c r="W60" s="37">
        <f t="shared" si="11"/>
        <v>1.3435716236339461</v>
      </c>
      <c r="X60" s="37">
        <f t="shared" si="11"/>
        <v>1.3627217378460632</v>
      </c>
      <c r="Y60" s="37">
        <f>Y36*A60/8760</f>
        <v>27.254434756921263</v>
      </c>
      <c r="AA60" s="49">
        <f>SUM(E60:X60)</f>
        <v>24.119377982008945</v>
      </c>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80">
      <c r="A61" s="278">
        <f>VLOOKUP(D61,'Measure InputOutput_Out'!$A$4:$M$21,3,FALSE)</f>
        <v>90.211161063706868</v>
      </c>
      <c r="B61" s="278">
        <f>VLOOKUP(D61,'Measure InputOutput_Out'!$A$4:$M$21,11,FALSE)</f>
        <v>49.619656481615465</v>
      </c>
      <c r="C61" s="18" t="str">
        <f t="shared" ref="C61:C77" si="12">C37</f>
        <v>Medium Off</v>
      </c>
      <c r="D61" s="18" t="str">
        <f t="shared" ref="D61:D77" si="13">CONCATENATE($C$57,"-",C61)</f>
        <v>Commercial EM-Retro-Medium Off</v>
      </c>
      <c r="E61" s="37">
        <f t="shared" ref="E61:X61" si="14">E37*$A61/8760000*1000</f>
        <v>6.7968995104035215E-2</v>
      </c>
      <c r="F61" s="37">
        <f t="shared" si="14"/>
        <v>6.7765088118723116E-2</v>
      </c>
      <c r="G61" s="37">
        <f t="shared" si="14"/>
        <v>6.7561792854366948E-2</v>
      </c>
      <c r="H61" s="37">
        <f t="shared" si="14"/>
        <v>6.9495528106891732E-2</v>
      </c>
      <c r="I61" s="37">
        <f t="shared" si="14"/>
        <v>7.154938893811634E-2</v>
      </c>
      <c r="J61" s="37">
        <f t="shared" si="14"/>
        <v>7.2995874722063259E-2</v>
      </c>
      <c r="K61" s="37">
        <f t="shared" si="14"/>
        <v>7.4468225941618657E-2</v>
      </c>
      <c r="L61" s="37">
        <f t="shared" si="14"/>
        <v>7.6247901822830838E-2</v>
      </c>
      <c r="M61" s="37">
        <f t="shared" si="14"/>
        <v>7.7933445729970255E-2</v>
      </c>
      <c r="N61" s="37">
        <f t="shared" si="14"/>
        <v>7.9193801987787749E-2</v>
      </c>
      <c r="O61" s="37">
        <f t="shared" si="14"/>
        <v>8.099682389143506E-2</v>
      </c>
      <c r="P61" s="37">
        <f t="shared" si="14"/>
        <v>8.2542514191489239E-2</v>
      </c>
      <c r="Q61" s="37">
        <f t="shared" si="14"/>
        <v>8.4001901009259111E-2</v>
      </c>
      <c r="R61" s="37">
        <f t="shared" si="14"/>
        <v>8.5715275436957658E-2</v>
      </c>
      <c r="S61" s="37">
        <f t="shared" si="14"/>
        <v>8.7423905330286406E-2</v>
      </c>
      <c r="T61" s="37">
        <f t="shared" si="14"/>
        <v>8.9265613596962973E-2</v>
      </c>
      <c r="U61" s="37">
        <f t="shared" si="14"/>
        <v>9.1267376161109678E-2</v>
      </c>
      <c r="V61" s="37">
        <f t="shared" si="14"/>
        <v>9.3140003287201067E-2</v>
      </c>
      <c r="W61" s="37">
        <f t="shared" si="14"/>
        <v>9.5238717466531536E-2</v>
      </c>
      <c r="X61" s="37">
        <f t="shared" si="14"/>
        <v>9.7222036962468547E-2</v>
      </c>
      <c r="Y61" s="37">
        <f t="shared" ref="Y61:Y77" si="15">Y37*A61/8760</f>
        <v>1.9444407392493706</v>
      </c>
      <c r="AA61" s="49">
        <f t="shared" ref="AA61:AA77" si="16">SUM(E61:X61)</f>
        <v>1.6119942106601053</v>
      </c>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80">
      <c r="A62" s="278">
        <f>VLOOKUP(D62,'Measure InputOutput_Out'!$A$4:$M$21,3,FALSE)</f>
        <v>24.700676711430738</v>
      </c>
      <c r="B62" s="278">
        <f>VLOOKUP(D62,'Measure InputOutput_Out'!$A$4:$M$21,11,FALSE)</f>
        <v>158.76451573600036</v>
      </c>
      <c r="C62" s="18" t="str">
        <f t="shared" si="12"/>
        <v>Small Off</v>
      </c>
      <c r="D62" s="18" t="str">
        <f t="shared" si="13"/>
        <v>Commercial EM-Retro-Small Off</v>
      </c>
      <c r="E62" s="37">
        <f t="shared" ref="E62:X62" si="17">E38*$A62/8760000*1000</f>
        <v>1.796214381455194E-2</v>
      </c>
      <c r="F62" s="37">
        <f t="shared" si="17"/>
        <v>1.7908257383108292E-2</v>
      </c>
      <c r="G62" s="37">
        <f t="shared" si="17"/>
        <v>1.7854532610958967E-2</v>
      </c>
      <c r="H62" s="37">
        <f t="shared" si="17"/>
        <v>1.795437782559646E-2</v>
      </c>
      <c r="I62" s="37">
        <f t="shared" si="17"/>
        <v>1.8063151097735163E-2</v>
      </c>
      <c r="J62" s="37">
        <f t="shared" si="17"/>
        <v>1.8128659819460033E-2</v>
      </c>
      <c r="K62" s="37">
        <f t="shared" si="17"/>
        <v>1.8196998579095625E-2</v>
      </c>
      <c r="L62" s="37">
        <f t="shared" si="17"/>
        <v>1.8286394156972485E-2</v>
      </c>
      <c r="M62" s="37">
        <f t="shared" si="17"/>
        <v>1.8370269582768793E-2</v>
      </c>
      <c r="N62" s="37">
        <f t="shared" si="17"/>
        <v>1.8422920793038935E-2</v>
      </c>
      <c r="O62" s="37">
        <f t="shared" si="17"/>
        <v>1.8514370767089717E-2</v>
      </c>
      <c r="P62" s="37">
        <f t="shared" si="17"/>
        <v>1.8587911494997309E-2</v>
      </c>
      <c r="Q62" s="37">
        <f t="shared" si="17"/>
        <v>1.865519797454632E-2</v>
      </c>
      <c r="R62" s="37">
        <f t="shared" si="17"/>
        <v>1.8739941843623129E-2</v>
      </c>
      <c r="S62" s="37">
        <f t="shared" si="17"/>
        <v>1.8824635499243778E-2</v>
      </c>
      <c r="T62" s="37">
        <f t="shared" si="17"/>
        <v>1.891928994385628E-2</v>
      </c>
      <c r="U62" s="37">
        <f t="shared" si="17"/>
        <v>1.9025822799394975E-2</v>
      </c>
      <c r="V62" s="37">
        <f t="shared" si="17"/>
        <v>1.9122651886209065E-2</v>
      </c>
      <c r="W62" s="37">
        <f t="shared" si="17"/>
        <v>1.9236255015801017E-2</v>
      </c>
      <c r="X62" s="37">
        <f t="shared" si="17"/>
        <v>1.9341050741921866E-2</v>
      </c>
      <c r="Y62" s="37">
        <f t="shared" si="15"/>
        <v>0.38682101483843734</v>
      </c>
      <c r="AA62" s="49">
        <f t="shared" si="16"/>
        <v>0.37011483362997016</v>
      </c>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80">
      <c r="A63" s="278">
        <f>VLOOKUP(D63,'Measure InputOutput_Out'!$A$4:$M$21,3,FALSE)</f>
        <v>33.48225909205005</v>
      </c>
      <c r="B63" s="278">
        <f>VLOOKUP(D63,'Measure InputOutput_Out'!$A$4:$M$21,11,FALSE)</f>
        <v>46.488987183778313</v>
      </c>
      <c r="C63" s="18" t="str">
        <f t="shared" si="12"/>
        <v>XLarge Ret</v>
      </c>
      <c r="D63" s="18" t="str">
        <f t="shared" si="13"/>
        <v>Commercial EM-Retro-XLarge Ret</v>
      </c>
      <c r="E63" s="37">
        <f t="shared" ref="E63:X63" si="18">E39*$A63/8760000*1000</f>
        <v>1.8299232726818857E-2</v>
      </c>
      <c r="F63" s="37">
        <f t="shared" si="18"/>
        <v>1.8215056256275487E-2</v>
      </c>
      <c r="G63" s="37">
        <f t="shared" si="18"/>
        <v>1.8131266997496617E-2</v>
      </c>
      <c r="H63" s="37">
        <f t="shared" si="18"/>
        <v>1.8165636234071539E-2</v>
      </c>
      <c r="I63" s="37">
        <f t="shared" si="18"/>
        <v>1.8320608292163771E-2</v>
      </c>
      <c r="J63" s="37">
        <f t="shared" si="18"/>
        <v>1.8434476969736914E-2</v>
      </c>
      <c r="K63" s="37">
        <f t="shared" si="18"/>
        <v>1.8470981441762558E-2</v>
      </c>
      <c r="L63" s="37">
        <f t="shared" si="18"/>
        <v>1.8509725647418023E-2</v>
      </c>
      <c r="M63" s="37">
        <f t="shared" si="18"/>
        <v>1.8540809983836077E-2</v>
      </c>
      <c r="N63" s="37">
        <f t="shared" si="18"/>
        <v>1.8556502539750271E-2</v>
      </c>
      <c r="O63" s="37">
        <f t="shared" si="18"/>
        <v>1.8572864353057827E-2</v>
      </c>
      <c r="P63" s="37">
        <f t="shared" si="18"/>
        <v>1.8586837127114238E-2</v>
      </c>
      <c r="Q63" s="37">
        <f t="shared" si="18"/>
        <v>1.8625138325142641E-2</v>
      </c>
      <c r="R63" s="37">
        <f t="shared" si="18"/>
        <v>1.8681996704233268E-2</v>
      </c>
      <c r="S63" s="37">
        <f t="shared" si="18"/>
        <v>1.8747719996002488E-2</v>
      </c>
      <c r="T63" s="37">
        <f t="shared" si="18"/>
        <v>1.8882708902757846E-2</v>
      </c>
      <c r="U63" s="37">
        <f t="shared" si="18"/>
        <v>1.9045388465098085E-2</v>
      </c>
      <c r="V63" s="37">
        <f t="shared" si="18"/>
        <v>1.9182351266619598E-2</v>
      </c>
      <c r="W63" s="37">
        <f t="shared" si="18"/>
        <v>1.9315745192416977E-2</v>
      </c>
      <c r="X63" s="37">
        <f t="shared" si="18"/>
        <v>1.9441866659984944E-2</v>
      </c>
      <c r="Y63" s="37">
        <f t="shared" si="15"/>
        <v>0.38883733319969888</v>
      </c>
      <c r="AA63" s="49">
        <f t="shared" si="16"/>
        <v>0.37272691408175801</v>
      </c>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80">
      <c r="A64" s="278">
        <f>VLOOKUP(D64,'Measure InputOutput_Out'!$A$4:$M$21,3,FALSE)</f>
        <v>236.73046392719183</v>
      </c>
      <c r="B64" s="278">
        <f>VLOOKUP(D64,'Measure InputOutput_Out'!$A$4:$M$21,11,FALSE)</f>
        <v>131.20556367350659</v>
      </c>
      <c r="C64" s="18" t="str">
        <f t="shared" si="12"/>
        <v>Large Ret</v>
      </c>
      <c r="D64" s="18" t="str">
        <f t="shared" si="13"/>
        <v>Commercial EM-Retro-Large Ret</v>
      </c>
      <c r="E64" s="37">
        <f t="shared" ref="E64:X64" si="19">E40*$A64/8760000*1000</f>
        <v>0.19540151784530729</v>
      </c>
      <c r="F64" s="37">
        <f t="shared" si="19"/>
        <v>0.1945026708632189</v>
      </c>
      <c r="G64" s="37">
        <f t="shared" si="19"/>
        <v>0.19360795857724805</v>
      </c>
      <c r="H64" s="37">
        <f t="shared" si="19"/>
        <v>0.19305092505040192</v>
      </c>
      <c r="I64" s="37">
        <f t="shared" si="19"/>
        <v>0.19283734575540074</v>
      </c>
      <c r="J64" s="37">
        <f t="shared" si="19"/>
        <v>0.19251270623798983</v>
      </c>
      <c r="K64" s="37">
        <f t="shared" si="19"/>
        <v>0.19197671018184609</v>
      </c>
      <c r="L64" s="37">
        <f t="shared" si="19"/>
        <v>0.19145135513822095</v>
      </c>
      <c r="M64" s="37">
        <f t="shared" si="19"/>
        <v>0.19090371572530673</v>
      </c>
      <c r="N64" s="37">
        <f t="shared" si="19"/>
        <v>0.19031128180223625</v>
      </c>
      <c r="O64" s="37">
        <f t="shared" si="19"/>
        <v>0.18972367500543758</v>
      </c>
      <c r="P64" s="37">
        <f t="shared" si="19"/>
        <v>0.18913105776727235</v>
      </c>
      <c r="Q64" s="37">
        <f t="shared" si="19"/>
        <v>0.18861756521204445</v>
      </c>
      <c r="R64" s="37">
        <f t="shared" si="19"/>
        <v>0.18816589798842917</v>
      </c>
      <c r="S64" s="37">
        <f t="shared" si="19"/>
        <v>0.18773974200721838</v>
      </c>
      <c r="T64" s="37">
        <f t="shared" si="19"/>
        <v>0.18750691292039645</v>
      </c>
      <c r="U64" s="37">
        <f t="shared" si="19"/>
        <v>0.18735407901396714</v>
      </c>
      <c r="V64" s="37">
        <f t="shared" si="19"/>
        <v>0.18713222890322481</v>
      </c>
      <c r="W64" s="37">
        <f t="shared" si="19"/>
        <v>0.18690528103423584</v>
      </c>
      <c r="X64" s="37">
        <f t="shared" si="19"/>
        <v>0.18665946376669984</v>
      </c>
      <c r="Y64" s="37">
        <f t="shared" si="15"/>
        <v>3.7331892753339964</v>
      </c>
      <c r="AA64" s="49">
        <f t="shared" si="16"/>
        <v>3.8054920907961027</v>
      </c>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c r="A65" s="278">
        <f>VLOOKUP(D65,'Measure InputOutput_Out'!$A$4:$M$21,3,FALSE)</f>
        <v>37.459341284727984</v>
      </c>
      <c r="B65" s="278">
        <f>VLOOKUP(D65,'Measure InputOutput_Out'!$A$4:$M$21,11,FALSE)</f>
        <v>87.875319189015713</v>
      </c>
      <c r="C65" s="18" t="str">
        <f t="shared" si="12"/>
        <v>Medium Ret</v>
      </c>
      <c r="D65" s="18" t="str">
        <f t="shared" si="13"/>
        <v>Commercial EM-Retro-Medium Ret</v>
      </c>
      <c r="E65" s="37">
        <f t="shared" ref="E65:X65" si="20">E41*$A65/8760000*1000</f>
        <v>1.4370287527948078E-2</v>
      </c>
      <c r="F65" s="37">
        <f t="shared" si="20"/>
        <v>1.4304184205319519E-2</v>
      </c>
      <c r="G65" s="37">
        <f t="shared" si="20"/>
        <v>1.4238384957975046E-2</v>
      </c>
      <c r="H65" s="37">
        <f t="shared" si="20"/>
        <v>1.4371649387203702E-2</v>
      </c>
      <c r="I65" s="37">
        <f t="shared" si="20"/>
        <v>1.4710057800825441E-2</v>
      </c>
      <c r="J65" s="37">
        <f t="shared" si="20"/>
        <v>1.497738355987757E-2</v>
      </c>
      <c r="K65" s="37">
        <f t="shared" si="20"/>
        <v>1.5117675239545198E-2</v>
      </c>
      <c r="L65" s="37">
        <f t="shared" si="20"/>
        <v>1.5262655508427057E-2</v>
      </c>
      <c r="M65" s="37">
        <f t="shared" si="20"/>
        <v>1.5391738323879339E-2</v>
      </c>
      <c r="N65" s="37">
        <f t="shared" si="20"/>
        <v>1.5491321342090972E-2</v>
      </c>
      <c r="O65" s="37">
        <f t="shared" si="20"/>
        <v>1.5589669432506057E-2</v>
      </c>
      <c r="P65" s="37">
        <f t="shared" si="20"/>
        <v>1.5683423492779201E-2</v>
      </c>
      <c r="Q65" s="37">
        <f t="shared" si="20"/>
        <v>1.5823122943639502E-2</v>
      </c>
      <c r="R65" s="37">
        <f t="shared" si="20"/>
        <v>1.5998841985214018E-2</v>
      </c>
      <c r="S65" s="37">
        <f t="shared" si="20"/>
        <v>1.6188348953538784E-2</v>
      </c>
      <c r="T65" s="37">
        <f t="shared" si="20"/>
        <v>1.6488542910537547E-2</v>
      </c>
      <c r="U65" s="37">
        <f t="shared" si="20"/>
        <v>1.6835886298923186E-2</v>
      </c>
      <c r="V65" s="37">
        <f t="shared" si="20"/>
        <v>1.7139159315242233E-2</v>
      </c>
      <c r="W65" s="37">
        <f t="shared" si="20"/>
        <v>1.7438379598334299E-2</v>
      </c>
      <c r="X65" s="37">
        <f t="shared" si="20"/>
        <v>1.7724335034586057E-2</v>
      </c>
      <c r="Y65" s="37">
        <f t="shared" si="15"/>
        <v>0.35448670069172117</v>
      </c>
      <c r="AA65" s="49">
        <f t="shared" si="16"/>
        <v>0.31314504781839281</v>
      </c>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c r="A66" s="278">
        <f>VLOOKUP(D66,'Measure InputOutput_Out'!$A$4:$M$21,3,FALSE)</f>
        <v>155.34471430154173</v>
      </c>
      <c r="B66" s="278">
        <f>VLOOKUP(D66,'Measure InputOutput_Out'!$A$4:$M$21,11,FALSE)</f>
        <v>25.945111299992629</v>
      </c>
      <c r="C66" s="18" t="str">
        <f t="shared" si="12"/>
        <v>Small Ret</v>
      </c>
      <c r="D66" s="18" t="str">
        <f t="shared" si="13"/>
        <v>Commercial EM-Retro-Small Ret</v>
      </c>
      <c r="E66" s="37">
        <f t="shared" ref="E66:X66" si="21">E42*$A66/8760000*1000</f>
        <v>6.7180904434502031E-2</v>
      </c>
      <c r="F66" s="37">
        <f t="shared" si="21"/>
        <v>6.6871872274103294E-2</v>
      </c>
      <c r="G66" s="37">
        <f t="shared" si="21"/>
        <v>6.6564261661642435E-2</v>
      </c>
      <c r="H66" s="37">
        <f t="shared" si="21"/>
        <v>6.6518704006069101E-2</v>
      </c>
      <c r="I66" s="37">
        <f t="shared" si="21"/>
        <v>6.6743179491334723E-2</v>
      </c>
      <c r="J66" s="37">
        <f t="shared" si="21"/>
        <v>6.6876973665390596E-2</v>
      </c>
      <c r="K66" s="37">
        <f t="shared" si="21"/>
        <v>6.6844912163230311E-2</v>
      </c>
      <c r="L66" s="37">
        <f t="shared" si="21"/>
        <v>6.6819710478578709E-2</v>
      </c>
      <c r="M66" s="37">
        <f t="shared" si="21"/>
        <v>6.6774380624508453E-2</v>
      </c>
      <c r="N66" s="37">
        <f t="shared" si="21"/>
        <v>6.668702727810516E-2</v>
      </c>
      <c r="O66" s="37">
        <f t="shared" si="21"/>
        <v>6.6598865814087846E-2</v>
      </c>
      <c r="P66" s="37">
        <f t="shared" si="21"/>
        <v>6.650604892593398E-2</v>
      </c>
      <c r="Q66" s="37">
        <f t="shared" si="21"/>
        <v>6.6480392890872889E-2</v>
      </c>
      <c r="R66" s="37">
        <f t="shared" si="21"/>
        <v>6.6506392477992476E-2</v>
      </c>
      <c r="S66" s="37">
        <f t="shared" si="21"/>
        <v>6.6551718880818289E-2</v>
      </c>
      <c r="T66" s="37">
        <f t="shared" si="21"/>
        <v>6.6740454993730589E-2</v>
      </c>
      <c r="U66" s="37">
        <f t="shared" si="21"/>
        <v>6.6991207167068467E-2</v>
      </c>
      <c r="V66" s="37">
        <f t="shared" si="21"/>
        <v>6.7185367226680753E-2</v>
      </c>
      <c r="W66" s="37">
        <f t="shared" si="21"/>
        <v>6.7376606071019626E-2</v>
      </c>
      <c r="X66" s="37">
        <f t="shared" si="21"/>
        <v>6.7551718671408786E-2</v>
      </c>
      <c r="Y66" s="37">
        <f t="shared" si="15"/>
        <v>1.3510343734281758</v>
      </c>
      <c r="AA66" s="49">
        <f t="shared" si="16"/>
        <v>1.3363706991970783</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c r="A67" s="278">
        <f>VLOOKUP(D67,'Measure InputOutput_Out'!$A$4:$M$21,3,FALSE)</f>
        <v>199.16136222239018</v>
      </c>
      <c r="B67" s="278">
        <f>VLOOKUP(D67,'Measure InputOutput_Out'!$A$4:$M$21,11,FALSE)</f>
        <v>74.993771804073788</v>
      </c>
      <c r="C67" s="18" t="str">
        <f t="shared" si="12"/>
        <v>School K-12</v>
      </c>
      <c r="D67" s="18" t="str">
        <f t="shared" si="13"/>
        <v>Commercial EM-Retro-School K-12</v>
      </c>
      <c r="E67" s="37">
        <f t="shared" ref="E67:X67" si="22">E43*$A67/8760000*1000</f>
        <v>0.18969242730920205</v>
      </c>
      <c r="F67" s="37">
        <f t="shared" si="22"/>
        <v>0.18891468835723432</v>
      </c>
      <c r="G67" s="37">
        <f t="shared" si="22"/>
        <v>0.18814013813496969</v>
      </c>
      <c r="H67" s="37">
        <f t="shared" si="22"/>
        <v>0.18776466454486179</v>
      </c>
      <c r="I67" s="37">
        <f t="shared" si="22"/>
        <v>0.18738459828719331</v>
      </c>
      <c r="J67" s="37">
        <f t="shared" si="22"/>
        <v>0.1874872680423961</v>
      </c>
      <c r="K67" s="37">
        <f t="shared" si="22"/>
        <v>0.18747266860284081</v>
      </c>
      <c r="L67" s="37">
        <f t="shared" si="22"/>
        <v>0.18727810915532933</v>
      </c>
      <c r="M67" s="37">
        <f t="shared" si="22"/>
        <v>0.18710791887989858</v>
      </c>
      <c r="N67" s="37">
        <f t="shared" si="22"/>
        <v>0.18702514214229185</v>
      </c>
      <c r="O67" s="37">
        <f t="shared" si="22"/>
        <v>0.18705558706191927</v>
      </c>
      <c r="P67" s="37">
        <f t="shared" si="22"/>
        <v>0.18749038662100187</v>
      </c>
      <c r="Q67" s="37">
        <f t="shared" si="22"/>
        <v>0.18821801157108295</v>
      </c>
      <c r="R67" s="37">
        <f t="shared" si="22"/>
        <v>0.18877205603400912</v>
      </c>
      <c r="S67" s="37">
        <f t="shared" si="22"/>
        <v>0.18935277474172227</v>
      </c>
      <c r="T67" s="37">
        <f t="shared" si="22"/>
        <v>0.19003012517533738</v>
      </c>
      <c r="U67" s="37">
        <f t="shared" si="22"/>
        <v>0.19076408220072918</v>
      </c>
      <c r="V67" s="37">
        <f t="shared" si="22"/>
        <v>0.19141174170380557</v>
      </c>
      <c r="W67" s="37">
        <f t="shared" si="22"/>
        <v>0.19210064801004786</v>
      </c>
      <c r="X67" s="37">
        <f t="shared" si="22"/>
        <v>0.19265246176440054</v>
      </c>
      <c r="Y67" s="37">
        <f t="shared" si="15"/>
        <v>3.8530492352880099</v>
      </c>
      <c r="AA67" s="49">
        <f t="shared" si="16"/>
        <v>3.7761154983402729</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c r="A68" s="278">
        <f>VLOOKUP(D68,'Measure InputOutput_Out'!$A$4:$M$21,3,FALSE)</f>
        <v>876.35543835313615</v>
      </c>
      <c r="B68" s="278">
        <f>VLOOKUP(D68,'Measure InputOutput_Out'!$A$4:$M$21,11,FALSE)</f>
        <v>41.490514765217398</v>
      </c>
      <c r="C68" s="18" t="str">
        <f t="shared" si="12"/>
        <v>University</v>
      </c>
      <c r="D68" s="18" t="str">
        <f t="shared" si="13"/>
        <v>Commercial EM-Retro-University</v>
      </c>
      <c r="E68" s="37">
        <f t="shared" ref="E68:X68" si="23">E44*$A68/8760000*1000</f>
        <v>0.42286504795096524</v>
      </c>
      <c r="F68" s="37">
        <f t="shared" si="23"/>
        <v>0.42113130125436621</v>
      </c>
      <c r="G68" s="37">
        <f t="shared" si="23"/>
        <v>0.4194046629192234</v>
      </c>
      <c r="H68" s="37">
        <f t="shared" si="23"/>
        <v>0.41989916998259552</v>
      </c>
      <c r="I68" s="37">
        <f t="shared" si="23"/>
        <v>0.41915602488092718</v>
      </c>
      <c r="J68" s="37">
        <f t="shared" si="23"/>
        <v>0.41847936609094011</v>
      </c>
      <c r="K68" s="37">
        <f t="shared" si="23"/>
        <v>0.41879571965841156</v>
      </c>
      <c r="L68" s="37">
        <f t="shared" si="23"/>
        <v>0.41998400276479625</v>
      </c>
      <c r="M68" s="37">
        <f t="shared" si="23"/>
        <v>0.42060529684243131</v>
      </c>
      <c r="N68" s="37">
        <f t="shared" si="23"/>
        <v>0.42147712884953076</v>
      </c>
      <c r="O68" s="37">
        <f t="shared" si="23"/>
        <v>0.42203340945965306</v>
      </c>
      <c r="P68" s="37">
        <f t="shared" si="23"/>
        <v>0.42373736969972364</v>
      </c>
      <c r="Q68" s="37">
        <f t="shared" si="23"/>
        <v>0.42617236344118159</v>
      </c>
      <c r="R68" s="37">
        <f t="shared" si="23"/>
        <v>0.42860180541843684</v>
      </c>
      <c r="S68" s="37">
        <f t="shared" si="23"/>
        <v>0.43144190528736026</v>
      </c>
      <c r="T68" s="37">
        <f t="shared" si="23"/>
        <v>0.43438470532814505</v>
      </c>
      <c r="U68" s="37">
        <f t="shared" si="23"/>
        <v>0.43768034016890267</v>
      </c>
      <c r="V68" s="37">
        <f t="shared" si="23"/>
        <v>0.44105227210703363</v>
      </c>
      <c r="W68" s="37">
        <f t="shared" si="23"/>
        <v>0.44390944505835866</v>
      </c>
      <c r="X68" s="37">
        <f t="shared" si="23"/>
        <v>0.44637898051760422</v>
      </c>
      <c r="Y68" s="37">
        <f t="shared" si="15"/>
        <v>8.927579610352085</v>
      </c>
      <c r="AA68" s="49">
        <f t="shared" si="16"/>
        <v>8.5371903176805866</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c r="A69" s="278">
        <f>VLOOKUP(D69,'Measure InputOutput_Out'!$A$4:$M$21,3,FALSE)</f>
        <v>29.02532048555036</v>
      </c>
      <c r="B69" s="278">
        <f>VLOOKUP(D69,'Measure InputOutput_Out'!$A$4:$M$21,11,FALSE)</f>
        <v>71.290774467423859</v>
      </c>
      <c r="C69" s="18" t="str">
        <f t="shared" si="12"/>
        <v>Warehouse</v>
      </c>
      <c r="D69" s="18" t="str">
        <f t="shared" si="13"/>
        <v>Commercial EM-Retro-Warehouse</v>
      </c>
      <c r="E69" s="37">
        <f t="shared" ref="E69:X69" si="24">E45*$A69/8760000*1000</f>
        <v>5.1445496848780407E-2</v>
      </c>
      <c r="F69" s="37">
        <f t="shared" si="24"/>
        <v>5.1255148510439927E-2</v>
      </c>
      <c r="G69" s="37">
        <f t="shared" si="24"/>
        <v>5.1065504460951282E-2</v>
      </c>
      <c r="H69" s="37">
        <f t="shared" si="24"/>
        <v>5.1785792264951211E-2</v>
      </c>
      <c r="I69" s="37">
        <f t="shared" si="24"/>
        <v>5.2475652652386739E-2</v>
      </c>
      <c r="J69" s="37">
        <f t="shared" si="24"/>
        <v>5.315689889513682E-2</v>
      </c>
      <c r="K69" s="37">
        <f t="shared" si="24"/>
        <v>5.361731860788619E-2</v>
      </c>
      <c r="L69" s="37">
        <f t="shared" si="24"/>
        <v>5.3981591987745353E-2</v>
      </c>
      <c r="M69" s="37">
        <f t="shared" si="24"/>
        <v>5.4207517327370773E-2</v>
      </c>
      <c r="N69" s="37">
        <f t="shared" si="24"/>
        <v>5.4384235968980787E-2</v>
      </c>
      <c r="O69" s="37">
        <f t="shared" si="24"/>
        <v>5.4666684366238165E-2</v>
      </c>
      <c r="P69" s="37">
        <f t="shared" si="24"/>
        <v>5.5003799762775737E-2</v>
      </c>
      <c r="Q69" s="37">
        <f t="shared" si="24"/>
        <v>5.5377769584140348E-2</v>
      </c>
      <c r="R69" s="37">
        <f t="shared" si="24"/>
        <v>5.573419556084401E-2</v>
      </c>
      <c r="S69" s="37">
        <f t="shared" si="24"/>
        <v>5.6109534625192088E-2</v>
      </c>
      <c r="T69" s="37">
        <f t="shared" si="24"/>
        <v>5.6439228011251126E-2</v>
      </c>
      <c r="U69" s="37">
        <f t="shared" si="24"/>
        <v>5.6702407652174186E-2</v>
      </c>
      <c r="V69" s="37">
        <f t="shared" si="24"/>
        <v>5.6979547427851329E-2</v>
      </c>
      <c r="W69" s="37">
        <f t="shared" si="24"/>
        <v>5.7258891460774217E-2</v>
      </c>
      <c r="X69" s="37">
        <f t="shared" si="24"/>
        <v>5.759377474790605E-2</v>
      </c>
      <c r="Y69" s="37">
        <f t="shared" si="15"/>
        <v>1.1518754949581209</v>
      </c>
      <c r="AA69" s="49">
        <f t="shared" si="16"/>
        <v>1.0892409907237766</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c r="A70" s="278">
        <f>VLOOKUP(D70,'Measure InputOutput_Out'!$A$4:$M$21,3,FALSE)</f>
        <v>66.375882359202151</v>
      </c>
      <c r="B70" s="278">
        <f>VLOOKUP(D70,'Measure InputOutput_Out'!$A$4:$M$21,11,FALSE)</f>
        <v>26.894991456271843</v>
      </c>
      <c r="C70" s="18" t="str">
        <f t="shared" si="12"/>
        <v>Supermarket</v>
      </c>
      <c r="D70" s="18" t="str">
        <f t="shared" si="13"/>
        <v>Commercial EM-Retro-Supermarket</v>
      </c>
      <c r="E70" s="37">
        <f t="shared" ref="E70:X70" si="25">E46*$A70/8760000*1000</f>
        <v>1.4085420888842185E-2</v>
      </c>
      <c r="F70" s="37">
        <f t="shared" si="25"/>
        <v>1.3958652100842604E-2</v>
      </c>
      <c r="G70" s="37">
        <f t="shared" si="25"/>
        <v>1.3833024231935023E-2</v>
      </c>
      <c r="H70" s="37">
        <f t="shared" si="25"/>
        <v>1.3787475222620497E-2</v>
      </c>
      <c r="I70" s="37">
        <f t="shared" si="25"/>
        <v>1.3766158044232405E-2</v>
      </c>
      <c r="J70" s="37">
        <f t="shared" si="25"/>
        <v>1.3733933272635649E-2</v>
      </c>
      <c r="K70" s="37">
        <f t="shared" si="25"/>
        <v>1.3691235657081724E-2</v>
      </c>
      <c r="L70" s="37">
        <f t="shared" si="25"/>
        <v>1.3649003266686083E-2</v>
      </c>
      <c r="M70" s="37">
        <f t="shared" si="25"/>
        <v>1.3607041525598582E-2</v>
      </c>
      <c r="N70" s="37">
        <f t="shared" si="25"/>
        <v>1.3565264074969031E-2</v>
      </c>
      <c r="O70" s="37">
        <f t="shared" si="25"/>
        <v>1.3523426731902205E-2</v>
      </c>
      <c r="P70" s="37">
        <f t="shared" si="25"/>
        <v>1.3481460527518023E-2</v>
      </c>
      <c r="Q70" s="37">
        <f t="shared" si="25"/>
        <v>1.3439291028246605E-2</v>
      </c>
      <c r="R70" s="37">
        <f t="shared" si="25"/>
        <v>1.3397286453885588E-2</v>
      </c>
      <c r="S70" s="37">
        <f t="shared" si="25"/>
        <v>1.3355533149045874E-2</v>
      </c>
      <c r="T70" s="37">
        <f t="shared" si="25"/>
        <v>1.3314107893615647E-2</v>
      </c>
      <c r="U70" s="37">
        <f t="shared" si="25"/>
        <v>1.3273317770283682E-2</v>
      </c>
      <c r="V70" s="37">
        <f t="shared" si="25"/>
        <v>1.3229533142467647E-2</v>
      </c>
      <c r="W70" s="37">
        <f t="shared" si="25"/>
        <v>1.3190189269600866E-2</v>
      </c>
      <c r="X70" s="37">
        <f t="shared" si="25"/>
        <v>1.3151414298960785E-2</v>
      </c>
      <c r="Y70" s="37">
        <f>Y46*A70/8760</f>
        <v>0.26302828597921563</v>
      </c>
      <c r="AA70" s="49">
        <f t="shared" si="16"/>
        <v>0.27103276855097064</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c r="A71" s="278">
        <f>VLOOKUP(D71,'Measure InputOutput_Out'!$A$4:$M$21,3,FALSE)</f>
        <v>0</v>
      </c>
      <c r="B71" s="278">
        <f>VLOOKUP(D71,'Measure InputOutput_Out'!$A$4:$M$21,11,FALSE)</f>
        <v>9999</v>
      </c>
      <c r="C71" s="18" t="str">
        <f t="shared" si="12"/>
        <v>MiniMart</v>
      </c>
      <c r="D71" s="18" t="str">
        <f t="shared" si="13"/>
        <v>Commercial EM-Retro-MiniMart</v>
      </c>
      <c r="E71" s="37">
        <f t="shared" ref="E71:X71" si="26">E47*$A71/8760000*1000</f>
        <v>0</v>
      </c>
      <c r="F71" s="37">
        <f t="shared" si="26"/>
        <v>0</v>
      </c>
      <c r="G71" s="37">
        <f t="shared" si="26"/>
        <v>0</v>
      </c>
      <c r="H71" s="37">
        <f t="shared" si="26"/>
        <v>0</v>
      </c>
      <c r="I71" s="37">
        <f t="shared" si="26"/>
        <v>0</v>
      </c>
      <c r="J71" s="37">
        <f t="shared" si="26"/>
        <v>0</v>
      </c>
      <c r="K71" s="37">
        <f t="shared" si="26"/>
        <v>0</v>
      </c>
      <c r="L71" s="37">
        <f t="shared" si="26"/>
        <v>0</v>
      </c>
      <c r="M71" s="37">
        <f t="shared" si="26"/>
        <v>0</v>
      </c>
      <c r="N71" s="37">
        <f t="shared" si="26"/>
        <v>0</v>
      </c>
      <c r="O71" s="37">
        <f t="shared" si="26"/>
        <v>0</v>
      </c>
      <c r="P71" s="37">
        <f t="shared" si="26"/>
        <v>0</v>
      </c>
      <c r="Q71" s="37">
        <f t="shared" si="26"/>
        <v>0</v>
      </c>
      <c r="R71" s="37">
        <f t="shared" si="26"/>
        <v>0</v>
      </c>
      <c r="S71" s="37">
        <f t="shared" si="26"/>
        <v>0</v>
      </c>
      <c r="T71" s="37">
        <f t="shared" si="26"/>
        <v>0</v>
      </c>
      <c r="U71" s="37">
        <f t="shared" si="26"/>
        <v>0</v>
      </c>
      <c r="V71" s="37">
        <f t="shared" si="26"/>
        <v>0</v>
      </c>
      <c r="W71" s="37">
        <f t="shared" si="26"/>
        <v>0</v>
      </c>
      <c r="X71" s="37">
        <f t="shared" si="26"/>
        <v>0</v>
      </c>
      <c r="Y71" s="37">
        <f t="shared" si="15"/>
        <v>0</v>
      </c>
      <c r="AA71" s="49">
        <f t="shared" si="16"/>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c r="A72" s="278">
        <f>VLOOKUP(D72,'Measure InputOutput_Out'!$A$4:$M$21,3,FALSE)</f>
        <v>49.258523536046013</v>
      </c>
      <c r="B72" s="278">
        <f>VLOOKUP(D72,'Measure InputOutput_Out'!$A$4:$M$21,11,FALSE)</f>
        <v>47.765199650670738</v>
      </c>
      <c r="C72" s="18" t="str">
        <f t="shared" si="12"/>
        <v>Restaurant</v>
      </c>
      <c r="D72" s="18" t="str">
        <f t="shared" si="13"/>
        <v>Commercial EM-Retro-Restaurant</v>
      </c>
      <c r="E72" s="37">
        <f t="shared" ref="E72:X72" si="27">E48*$A72/8760000*1000</f>
        <v>1.0030745311743566E-2</v>
      </c>
      <c r="F72" s="37">
        <f t="shared" si="27"/>
        <v>9.9834001938721353E-3</v>
      </c>
      <c r="G72" s="37">
        <f t="shared" si="27"/>
        <v>9.9362785449570602E-3</v>
      </c>
      <c r="H72" s="37">
        <f t="shared" si="27"/>
        <v>1.0017116543503707E-2</v>
      </c>
      <c r="I72" s="37">
        <f t="shared" si="27"/>
        <v>1.0061686528349831E-2</v>
      </c>
      <c r="J72" s="37">
        <f t="shared" si="27"/>
        <v>1.0107435213262791E-2</v>
      </c>
      <c r="K72" s="37">
        <f t="shared" si="27"/>
        <v>1.0149039107528041E-2</v>
      </c>
      <c r="L72" s="37">
        <f t="shared" si="27"/>
        <v>1.0190679841233091E-2</v>
      </c>
      <c r="M72" s="37">
        <f t="shared" si="27"/>
        <v>1.0232005973297324E-2</v>
      </c>
      <c r="N72" s="37">
        <f t="shared" si="27"/>
        <v>1.0273052797730409E-2</v>
      </c>
      <c r="O72" s="37">
        <f t="shared" si="27"/>
        <v>1.0313828614907662E-2</v>
      </c>
      <c r="P72" s="37">
        <f t="shared" si="27"/>
        <v>1.0354268401872608E-2</v>
      </c>
      <c r="Q72" s="37">
        <f t="shared" si="27"/>
        <v>1.0394372276778748E-2</v>
      </c>
      <c r="R72" s="37">
        <f t="shared" si="27"/>
        <v>1.0434309459108684E-2</v>
      </c>
      <c r="S72" s="37">
        <f t="shared" si="27"/>
        <v>1.0474587151224775E-2</v>
      </c>
      <c r="T72" s="37">
        <f t="shared" si="27"/>
        <v>1.0545393327611429E-2</v>
      </c>
      <c r="U72" s="37">
        <f t="shared" si="27"/>
        <v>1.0630624317058147E-2</v>
      </c>
      <c r="V72" s="37">
        <f t="shared" si="27"/>
        <v>1.0713896419858903E-2</v>
      </c>
      <c r="W72" s="37">
        <f t="shared" si="27"/>
        <v>1.0801757819599252E-2</v>
      </c>
      <c r="X72" s="37">
        <f t="shared" si="27"/>
        <v>1.0895572781786851E-2</v>
      </c>
      <c r="Y72" s="37">
        <f t="shared" si="15"/>
        <v>0.21791145563573702</v>
      </c>
      <c r="AA72" s="49">
        <f t="shared" si="16"/>
        <v>0.20654005062528497</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c r="A73" s="278">
        <f>VLOOKUP(D73,'Measure InputOutput_Out'!$A$4:$M$21,3,FALSE)</f>
        <v>116.81796682580887</v>
      </c>
      <c r="B73" s="278">
        <f>VLOOKUP(D73,'Measure InputOutput_Out'!$A$4:$M$21,11,FALSE)</f>
        <v>31.737029906803112</v>
      </c>
      <c r="C73" s="18" t="str">
        <f t="shared" si="12"/>
        <v>Lodging</v>
      </c>
      <c r="D73" s="18" t="str">
        <f t="shared" si="13"/>
        <v>Commercial EM-Retro-Lodging</v>
      </c>
      <c r="E73" s="37">
        <f t="shared" ref="E73:X73" si="28">E49*$A73/8760000*1000</f>
        <v>7.8516757752855257E-2</v>
      </c>
      <c r="F73" s="37">
        <f t="shared" si="28"/>
        <v>7.8328317534248404E-2</v>
      </c>
      <c r="G73" s="37">
        <f t="shared" si="28"/>
        <v>7.8140329572166212E-2</v>
      </c>
      <c r="H73" s="37">
        <f t="shared" si="28"/>
        <v>7.8609525395155727E-2</v>
      </c>
      <c r="I73" s="37">
        <f t="shared" si="28"/>
        <v>7.8898968697340047E-2</v>
      </c>
      <c r="J73" s="37">
        <f t="shared" si="28"/>
        <v>7.9181108716170456E-2</v>
      </c>
      <c r="K73" s="37">
        <f t="shared" si="28"/>
        <v>7.9337799706647116E-2</v>
      </c>
      <c r="L73" s="37">
        <f t="shared" si="28"/>
        <v>7.9503009192825172E-2</v>
      </c>
      <c r="M73" s="37">
        <f t="shared" si="28"/>
        <v>7.9620499594084154E-2</v>
      </c>
      <c r="N73" s="37">
        <f t="shared" si="28"/>
        <v>7.972523084635047E-2</v>
      </c>
      <c r="O73" s="37">
        <f t="shared" si="28"/>
        <v>7.9822414659515506E-2</v>
      </c>
      <c r="P73" s="37">
        <f t="shared" si="28"/>
        <v>7.9917957171196402E-2</v>
      </c>
      <c r="Q73" s="37">
        <f t="shared" si="28"/>
        <v>8.0034827412548831E-2</v>
      </c>
      <c r="R73" s="37">
        <f t="shared" si="28"/>
        <v>8.0171620148740214E-2</v>
      </c>
      <c r="S73" s="37">
        <f t="shared" si="28"/>
        <v>8.0352800805656127E-2</v>
      </c>
      <c r="T73" s="37">
        <f t="shared" si="28"/>
        <v>8.0800274630534644E-2</v>
      </c>
      <c r="U73" s="37">
        <f t="shared" si="28"/>
        <v>8.1358314158493011E-2</v>
      </c>
      <c r="V73" s="37">
        <f t="shared" si="28"/>
        <v>8.1934346740129949E-2</v>
      </c>
      <c r="W73" s="37">
        <f t="shared" si="28"/>
        <v>8.2524202750580394E-2</v>
      </c>
      <c r="X73" s="37">
        <f t="shared" si="28"/>
        <v>8.3153891053912771E-2</v>
      </c>
      <c r="Y73" s="37">
        <f t="shared" si="15"/>
        <v>1.6630778210782555</v>
      </c>
      <c r="AA73" s="49">
        <f t="shared" si="16"/>
        <v>1.5999321965391506</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c r="A74" s="278">
        <f>VLOOKUP(D74,'Measure InputOutput_Out'!$A$4:$M$21,3,FALSE)</f>
        <v>1641.1873183039959</v>
      </c>
      <c r="B74" s="278">
        <f>VLOOKUP(D74,'Measure InputOutput_Out'!$A$4:$M$21,11,FALSE)</f>
        <v>11.652235462638782</v>
      </c>
      <c r="C74" s="18" t="str">
        <f t="shared" si="12"/>
        <v>Hospital</v>
      </c>
      <c r="D74" s="18" t="str">
        <f t="shared" si="13"/>
        <v>Commercial EM-Retro-Hospital</v>
      </c>
      <c r="E74" s="37">
        <f t="shared" ref="E74:X74" si="29">E50*$A74/8760000*1000</f>
        <v>0.68090306288300484</v>
      </c>
      <c r="F74" s="37">
        <f t="shared" si="29"/>
        <v>0.67947316645095057</v>
      </c>
      <c r="G74" s="37">
        <f t="shared" si="29"/>
        <v>0.67804627280140362</v>
      </c>
      <c r="H74" s="37">
        <f t="shared" si="29"/>
        <v>0.69596997874830058</v>
      </c>
      <c r="I74" s="37">
        <f t="shared" si="29"/>
        <v>0.72134712598464179</v>
      </c>
      <c r="J74" s="37">
        <f t="shared" si="29"/>
        <v>0.74300951909658208</v>
      </c>
      <c r="K74" s="37">
        <f t="shared" si="29"/>
        <v>0.76234511807499239</v>
      </c>
      <c r="L74" s="37">
        <f t="shared" si="29"/>
        <v>0.7781334161516763</v>
      </c>
      <c r="M74" s="37">
        <f t="shared" si="29"/>
        <v>0.78886706525551098</v>
      </c>
      <c r="N74" s="37">
        <f t="shared" si="29"/>
        <v>0.79813670846909135</v>
      </c>
      <c r="O74" s="37">
        <f t="shared" si="29"/>
        <v>0.806585289569274</v>
      </c>
      <c r="P74" s="37">
        <f t="shared" si="29"/>
        <v>0.81382573689713178</v>
      </c>
      <c r="Q74" s="37">
        <f t="shared" si="29"/>
        <v>0.82109777725079924</v>
      </c>
      <c r="R74" s="37">
        <f t="shared" si="29"/>
        <v>0.82883585880947652</v>
      </c>
      <c r="S74" s="37">
        <f t="shared" si="29"/>
        <v>0.83828788456315428</v>
      </c>
      <c r="T74" s="37">
        <f t="shared" si="29"/>
        <v>0.84996813301555663</v>
      </c>
      <c r="U74" s="37">
        <f t="shared" si="29"/>
        <v>0.86351530917190467</v>
      </c>
      <c r="V74" s="37">
        <f t="shared" si="29"/>
        <v>0.8755131077160101</v>
      </c>
      <c r="W74" s="37">
        <f t="shared" si="29"/>
        <v>0.88702161019326564</v>
      </c>
      <c r="X74" s="37">
        <f t="shared" si="29"/>
        <v>0.89818434748491538</v>
      </c>
      <c r="Y74" s="37">
        <f t="shared" si="15"/>
        <v>17.963686949698307</v>
      </c>
      <c r="AA74" s="49">
        <f t="shared" si="16"/>
        <v>15.809066488587643</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c r="A75" s="278">
        <f>VLOOKUP(D75,'Measure InputOutput_Out'!$A$4:$M$21,3,FALSE)</f>
        <v>152.4085038874982</v>
      </c>
      <c r="B75" s="278">
        <f>VLOOKUP(D75,'Measure InputOutput_Out'!$A$4:$M$21,11,FALSE)</f>
        <v>19.770557184294496</v>
      </c>
      <c r="C75" s="18" t="str">
        <f t="shared" si="12"/>
        <v>Residential Care</v>
      </c>
      <c r="D75" s="18" t="str">
        <f t="shared" si="13"/>
        <v>Commercial EM-Retro-Residential Care</v>
      </c>
      <c r="E75" s="37">
        <f t="shared" ref="E75:X75" si="30">E51*$A75/8760000*1000</f>
        <v>7.7511531642592293E-2</v>
      </c>
      <c r="F75" s="37">
        <f t="shared" si="30"/>
        <v>7.7325503966650055E-2</v>
      </c>
      <c r="G75" s="37">
        <f t="shared" si="30"/>
        <v>7.7139922757130094E-2</v>
      </c>
      <c r="H75" s="37">
        <f t="shared" si="30"/>
        <v>7.8749812246127773E-2</v>
      </c>
      <c r="I75" s="37">
        <f t="shared" si="30"/>
        <v>8.1276069766453143E-2</v>
      </c>
      <c r="J75" s="37">
        <f t="shared" si="30"/>
        <v>8.3547304842640405E-2</v>
      </c>
      <c r="K75" s="37">
        <f t="shared" si="30"/>
        <v>8.552601541704738E-2</v>
      </c>
      <c r="L75" s="37">
        <f t="shared" si="30"/>
        <v>8.7172907455082799E-2</v>
      </c>
      <c r="M75" s="37">
        <f t="shared" si="30"/>
        <v>8.837579796502093E-2</v>
      </c>
      <c r="N75" s="37">
        <f t="shared" si="30"/>
        <v>8.9476949180511939E-2</v>
      </c>
      <c r="O75" s="37">
        <f t="shared" si="30"/>
        <v>9.0485224386231619E-2</v>
      </c>
      <c r="P75" s="37">
        <f t="shared" si="30"/>
        <v>9.1393068825244075E-2</v>
      </c>
      <c r="Q75" s="37">
        <f t="shared" si="30"/>
        <v>9.2357182647439043E-2</v>
      </c>
      <c r="R75" s="37">
        <f t="shared" si="30"/>
        <v>9.3388334901214148E-2</v>
      </c>
      <c r="S75" s="37">
        <f t="shared" si="30"/>
        <v>9.4595143582929114E-2</v>
      </c>
      <c r="T75" s="37">
        <f t="shared" si="30"/>
        <v>9.610052449626616E-2</v>
      </c>
      <c r="U75" s="37">
        <f t="shared" si="30"/>
        <v>9.7768281096404841E-2</v>
      </c>
      <c r="V75" s="37">
        <f t="shared" si="30"/>
        <v>9.9241368385971918E-2</v>
      </c>
      <c r="W75" s="37">
        <f t="shared" si="30"/>
        <v>0.10075130095278609</v>
      </c>
      <c r="X75" s="37">
        <f t="shared" si="30"/>
        <v>0.10221568297646011</v>
      </c>
      <c r="Y75" s="37">
        <f t="shared" si="15"/>
        <v>2.0443136595292022</v>
      </c>
      <c r="AA75" s="49">
        <f t="shared" si="16"/>
        <v>1.7843979274902035</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c r="A76" s="278">
        <f>VLOOKUP(D76,'Measure InputOutput_Out'!$A$4:$M$21,3,FALSE)</f>
        <v>175.0491992019071</v>
      </c>
      <c r="B76" s="278">
        <f>VLOOKUP(D76,'Measure InputOutput_Out'!$A$4:$M$21,11,FALSE)</f>
        <v>33.256908653882199</v>
      </c>
      <c r="C76" s="18" t="str">
        <f t="shared" si="12"/>
        <v>Assembly</v>
      </c>
      <c r="D76" s="18" t="str">
        <f t="shared" si="13"/>
        <v>Commercial EM-Retro-Assembly</v>
      </c>
      <c r="E76" s="37">
        <f t="shared" ref="E76:X76" si="31">E52*$A76/8760000*1000</f>
        <v>0.25992674864469145</v>
      </c>
      <c r="F76" s="37">
        <f t="shared" si="31"/>
        <v>0.2587605439657723</v>
      </c>
      <c r="G76" s="37">
        <f t="shared" si="31"/>
        <v>0.25759957165851255</v>
      </c>
      <c r="H76" s="37">
        <f t="shared" si="31"/>
        <v>0.25939255729605731</v>
      </c>
      <c r="I76" s="37">
        <f t="shared" si="31"/>
        <v>0.26044465902758124</v>
      </c>
      <c r="J76" s="37">
        <f t="shared" si="31"/>
        <v>0.26149115179184107</v>
      </c>
      <c r="K76" s="37">
        <f t="shared" si="31"/>
        <v>0.26191557985681946</v>
      </c>
      <c r="L76" s="37">
        <f t="shared" si="31"/>
        <v>0.26257988563758983</v>
      </c>
      <c r="M76" s="37">
        <f t="shared" si="31"/>
        <v>0.26303465556089667</v>
      </c>
      <c r="N76" s="37">
        <f t="shared" si="31"/>
        <v>0.26340023154285747</v>
      </c>
      <c r="O76" s="37">
        <f t="shared" si="31"/>
        <v>0.26330507407272552</v>
      </c>
      <c r="P76" s="37">
        <f t="shared" si="31"/>
        <v>0.26326908159766149</v>
      </c>
      <c r="Q76" s="37">
        <f t="shared" si="31"/>
        <v>0.26378731117905402</v>
      </c>
      <c r="R76" s="37">
        <f t="shared" si="31"/>
        <v>0.26494628210283616</v>
      </c>
      <c r="S76" s="37">
        <f t="shared" si="31"/>
        <v>0.26635232096427713</v>
      </c>
      <c r="T76" s="37">
        <f t="shared" si="31"/>
        <v>0.26832880943530868</v>
      </c>
      <c r="U76" s="37">
        <f t="shared" si="31"/>
        <v>0.27126473158522768</v>
      </c>
      <c r="V76" s="37">
        <f t="shared" si="31"/>
        <v>0.27464671424042275</v>
      </c>
      <c r="W76" s="37">
        <f t="shared" si="31"/>
        <v>0.27833853402411179</v>
      </c>
      <c r="X76" s="37">
        <f t="shared" si="31"/>
        <v>0.28192943002094806</v>
      </c>
      <c r="Y76" s="37">
        <f t="shared" si="15"/>
        <v>5.6385886004189611</v>
      </c>
      <c r="AA76" s="49">
        <f t="shared" si="16"/>
        <v>5.3047138742051931</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c r="A77" s="278">
        <f>VLOOKUP(D77,'Measure InputOutput_Out'!$A$4:$M$21,3,FALSE)</f>
        <v>217.23607745202173</v>
      </c>
      <c r="B77" s="278">
        <f>VLOOKUP(D77,'Measure InputOutput_Out'!$A$4:$M$21,11,FALSE)</f>
        <v>23.292130073677438</v>
      </c>
      <c r="C77" s="18" t="str">
        <f t="shared" si="12"/>
        <v>Other</v>
      </c>
      <c r="D77" s="18" t="str">
        <f t="shared" si="13"/>
        <v>Commercial EM-Retro-Other</v>
      </c>
      <c r="E77" s="37">
        <f t="shared" ref="E77:X77" si="32">E53*$A77/8760000*1000</f>
        <v>0.29403461639762118</v>
      </c>
      <c r="F77" s="37">
        <f t="shared" si="32"/>
        <v>0.29138830485004263</v>
      </c>
      <c r="G77" s="37">
        <f t="shared" si="32"/>
        <v>0.28876581010639224</v>
      </c>
      <c r="H77" s="37">
        <f t="shared" si="32"/>
        <v>0.29422842637139401</v>
      </c>
      <c r="I77" s="37">
        <f t="shared" si="32"/>
        <v>0.30269100979187946</v>
      </c>
      <c r="J77" s="37">
        <f t="shared" si="32"/>
        <v>0.30933947897056269</v>
      </c>
      <c r="K77" s="37">
        <f t="shared" si="32"/>
        <v>0.31551328738735468</v>
      </c>
      <c r="L77" s="37">
        <f t="shared" si="32"/>
        <v>0.32112553529639226</v>
      </c>
      <c r="M77" s="37">
        <f t="shared" si="32"/>
        <v>0.3249605765792159</v>
      </c>
      <c r="N77" s="37">
        <f t="shared" si="32"/>
        <v>0.32950042662415119</v>
      </c>
      <c r="O77" s="37">
        <f t="shared" si="32"/>
        <v>0.33389185760146278</v>
      </c>
      <c r="P77" s="37">
        <f t="shared" si="32"/>
        <v>0.3388563710675962</v>
      </c>
      <c r="Q77" s="37">
        <f t="shared" si="32"/>
        <v>0.34445891270388296</v>
      </c>
      <c r="R77" s="37">
        <f t="shared" si="32"/>
        <v>0.34985690085002424</v>
      </c>
      <c r="S77" s="37">
        <f t="shared" si="32"/>
        <v>0.3562434825580712</v>
      </c>
      <c r="T77" s="37">
        <f t="shared" si="32"/>
        <v>0.36316888693516619</v>
      </c>
      <c r="U77" s="37">
        <f t="shared" si="32"/>
        <v>0.37030210730142943</v>
      </c>
      <c r="V77" s="37">
        <f t="shared" si="32"/>
        <v>0.37682256177396078</v>
      </c>
      <c r="W77" s="37">
        <f t="shared" si="32"/>
        <v>0.38401614990405653</v>
      </c>
      <c r="X77" s="37">
        <f t="shared" si="32"/>
        <v>0.39031493209099266</v>
      </c>
      <c r="Y77" s="37">
        <f t="shared" si="15"/>
        <v>7.8062986418198523</v>
      </c>
      <c r="AA77" s="49">
        <f t="shared" si="16"/>
        <v>6.6794796351616474</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c r="A78" s="194"/>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c r="D79" s="42"/>
      <c r="E79" s="42">
        <f>SUM(E60:E78)</f>
        <v>3.5494836402154895</v>
      </c>
      <c r="F79" s="42">
        <f t="shared" ref="F79:X79" si="33">SUM(F60:F78)</f>
        <v>3.5361069933077998</v>
      </c>
      <c r="G79" s="42">
        <f t="shared" si="33"/>
        <v>3.5227924873588927</v>
      </c>
      <c r="H79" s="42">
        <f t="shared" si="33"/>
        <v>3.5714832228078048</v>
      </c>
      <c r="I79" s="42">
        <f t="shared" si="33"/>
        <v>3.630581988109578</v>
      </c>
      <c r="J79" s="42">
        <f t="shared" si="33"/>
        <v>3.6781381594449583</v>
      </c>
      <c r="K79" s="42">
        <f t="shared" si="33"/>
        <v>3.7217814064578363</v>
      </c>
      <c r="L79" s="42">
        <f t="shared" si="33"/>
        <v>3.7650589530727272</v>
      </c>
      <c r="M79" s="42">
        <f t="shared" si="33"/>
        <v>3.7992483360780835</v>
      </c>
      <c r="N79" s="42">
        <f t="shared" si="33"/>
        <v>3.8287378830036811</v>
      </c>
      <c r="O79" s="42">
        <f t="shared" si="33"/>
        <v>3.861451511709471</v>
      </c>
      <c r="P79" s="42">
        <f t="shared" si="33"/>
        <v>3.8922801567324727</v>
      </c>
      <c r="Q79" s="42">
        <f t="shared" si="33"/>
        <v>3.9250921909720744</v>
      </c>
      <c r="R79" s="42">
        <f t="shared" si="33"/>
        <v>3.9612745927270994</v>
      </c>
      <c r="S79" s="42">
        <f t="shared" si="33"/>
        <v>4.001165235910265</v>
      </c>
      <c r="T79" s="42">
        <f t="shared" si="33"/>
        <v>4.0475871738032083</v>
      </c>
      <c r="U79" s="42">
        <f t="shared" si="33"/>
        <v>4.1000914592561664</v>
      </c>
      <c r="V79" s="42">
        <f t="shared" si="33"/>
        <v>4.1484481002529972</v>
      </c>
      <c r="W79" s="42">
        <f t="shared" si="33"/>
        <v>4.1989953374554663</v>
      </c>
      <c r="X79" s="42">
        <f t="shared" si="33"/>
        <v>4.2471326974210211</v>
      </c>
      <c r="Y79" s="42">
        <f>SUM(Y60:Y78)</f>
        <v>84.9426539484204</v>
      </c>
      <c r="Z79" s="42"/>
      <c r="AA79" s="42">
        <f>SUM(AA60:AA78)</f>
        <v>76.986931526097081</v>
      </c>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ht="15">
      <c r="A82" s="43" t="s">
        <v>46</v>
      </c>
      <c r="B82" s="44"/>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C83" s="45"/>
      <c r="D83" s="45"/>
      <c r="E83" s="40">
        <f>E58</f>
        <v>2016</v>
      </c>
      <c r="F83" s="40">
        <f t="shared" ref="F83:X83" si="34">F58</f>
        <v>2017</v>
      </c>
      <c r="G83" s="40">
        <f t="shared" si="34"/>
        <v>2018</v>
      </c>
      <c r="H83" s="40">
        <f t="shared" si="34"/>
        <v>2019</v>
      </c>
      <c r="I83" s="40">
        <f t="shared" si="34"/>
        <v>2020</v>
      </c>
      <c r="J83" s="40">
        <f t="shared" si="34"/>
        <v>2021</v>
      </c>
      <c r="K83" s="40">
        <f t="shared" si="34"/>
        <v>2022</v>
      </c>
      <c r="L83" s="40">
        <f t="shared" si="34"/>
        <v>2023</v>
      </c>
      <c r="M83" s="40">
        <f t="shared" si="34"/>
        <v>2024</v>
      </c>
      <c r="N83" s="40">
        <f t="shared" si="34"/>
        <v>2025</v>
      </c>
      <c r="O83" s="40">
        <f t="shared" si="34"/>
        <v>2026</v>
      </c>
      <c r="P83" s="40">
        <f t="shared" si="34"/>
        <v>2027</v>
      </c>
      <c r="Q83" s="40">
        <f t="shared" si="34"/>
        <v>2028</v>
      </c>
      <c r="R83" s="40">
        <f t="shared" si="34"/>
        <v>2029</v>
      </c>
      <c r="S83" s="40">
        <f t="shared" si="34"/>
        <v>2030</v>
      </c>
      <c r="T83" s="40">
        <f t="shared" si="34"/>
        <v>2031</v>
      </c>
      <c r="U83" s="40">
        <f t="shared" si="34"/>
        <v>2032</v>
      </c>
      <c r="V83" s="40">
        <f t="shared" si="34"/>
        <v>2033</v>
      </c>
      <c r="W83" s="40">
        <f t="shared" si="34"/>
        <v>2034</v>
      </c>
      <c r="X83" s="40">
        <f t="shared" si="34"/>
        <v>2035</v>
      </c>
      <c r="Y83" s="192" t="s">
        <v>444</v>
      </c>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46" t="s">
        <v>43</v>
      </c>
      <c r="D84" s="46" t="s">
        <v>43</v>
      </c>
      <c r="E84" s="41" t="str">
        <f>CONCATENATE("aMW_",E$11)</f>
        <v>aMW_2016</v>
      </c>
      <c r="F84" s="41" t="str">
        <f t="shared" ref="F84:X84" si="35">CONCATENATE("aMW_",F$11)</f>
        <v>aMW_2017</v>
      </c>
      <c r="G84" s="41" t="str">
        <f t="shared" si="35"/>
        <v>aMW_2018</v>
      </c>
      <c r="H84" s="41" t="str">
        <f t="shared" si="35"/>
        <v>aMW_2019</v>
      </c>
      <c r="I84" s="41" t="str">
        <f t="shared" si="35"/>
        <v>aMW_2020</v>
      </c>
      <c r="J84" s="41" t="str">
        <f t="shared" si="35"/>
        <v>aMW_2021</v>
      </c>
      <c r="K84" s="41" t="str">
        <f t="shared" si="35"/>
        <v>aMW_2022</v>
      </c>
      <c r="L84" s="41" t="str">
        <f t="shared" si="35"/>
        <v>aMW_2023</v>
      </c>
      <c r="M84" s="41" t="str">
        <f t="shared" si="35"/>
        <v>aMW_2024</v>
      </c>
      <c r="N84" s="41" t="str">
        <f t="shared" si="35"/>
        <v>aMW_2025</v>
      </c>
      <c r="O84" s="41" t="str">
        <f t="shared" si="35"/>
        <v>aMW_2026</v>
      </c>
      <c r="P84" s="41" t="str">
        <f t="shared" si="35"/>
        <v>aMW_2027</v>
      </c>
      <c r="Q84" s="41" t="str">
        <f t="shared" si="35"/>
        <v>aMW_2028</v>
      </c>
      <c r="R84" s="41" t="str">
        <f t="shared" si="35"/>
        <v>aMW_2029</v>
      </c>
      <c r="S84" s="41" t="str">
        <f t="shared" si="35"/>
        <v>aMW_2030</v>
      </c>
      <c r="T84" s="41" t="str">
        <f t="shared" si="35"/>
        <v>aMW_2031</v>
      </c>
      <c r="U84" s="41" t="str">
        <f t="shared" si="35"/>
        <v>aMW_2032</v>
      </c>
      <c r="V84" s="41" t="str">
        <f t="shared" si="35"/>
        <v>aMW_2033</v>
      </c>
      <c r="W84" s="41" t="str">
        <f t="shared" si="35"/>
        <v>aMW_2034</v>
      </c>
      <c r="X84" s="41" t="str">
        <f t="shared" si="35"/>
        <v>aMW_2035</v>
      </c>
      <c r="Y84" s="193" t="s">
        <v>445</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c r="B85" s="18" t="s">
        <v>47</v>
      </c>
      <c r="C85" s="47" t="s">
        <v>48</v>
      </c>
      <c r="D85" s="47" t="s">
        <v>49</v>
      </c>
      <c r="E85" s="37">
        <f>DSUM($B$59:$Y$77,E$59,$C$84:$D85)</f>
        <v>0</v>
      </c>
      <c r="F85" s="37">
        <f>DSUM($B$59:$Y$77,F$59,$C$84:$D85)</f>
        <v>0</v>
      </c>
      <c r="G85" s="37">
        <f>DSUM($B$59:$Y$77,G$59,$C$84:$D85)</f>
        <v>0</v>
      </c>
      <c r="H85" s="37">
        <f>DSUM($B$59:$Y$77,H$59,$C$84:$D85)</f>
        <v>0</v>
      </c>
      <c r="I85" s="37">
        <f>DSUM($B$59:$Y$77,I$59,$C$84:$D85)</f>
        <v>0</v>
      </c>
      <c r="J85" s="37">
        <f>DSUM($B$59:$Y$77,J$59,$C$84:$D85)</f>
        <v>0</v>
      </c>
      <c r="K85" s="37">
        <f>DSUM($B$59:$Y$77,K$59,$C$84:$D85)</f>
        <v>0</v>
      </c>
      <c r="L85" s="37">
        <f>DSUM($B$59:$Y$77,L$59,$C$84:$D85)</f>
        <v>0</v>
      </c>
      <c r="M85" s="37">
        <f>DSUM($B$59:$Y$77,M$59,$C$84:$D85)</f>
        <v>0</v>
      </c>
      <c r="N85" s="37">
        <f>DSUM($B$59:$Y$77,N$59,$C$84:$D85)</f>
        <v>0</v>
      </c>
      <c r="O85" s="37">
        <f>DSUM($B$59:$Y$77,O$59,$C$84:$D85)</f>
        <v>0</v>
      </c>
      <c r="P85" s="37">
        <f>DSUM($B$59:$Y$77,P$59,$C$84:$D85)</f>
        <v>0</v>
      </c>
      <c r="Q85" s="37">
        <f>DSUM($B$59:$Y$77,Q$59,$C$84:$D85)</f>
        <v>0</v>
      </c>
      <c r="R85" s="37">
        <f>DSUM($B$59:$Y$77,R$59,$C$84:$D85)</f>
        <v>0</v>
      </c>
      <c r="S85" s="37">
        <f>DSUM($B$59:$Y$77,S$59,$C$84:$D85)</f>
        <v>0</v>
      </c>
      <c r="T85" s="37">
        <f>DSUM($B$59:$Y$77,T$59,$C$84:$D85)</f>
        <v>0</v>
      </c>
      <c r="U85" s="37">
        <f>DSUM($B$59:$Y$77,U$59,$C$84:$D85)</f>
        <v>0</v>
      </c>
      <c r="V85" s="37">
        <f>DSUM($B$59:$Y$77,V$59,$C$84:$D85)</f>
        <v>0</v>
      </c>
      <c r="W85" s="37">
        <f>DSUM($B$59:$Y$77,W$59,$C$84:$D85)</f>
        <v>0</v>
      </c>
      <c r="X85" s="37">
        <f>DSUM($B$59:$Y$77,X$59,$C$84:$D85)</f>
        <v>0</v>
      </c>
      <c r="Y85" s="37">
        <f>DSUM($B$59:$Y$77,Y$59,$C$84:$D85)</f>
        <v>0</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18" t="s">
        <v>50</v>
      </c>
      <c r="C86" s="47" t="s">
        <v>51</v>
      </c>
      <c r="D86" s="47" t="s">
        <v>52</v>
      </c>
      <c r="E86" s="37">
        <f>DSUM($B$59:$Y$77,E$59,$C$84:$D86)</f>
        <v>0</v>
      </c>
      <c r="F86" s="37">
        <f>DSUM($B$59:$Y$77,F$59,$C$84:$D86)</f>
        <v>0</v>
      </c>
      <c r="G86" s="37">
        <f>DSUM($B$59:$Y$77,G$59,$C$84:$D86)</f>
        <v>0</v>
      </c>
      <c r="H86" s="37">
        <f>DSUM($B$59:$Y$77,H$59,$C$84:$D86)</f>
        <v>0</v>
      </c>
      <c r="I86" s="37">
        <f>DSUM($B$59:$Y$77,I$59,$C$84:$D86)</f>
        <v>0</v>
      </c>
      <c r="J86" s="37">
        <f>DSUM($B$59:$Y$77,J$59,$C$84:$D86)</f>
        <v>0</v>
      </c>
      <c r="K86" s="37">
        <f>DSUM($B$59:$Y$77,K$59,$C$84:$D86)</f>
        <v>0</v>
      </c>
      <c r="L86" s="37">
        <f>DSUM($B$59:$Y$77,L$59,$C$84:$D86)</f>
        <v>0</v>
      </c>
      <c r="M86" s="37">
        <f>DSUM($B$59:$Y$77,M$59,$C$84:$D86)</f>
        <v>0</v>
      </c>
      <c r="N86" s="37">
        <f>DSUM($B$59:$Y$77,N$59,$C$84:$D86)</f>
        <v>0</v>
      </c>
      <c r="O86" s="37">
        <f>DSUM($B$59:$Y$77,O$59,$C$84:$D86)</f>
        <v>0</v>
      </c>
      <c r="P86" s="37">
        <f>DSUM($B$59:$Y$77,P$59,$C$84:$D86)</f>
        <v>0</v>
      </c>
      <c r="Q86" s="37">
        <f>DSUM($B$59:$Y$77,Q$59,$C$84:$D86)</f>
        <v>0</v>
      </c>
      <c r="R86" s="37">
        <f>DSUM($B$59:$Y$77,R$59,$C$84:$D86)</f>
        <v>0</v>
      </c>
      <c r="S86" s="37">
        <f>DSUM($B$59:$Y$77,S$59,$C$84:$D86)</f>
        <v>0</v>
      </c>
      <c r="T86" s="37">
        <f>DSUM($B$59:$Y$77,T$59,$C$84:$D86)</f>
        <v>0</v>
      </c>
      <c r="U86" s="37">
        <f>DSUM($B$59:$Y$77,U$59,$C$84:$D86)</f>
        <v>0</v>
      </c>
      <c r="V86" s="37">
        <f>DSUM($B$59:$Y$77,V$59,$C$84:$D86)</f>
        <v>0</v>
      </c>
      <c r="W86" s="37">
        <f>DSUM($B$59:$Y$77,W$59,$C$84:$D86)</f>
        <v>0</v>
      </c>
      <c r="X86" s="37">
        <f>DSUM($B$59:$Y$77,X$59,$C$84:$D86)</f>
        <v>0</v>
      </c>
      <c r="Y86" s="37">
        <f>DSUM($B$59:$Y$77,Y$59,$C$84:$D86)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18" t="s">
        <v>53</v>
      </c>
      <c r="C87" s="47" t="s">
        <v>54</v>
      </c>
      <c r="D87" s="47" t="s">
        <v>55</v>
      </c>
      <c r="E87" s="37">
        <f>DSUM($B$59:$Y$77,E$59,$C$84:$D87)</f>
        <v>0.75841459452559712</v>
      </c>
      <c r="F87" s="37">
        <f>DSUM($B$59:$Y$77,F$59,$C$84:$D87)</f>
        <v>0.75679867041760063</v>
      </c>
      <c r="G87" s="37">
        <f>DSUM($B$59:$Y$77,G$59,$C$84:$D87)</f>
        <v>0.75518619555853372</v>
      </c>
      <c r="H87" s="37">
        <f>DSUM($B$59:$Y$77,H$59,$C$84:$D87)</f>
        <v>0.77471979099442834</v>
      </c>
      <c r="I87" s="37">
        <f>DSUM($B$59:$Y$77,I$59,$C$84:$D87)</f>
        <v>0.80262319575109498</v>
      </c>
      <c r="J87" s="37">
        <f>DSUM($B$59:$Y$77,J$59,$C$84:$D87)</f>
        <v>0.82655682393922247</v>
      </c>
      <c r="K87" s="37">
        <f>DSUM($B$59:$Y$77,K$59,$C$84:$D87)</f>
        <v>0.8478711334920398</v>
      </c>
      <c r="L87" s="37">
        <f>DSUM($B$59:$Y$77,L$59,$C$84:$D87)</f>
        <v>0.86530632360675908</v>
      </c>
      <c r="M87" s="37">
        <f>DSUM($B$59:$Y$77,M$59,$C$84:$D87)</f>
        <v>0.87724286322053191</v>
      </c>
      <c r="N87" s="37">
        <f>DSUM($B$59:$Y$77,N$59,$C$84:$D87)</f>
        <v>0.88761365764960332</v>
      </c>
      <c r="O87" s="37">
        <f>DSUM($B$59:$Y$77,O$59,$C$84:$D87)</f>
        <v>0.89707051395550563</v>
      </c>
      <c r="P87" s="37">
        <f>DSUM($B$59:$Y$77,P$59,$C$84:$D87)</f>
        <v>0.9052188057223759</v>
      </c>
      <c r="Q87" s="37">
        <f>DSUM($B$59:$Y$77,Q$59,$C$84:$D87)</f>
        <v>0.91345495989823833</v>
      </c>
      <c r="R87" s="37">
        <f>DSUM($B$59:$Y$77,R$59,$C$84:$D87)</f>
        <v>0.92222419371069064</v>
      </c>
      <c r="S87" s="37">
        <f>DSUM($B$59:$Y$77,S$59,$C$84:$D87)</f>
        <v>0.93288302814608337</v>
      </c>
      <c r="T87" s="37">
        <f>DSUM($B$59:$Y$77,T$59,$C$84:$D87)</f>
        <v>0.94606865751182279</v>
      </c>
      <c r="U87" s="37">
        <f>DSUM($B$59:$Y$77,U$59,$C$84:$D87)</f>
        <v>0.96128359026830945</v>
      </c>
      <c r="V87" s="37">
        <f>DSUM($B$59:$Y$77,V$59,$C$84:$D87)</f>
        <v>0.97475447610198196</v>
      </c>
      <c r="W87" s="37">
        <f>DSUM($B$59:$Y$77,W$59,$C$84:$D87)</f>
        <v>0.9877729111460517</v>
      </c>
      <c r="X87" s="37">
        <f>DSUM($B$59:$Y$77,X$59,$C$84:$D87)</f>
        <v>1.0004000304613756</v>
      </c>
      <c r="Y87" s="37">
        <f>DSUM($B$59:$Y$77,Y$59,$C$84:$D87)</f>
        <v>20.008000609227508</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18" t="s">
        <v>56</v>
      </c>
      <c r="C88" s="47" t="s">
        <v>57</v>
      </c>
      <c r="D88" s="47" t="s">
        <v>58</v>
      </c>
      <c r="E88" s="37">
        <f>DSUM($B$59:$Y$77,E$59,$C$84:$D88)</f>
        <v>1.1337155362465625</v>
      </c>
      <c r="F88" s="37">
        <f>DSUM($B$59:$Y$77,F$59,$C$84:$D88)</f>
        <v>1.1290174996425892</v>
      </c>
      <c r="G88" s="37">
        <f>DSUM($B$59:$Y$77,G$59,$C$84:$D88)</f>
        <v>1.1243492915585034</v>
      </c>
      <c r="H88" s="37">
        <f>DSUM($B$59:$Y$77,H$59,$C$84:$D88)</f>
        <v>1.1492543965945119</v>
      </c>
      <c r="I88" s="37">
        <f>DSUM($B$59:$Y$77,I$59,$C$84:$D88)</f>
        <v>1.1858235430785415</v>
      </c>
      <c r="J88" s="37">
        <f>DSUM($B$59:$Y$77,J$59,$C$84:$D88)</f>
        <v>1.2165072098478114</v>
      </c>
      <c r="K88" s="37">
        <f>DSUM($B$59:$Y$77,K$59,$C$84:$D88)</f>
        <v>1.2439205686997066</v>
      </c>
      <c r="L88" s="37">
        <f>DSUM($B$59:$Y$77,L$59,$C$84:$D88)</f>
        <v>1.2669005726484162</v>
      </c>
      <c r="M88" s="37">
        <f>DSUM($B$59:$Y$77,M$59,$C$84:$D88)</f>
        <v>1.2825848619498548</v>
      </c>
      <c r="N88" s="37">
        <f>DSUM($B$59:$Y$77,N$59,$C$84:$D88)</f>
        <v>1.2973663756268288</v>
      </c>
      <c r="O88" s="37">
        <f>DSUM($B$59:$Y$77,O$59,$C$84:$D88)</f>
        <v>1.3110846641029585</v>
      </c>
      <c r="P88" s="37">
        <f>DSUM($B$59:$Y$77,P$59,$C$84:$D88)</f>
        <v>1.3240626862434242</v>
      </c>
      <c r="Q88" s="37">
        <f>DSUM($B$59:$Y$77,Q$59,$C$84:$D88)</f>
        <v>1.3378335565212409</v>
      </c>
      <c r="R88" s="37">
        <f>DSUM($B$59:$Y$77,R$59,$C$84:$D88)</f>
        <v>1.3519847734925932</v>
      </c>
      <c r="S88" s="37">
        <f>DSUM($B$59:$Y$77,S$59,$C$84:$D88)</f>
        <v>1.3690337627340188</v>
      </c>
      <c r="T88" s="37">
        <f>DSUM($B$59:$Y$77,T$59,$C$84:$D88)</f>
        <v>1.3892921073343352</v>
      </c>
      <c r="U88" s="37">
        <f>DSUM($B$59:$Y$77,U$59,$C$84:$D88)</f>
        <v>1.411850222507091</v>
      </c>
      <c r="V88" s="37">
        <f>DSUM($B$59:$Y$77,V$59,$C$84:$D88)</f>
        <v>1.4319919382450914</v>
      </c>
      <c r="W88" s="37">
        <f>DSUM($B$59:$Y$77,W$59,$C$84:$D88)</f>
        <v>1.4523558563907288</v>
      </c>
      <c r="X88" s="37">
        <f>DSUM($B$59:$Y$77,X$59,$C$84:$D88)</f>
        <v>1.4714180955227378</v>
      </c>
      <c r="Y88" s="37">
        <f>DSUM($B$59:$Y$77,Y$59,$C$84:$D88)</f>
        <v>29.428361910454754</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18" t="s">
        <v>59</v>
      </c>
      <c r="C89" s="47" t="s">
        <v>60</v>
      </c>
      <c r="D89" s="47" t="s">
        <v>61</v>
      </c>
      <c r="E89" s="37">
        <f>DSUM($B$59:$Y$77,E$59,$C$84:$D89)</f>
        <v>2.5614477457761375</v>
      </c>
      <c r="F89" s="37">
        <f>DSUM($B$59:$Y$77,F$59,$C$84:$D89)</f>
        <v>2.552127198165242</v>
      </c>
      <c r="G89" s="37">
        <f>DSUM($B$59:$Y$77,G$59,$C$84:$D89)</f>
        <v>2.5428519673007464</v>
      </c>
      <c r="H89" s="37">
        <f>DSUM($B$59:$Y$77,H$59,$C$84:$D89)</f>
        <v>2.5889783628677274</v>
      </c>
      <c r="I89" s="37">
        <f>DSUM($B$59:$Y$77,I$59,$C$84:$D89)</f>
        <v>2.646023473876479</v>
      </c>
      <c r="J89" s="37">
        <f>DSUM($B$59:$Y$77,J$59,$C$84:$D89)</f>
        <v>2.6918580898940943</v>
      </c>
      <c r="K89" s="37">
        <f>DSUM($B$59:$Y$77,K$59,$C$84:$D89)</f>
        <v>2.7335160690973015</v>
      </c>
      <c r="L89" s="37">
        <f>DSUM($B$59:$Y$77,L$59,$C$84:$D89)</f>
        <v>2.7738665370497539</v>
      </c>
      <c r="M89" s="37">
        <f>DSUM($B$59:$Y$77,M$59,$C$84:$D89)</f>
        <v>2.805955617709325</v>
      </c>
      <c r="N89" s="37">
        <f>DSUM($B$59:$Y$77,N$59,$C$84:$D89)</f>
        <v>2.8336024947802434</v>
      </c>
      <c r="O89" s="37">
        <f>DSUM($B$59:$Y$77,O$59,$C$84:$D89)</f>
        <v>2.8639845987572268</v>
      </c>
      <c r="P89" s="37">
        <f>DSUM($B$59:$Y$77,P$59,$C$84:$D89)</f>
        <v>2.8911625881734464</v>
      </c>
      <c r="Q89" s="37">
        <f>DSUM($B$59:$Y$77,Q$59,$C$84:$D89)</f>
        <v>2.919206748634259</v>
      </c>
      <c r="R89" s="37">
        <f>DSUM($B$59:$Y$77,R$59,$C$84:$D89)</f>
        <v>2.9504302722962432</v>
      </c>
      <c r="S89" s="37">
        <f>DSUM($B$59:$Y$77,S$59,$C$84:$D89)</f>
        <v>2.9848620823184762</v>
      </c>
      <c r="T89" s="37">
        <f>DSUM($B$59:$Y$77,T$59,$C$84:$D89)</f>
        <v>3.0251246536863521</v>
      </c>
      <c r="U89" s="37">
        <f>DSUM($B$59:$Y$77,U$59,$C$84:$D89)</f>
        <v>3.0707854521788098</v>
      </c>
      <c r="V89" s="37">
        <f>DSUM($B$59:$Y$77,V$59,$C$84:$D89)</f>
        <v>3.1125742479359517</v>
      </c>
      <c r="W89" s="37">
        <f>DSUM($B$59:$Y$77,W$59,$C$84:$D89)</f>
        <v>3.1567902167993673</v>
      </c>
      <c r="X89" s="37">
        <f>DSUM($B$59:$Y$77,X$59,$C$84:$D89)</f>
        <v>3.1992231544436613</v>
      </c>
      <c r="Y89" s="37">
        <f>DSUM($B$59:$Y$77,Y$59,$C$84:$D89)</f>
        <v>63.984463088873234</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18" t="s">
        <v>62</v>
      </c>
      <c r="C90" s="47" t="s">
        <v>63</v>
      </c>
      <c r="D90" s="47" t="s">
        <v>64</v>
      </c>
      <c r="E90" s="37">
        <f>DSUM($B$59:$Y$77,E$59,$C$84:$D90)</f>
        <v>3.0806117668697</v>
      </c>
      <c r="F90" s="37">
        <f>DSUM($B$59:$Y$77,F$59,$C$84:$D90)</f>
        <v>3.0692220439884785</v>
      </c>
      <c r="G90" s="37">
        <f>DSUM($B$59:$Y$77,G$59,$C$84:$D90)</f>
        <v>3.0578859686167901</v>
      </c>
      <c r="H90" s="37">
        <f>DSUM($B$59:$Y$77,H$59,$C$84:$D90)</f>
        <v>3.10655581373479</v>
      </c>
      <c r="I90" s="37">
        <f>DSUM($B$59:$Y$77,I$59,$C$84:$D90)</f>
        <v>3.1651111825160361</v>
      </c>
      <c r="J90" s="37">
        <f>DSUM($B$59:$Y$77,J$59,$C$84:$D90)</f>
        <v>3.2118752428900974</v>
      </c>
      <c r="K90" s="37">
        <f>DSUM($B$59:$Y$77,K$59,$C$84:$D90)</f>
        <v>3.2554000352466224</v>
      </c>
      <c r="L90" s="37">
        <f>DSUM($B$59:$Y$77,L$59,$C$84:$D90)</f>
        <v>3.2987988471260321</v>
      </c>
      <c r="M90" s="37">
        <f>DSUM($B$59:$Y$77,M$59,$C$84:$D90)</f>
        <v>3.3332671762388606</v>
      </c>
      <c r="N90" s="37">
        <f>DSUM($B$59:$Y$77,N$59,$C$84:$D90)</f>
        <v>3.363102980955043</v>
      </c>
      <c r="O90" s="37">
        <f>DSUM($B$59:$Y$77,O$59,$C$84:$D90)</f>
        <v>3.3959015250762801</v>
      </c>
      <c r="P90" s="37">
        <f>DSUM($B$59:$Y$77,P$59,$C$84:$D90)</f>
        <v>3.4263835775936462</v>
      </c>
      <c r="Q90" s="37">
        <f>DSUM($B$59:$Y$77,Q$59,$C$84:$D90)</f>
        <v>3.4584005236866209</v>
      </c>
      <c r="R90" s="37">
        <f>DSUM($B$59:$Y$77,R$59,$C$84:$D90)</f>
        <v>3.4938636593149797</v>
      </c>
      <c r="S90" s="37">
        <f>DSUM($B$59:$Y$77,S$59,$C$84:$D90)</f>
        <v>3.5329502000833499</v>
      </c>
      <c r="T90" s="37">
        <f>DSUM($B$59:$Y$77,T$59,$C$84:$D90)</f>
        <v>3.578203074841829</v>
      </c>
      <c r="U90" s="37">
        <f>DSUM($B$59:$Y$77,U$59,$C$84:$D90)</f>
        <v>3.6294091812909777</v>
      </c>
      <c r="V90" s="37">
        <f>DSUM($B$59:$Y$77,V$59,$C$84:$D90)</f>
        <v>3.6766627710166655</v>
      </c>
      <c r="W90" s="37">
        <f>DSUM($B$59:$Y$77,W$59,$C$84:$D90)</f>
        <v>3.7260558823362739</v>
      </c>
      <c r="X90" s="37">
        <f>DSUM($B$59:$Y$77,X$59,$C$84:$D90)</f>
        <v>3.7731616113655067</v>
      </c>
      <c r="Y90" s="37">
        <f>DSUM($B$59:$Y$77,Y$59,$C$84:$D90)</f>
        <v>75.463232227310115</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18" t="s">
        <v>65</v>
      </c>
      <c r="C91" s="47" t="s">
        <v>66</v>
      </c>
      <c r="D91" s="47" t="s">
        <v>67</v>
      </c>
      <c r="E91" s="37">
        <f>DSUM($B$59:$Y$77,E$59,$C$84:$D91)</f>
        <v>3.0806117668697</v>
      </c>
      <c r="F91" s="37">
        <f>DSUM($B$59:$Y$77,F$59,$C$84:$D91)</f>
        <v>3.0692220439884785</v>
      </c>
      <c r="G91" s="37">
        <f>DSUM($B$59:$Y$77,G$59,$C$84:$D91)</f>
        <v>3.0578859686167901</v>
      </c>
      <c r="H91" s="37">
        <f>DSUM($B$59:$Y$77,H$59,$C$84:$D91)</f>
        <v>3.10655581373479</v>
      </c>
      <c r="I91" s="37">
        <f>DSUM($B$59:$Y$77,I$59,$C$84:$D91)</f>
        <v>3.1651111825160361</v>
      </c>
      <c r="J91" s="37">
        <f>DSUM($B$59:$Y$77,J$59,$C$84:$D91)</f>
        <v>3.2118752428900974</v>
      </c>
      <c r="K91" s="37">
        <f>DSUM($B$59:$Y$77,K$59,$C$84:$D91)</f>
        <v>3.2554000352466224</v>
      </c>
      <c r="L91" s="37">
        <f>DSUM($B$59:$Y$77,L$59,$C$84:$D91)</f>
        <v>3.2987988471260321</v>
      </c>
      <c r="M91" s="37">
        <f>DSUM($B$59:$Y$77,M$59,$C$84:$D91)</f>
        <v>3.3332671762388606</v>
      </c>
      <c r="N91" s="37">
        <f>DSUM($B$59:$Y$77,N$59,$C$84:$D91)</f>
        <v>3.363102980955043</v>
      </c>
      <c r="O91" s="37">
        <f>DSUM($B$59:$Y$77,O$59,$C$84:$D91)</f>
        <v>3.3959015250762801</v>
      </c>
      <c r="P91" s="37">
        <f>DSUM($B$59:$Y$77,P$59,$C$84:$D91)</f>
        <v>3.4263835775936462</v>
      </c>
      <c r="Q91" s="37">
        <f>DSUM($B$59:$Y$77,Q$59,$C$84:$D91)</f>
        <v>3.4584005236866209</v>
      </c>
      <c r="R91" s="37">
        <f>DSUM($B$59:$Y$77,R$59,$C$84:$D91)</f>
        <v>3.4938636593149797</v>
      </c>
      <c r="S91" s="37">
        <f>DSUM($B$59:$Y$77,S$59,$C$84:$D91)</f>
        <v>3.5329502000833499</v>
      </c>
      <c r="T91" s="37">
        <f>DSUM($B$59:$Y$77,T$59,$C$84:$D91)</f>
        <v>3.578203074841829</v>
      </c>
      <c r="U91" s="37">
        <f>DSUM($B$59:$Y$77,U$59,$C$84:$D91)</f>
        <v>3.6294091812909777</v>
      </c>
      <c r="V91" s="37">
        <f>DSUM($B$59:$Y$77,V$59,$C$84:$D91)</f>
        <v>3.6766627710166655</v>
      </c>
      <c r="W91" s="37">
        <f>DSUM($B$59:$Y$77,W$59,$C$84:$D91)</f>
        <v>3.7260558823362739</v>
      </c>
      <c r="X91" s="37">
        <f>DSUM($B$59:$Y$77,X$59,$C$84:$D91)</f>
        <v>3.7731616113655067</v>
      </c>
      <c r="Y91" s="37">
        <f>DSUM($B$59:$Y$77,Y$59,$C$84:$D91)</f>
        <v>75.463232227310115</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18" t="s">
        <v>68</v>
      </c>
      <c r="C92" s="47" t="s">
        <v>69</v>
      </c>
      <c r="D92" s="47" t="s">
        <v>70</v>
      </c>
      <c r="E92" s="37">
        <f>DSUM($B$59:$Y$77,E$59,$C$84:$D92)</f>
        <v>3.0806117668697</v>
      </c>
      <c r="F92" s="37">
        <f>DSUM($B$59:$Y$77,F$59,$C$84:$D92)</f>
        <v>3.0692220439884785</v>
      </c>
      <c r="G92" s="37">
        <f>DSUM($B$59:$Y$77,G$59,$C$84:$D92)</f>
        <v>3.0578859686167901</v>
      </c>
      <c r="H92" s="37">
        <f>DSUM($B$59:$Y$77,H$59,$C$84:$D92)</f>
        <v>3.10655581373479</v>
      </c>
      <c r="I92" s="37">
        <f>DSUM($B$59:$Y$77,I$59,$C$84:$D92)</f>
        <v>3.1651111825160361</v>
      </c>
      <c r="J92" s="37">
        <f>DSUM($B$59:$Y$77,J$59,$C$84:$D92)</f>
        <v>3.2118752428900974</v>
      </c>
      <c r="K92" s="37">
        <f>DSUM($B$59:$Y$77,K$59,$C$84:$D92)</f>
        <v>3.2554000352466224</v>
      </c>
      <c r="L92" s="37">
        <f>DSUM($B$59:$Y$77,L$59,$C$84:$D92)</f>
        <v>3.2987988471260321</v>
      </c>
      <c r="M92" s="37">
        <f>DSUM($B$59:$Y$77,M$59,$C$84:$D92)</f>
        <v>3.3332671762388606</v>
      </c>
      <c r="N92" s="37">
        <f>DSUM($B$59:$Y$77,N$59,$C$84:$D92)</f>
        <v>3.363102980955043</v>
      </c>
      <c r="O92" s="37">
        <f>DSUM($B$59:$Y$77,O$59,$C$84:$D92)</f>
        <v>3.3959015250762801</v>
      </c>
      <c r="P92" s="37">
        <f>DSUM($B$59:$Y$77,P$59,$C$84:$D92)</f>
        <v>3.4263835775936462</v>
      </c>
      <c r="Q92" s="37">
        <f>DSUM($B$59:$Y$77,Q$59,$C$84:$D92)</f>
        <v>3.4584005236866209</v>
      </c>
      <c r="R92" s="37">
        <f>DSUM($B$59:$Y$77,R$59,$C$84:$D92)</f>
        <v>3.4938636593149797</v>
      </c>
      <c r="S92" s="37">
        <f>DSUM($B$59:$Y$77,S$59,$C$84:$D92)</f>
        <v>3.5329502000833499</v>
      </c>
      <c r="T92" s="37">
        <f>DSUM($B$59:$Y$77,T$59,$C$84:$D92)</f>
        <v>3.578203074841829</v>
      </c>
      <c r="U92" s="37">
        <f>DSUM($B$59:$Y$77,U$59,$C$84:$D92)</f>
        <v>3.6294091812909777</v>
      </c>
      <c r="V92" s="37">
        <f>DSUM($B$59:$Y$77,V$59,$C$84:$D92)</f>
        <v>3.6766627710166655</v>
      </c>
      <c r="W92" s="37">
        <f>DSUM($B$59:$Y$77,W$59,$C$84:$D92)</f>
        <v>3.7260558823362739</v>
      </c>
      <c r="X92" s="37">
        <f>DSUM($B$59:$Y$77,X$59,$C$84:$D92)</f>
        <v>3.7731616113655067</v>
      </c>
      <c r="Y92" s="37">
        <f>DSUM($B$59:$Y$77,Y$59,$C$84:$D92)</f>
        <v>75.463232227310115</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18" t="s">
        <v>71</v>
      </c>
      <c r="C93" s="47" t="s">
        <v>72</v>
      </c>
      <c r="D93" s="47" t="s">
        <v>73</v>
      </c>
      <c r="E93" s="37">
        <f>DSUM($B$59:$Y$77,E$59,$C$84:$D93)</f>
        <v>3.3217496910276822</v>
      </c>
      <c r="F93" s="37">
        <f>DSUM($B$59:$Y$77,F$59,$C$84:$D93)</f>
        <v>3.3093918808561531</v>
      </c>
      <c r="G93" s="37">
        <f>DSUM($B$59:$Y$77,G$59,$C$84:$D93)</f>
        <v>3.2970916112127115</v>
      </c>
      <c r="H93" s="37">
        <f>DSUM($B$59:$Y$77,H$59,$C$84:$D93)</f>
        <v>3.346106270544603</v>
      </c>
      <c r="I93" s="37">
        <f>DSUM($B$59:$Y$77,I$59,$C$84:$D93)</f>
        <v>3.4049714334556165</v>
      </c>
      <c r="J93" s="37">
        <f>DSUM($B$59:$Y$77,J$59,$C$84:$D93)</f>
        <v>3.4525194098276297</v>
      </c>
      <c r="K93" s="37">
        <f>DSUM($B$59:$Y$77,K$59,$C$84:$D93)</f>
        <v>3.496490022457349</v>
      </c>
      <c r="L93" s="37">
        <f>DSUM($B$59:$Y$77,L$59,$C$84:$D93)</f>
        <v>3.5400585482691067</v>
      </c>
      <c r="M93" s="37">
        <f>DSUM($B$59:$Y$77,M$59,$C$84:$D93)</f>
        <v>3.5745826124461293</v>
      </c>
      <c r="N93" s="37">
        <f>DSUM($B$59:$Y$77,N$59,$C$84:$D93)</f>
        <v>3.6045123590663151</v>
      </c>
      <c r="O93" s="37">
        <f>DSUM($B$59:$Y$77,O$59,$C$84:$D93)</f>
        <v>3.6376237965044376</v>
      </c>
      <c r="P93" s="37">
        <f>DSUM($B$59:$Y$77,P$59,$C$84:$D93)</f>
        <v>3.6688777639774237</v>
      </c>
      <c r="Q93" s="37">
        <f>DSUM($B$59:$Y$77,Q$59,$C$84:$D93)</f>
        <v>3.7019963048418441</v>
      </c>
      <c r="R93" s="37">
        <f>DSUM($B$59:$Y$77,R$59,$C$84:$D93)</f>
        <v>3.7383699109098329</v>
      </c>
      <c r="S93" s="37">
        <f>DSUM($B$59:$Y$77,S$59,$C$84:$D93)</f>
        <v>3.778412509450265</v>
      </c>
      <c r="T93" s="37">
        <f>DSUM($B$59:$Y$77,T$59,$C$84:$D93)</f>
        <v>3.8246724280284177</v>
      </c>
      <c r="U93" s="37">
        <f>DSUM($B$59:$Y$77,U$59,$C$84:$D93)</f>
        <v>3.876875671143881</v>
      </c>
      <c r="V93" s="37">
        <f>DSUM($B$59:$Y$77,V$59,$C$84:$D93)</f>
        <v>3.9250540601483217</v>
      </c>
      <c r="W93" s="37">
        <f>DSUM($B$59:$Y$77,W$59,$C$84:$D93)</f>
        <v>3.9754154218070954</v>
      </c>
      <c r="X93" s="37">
        <f>DSUM($B$59:$Y$77,X$59,$C$84:$D93)</f>
        <v>4.023407847877813</v>
      </c>
      <c r="Y93" s="37">
        <f>DSUM($B$59:$Y$77,Y$59,$C$84:$D93)</f>
        <v>80.468156957556261</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18" t="s">
        <v>74</v>
      </c>
      <c r="C94" s="47" t="s">
        <v>75</v>
      </c>
      <c r="D94" s="47" t="s">
        <v>76</v>
      </c>
      <c r="E94" s="37">
        <f>DSUM($B$59:$Y$77,E$59,$C$84:$D94)</f>
        <v>3.3361199785556308</v>
      </c>
      <c r="F94" s="37">
        <f>DSUM($B$59:$Y$77,F$59,$C$84:$D94)</f>
        <v>3.3236960650614726</v>
      </c>
      <c r="G94" s="37">
        <f>DSUM($B$59:$Y$77,G$59,$C$84:$D94)</f>
        <v>3.3113299961706861</v>
      </c>
      <c r="H94" s="37">
        <f>DSUM($B$59:$Y$77,H$59,$C$84:$D94)</f>
        <v>3.3604779199318067</v>
      </c>
      <c r="I94" s="37">
        <f>DSUM($B$59:$Y$77,I$59,$C$84:$D94)</f>
        <v>3.4196814912564419</v>
      </c>
      <c r="J94" s="37">
        <f>DSUM($B$59:$Y$77,J$59,$C$84:$D94)</f>
        <v>3.4674967933875078</v>
      </c>
      <c r="K94" s="37">
        <f>DSUM($B$59:$Y$77,K$59,$C$84:$D94)</f>
        <v>3.5116076976968937</v>
      </c>
      <c r="L94" s="37">
        <f>DSUM($B$59:$Y$77,L$59,$C$84:$D94)</f>
        <v>3.5553212037775337</v>
      </c>
      <c r="M94" s="37">
        <f>DSUM($B$59:$Y$77,M$59,$C$84:$D94)</f>
        <v>3.5899743507700079</v>
      </c>
      <c r="N94" s="37">
        <f>DSUM($B$59:$Y$77,N$59,$C$84:$D94)</f>
        <v>3.6200036804084061</v>
      </c>
      <c r="O94" s="37">
        <f>DSUM($B$59:$Y$77,O$59,$C$84:$D94)</f>
        <v>3.6532134659369437</v>
      </c>
      <c r="P94" s="37">
        <f>DSUM($B$59:$Y$77,P$59,$C$84:$D94)</f>
        <v>3.6845611874702033</v>
      </c>
      <c r="Q94" s="37">
        <f>DSUM($B$59:$Y$77,Q$59,$C$84:$D94)</f>
        <v>3.7178194277854835</v>
      </c>
      <c r="R94" s="37">
        <f>DSUM($B$59:$Y$77,R$59,$C$84:$D94)</f>
        <v>3.7543687528950467</v>
      </c>
      <c r="S94" s="37">
        <f>DSUM($B$59:$Y$77,S$59,$C$84:$D94)</f>
        <v>3.7946008584038036</v>
      </c>
      <c r="T94" s="37">
        <f>DSUM($B$59:$Y$77,T$59,$C$84:$D94)</f>
        <v>3.8411609709389554</v>
      </c>
      <c r="U94" s="37">
        <f>DSUM($B$59:$Y$77,U$59,$C$84:$D94)</f>
        <v>3.8937115574428045</v>
      </c>
      <c r="V94" s="37">
        <f>DSUM($B$59:$Y$77,V$59,$C$84:$D94)</f>
        <v>3.9421932194635638</v>
      </c>
      <c r="W94" s="37">
        <f>DSUM($B$59:$Y$77,W$59,$C$84:$D94)</f>
        <v>3.9928538014054298</v>
      </c>
      <c r="X94" s="37">
        <f>DSUM($B$59:$Y$77,X$59,$C$84:$D94)</f>
        <v>4.0411321829123992</v>
      </c>
      <c r="Y94" s="37">
        <f>DSUM($B$59:$Y$77,Y$59,$C$84:$D94)</f>
        <v>80.822643658247983</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18" t="s">
        <v>77</v>
      </c>
      <c r="C95" s="47" t="s">
        <v>78</v>
      </c>
      <c r="D95" s="47" t="s">
        <v>79</v>
      </c>
      <c r="E95" s="37">
        <f>DSUM($B$59:$Y$77,E$59,$C$84:$D95)</f>
        <v>3.3361199785556308</v>
      </c>
      <c r="F95" s="37">
        <f>DSUM($B$59:$Y$77,F$59,$C$84:$D95)</f>
        <v>3.3236960650614726</v>
      </c>
      <c r="G95" s="37">
        <f>DSUM($B$59:$Y$77,G$59,$C$84:$D95)</f>
        <v>3.3113299961706861</v>
      </c>
      <c r="H95" s="37">
        <f>DSUM($B$59:$Y$77,H$59,$C$84:$D95)</f>
        <v>3.3604779199318067</v>
      </c>
      <c r="I95" s="37">
        <f>DSUM($B$59:$Y$77,I$59,$C$84:$D95)</f>
        <v>3.4196814912564419</v>
      </c>
      <c r="J95" s="37">
        <f>DSUM($B$59:$Y$77,J$59,$C$84:$D95)</f>
        <v>3.4674967933875078</v>
      </c>
      <c r="K95" s="37">
        <f>DSUM($B$59:$Y$77,K$59,$C$84:$D95)</f>
        <v>3.5116076976968937</v>
      </c>
      <c r="L95" s="37">
        <f>DSUM($B$59:$Y$77,L$59,$C$84:$D95)</f>
        <v>3.5553212037775337</v>
      </c>
      <c r="M95" s="37">
        <f>DSUM($B$59:$Y$77,M$59,$C$84:$D95)</f>
        <v>3.5899743507700079</v>
      </c>
      <c r="N95" s="37">
        <f>DSUM($B$59:$Y$77,N$59,$C$84:$D95)</f>
        <v>3.6200036804084061</v>
      </c>
      <c r="O95" s="37">
        <f>DSUM($B$59:$Y$77,O$59,$C$84:$D95)</f>
        <v>3.6532134659369437</v>
      </c>
      <c r="P95" s="37">
        <f>DSUM($B$59:$Y$77,P$59,$C$84:$D95)</f>
        <v>3.6845611874702033</v>
      </c>
      <c r="Q95" s="37">
        <f>DSUM($B$59:$Y$77,Q$59,$C$84:$D95)</f>
        <v>3.7178194277854835</v>
      </c>
      <c r="R95" s="37">
        <f>DSUM($B$59:$Y$77,R$59,$C$84:$D95)</f>
        <v>3.7543687528950467</v>
      </c>
      <c r="S95" s="37">
        <f>DSUM($B$59:$Y$77,S$59,$C$84:$D95)</f>
        <v>3.7946008584038036</v>
      </c>
      <c r="T95" s="37">
        <f>DSUM($B$59:$Y$77,T$59,$C$84:$D95)</f>
        <v>3.8411609709389554</v>
      </c>
      <c r="U95" s="37">
        <f>DSUM($B$59:$Y$77,U$59,$C$84:$D95)</f>
        <v>3.8937115574428045</v>
      </c>
      <c r="V95" s="37">
        <f>DSUM($B$59:$Y$77,V$59,$C$84:$D95)</f>
        <v>3.9421932194635638</v>
      </c>
      <c r="W95" s="37">
        <f>DSUM($B$59:$Y$77,W$59,$C$84:$D95)</f>
        <v>3.9928538014054298</v>
      </c>
      <c r="X95" s="37">
        <f>DSUM($B$59:$Y$77,X$59,$C$84:$D95)</f>
        <v>4.0411321829123992</v>
      </c>
      <c r="Y95" s="37">
        <f>DSUM($B$59:$Y$77,Y$59,$C$84:$D95)</f>
        <v>80.822643658247983</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18" t="s">
        <v>80</v>
      </c>
      <c r="C96" s="47" t="s">
        <v>81</v>
      </c>
      <c r="D96" s="47" t="s">
        <v>82</v>
      </c>
      <c r="E96" s="37">
        <f>DSUM($B$59:$Y$77,E$59,$C$84:$D96)</f>
        <v>3.3361199785556308</v>
      </c>
      <c r="F96" s="37">
        <f>DSUM($B$59:$Y$77,F$59,$C$84:$D96)</f>
        <v>3.3236960650614726</v>
      </c>
      <c r="G96" s="37">
        <f>DSUM($B$59:$Y$77,G$59,$C$84:$D96)</f>
        <v>3.3113299961706861</v>
      </c>
      <c r="H96" s="37">
        <f>DSUM($B$59:$Y$77,H$59,$C$84:$D96)</f>
        <v>3.3604779199318067</v>
      </c>
      <c r="I96" s="37">
        <f>DSUM($B$59:$Y$77,I$59,$C$84:$D96)</f>
        <v>3.4196814912564419</v>
      </c>
      <c r="J96" s="37">
        <f>DSUM($B$59:$Y$77,J$59,$C$84:$D96)</f>
        <v>3.4674967933875078</v>
      </c>
      <c r="K96" s="37">
        <f>DSUM($B$59:$Y$77,K$59,$C$84:$D96)</f>
        <v>3.5116076976968937</v>
      </c>
      <c r="L96" s="37">
        <f>DSUM($B$59:$Y$77,L$59,$C$84:$D96)</f>
        <v>3.5553212037775337</v>
      </c>
      <c r="M96" s="37">
        <f>DSUM($B$59:$Y$77,M$59,$C$84:$D96)</f>
        <v>3.5899743507700079</v>
      </c>
      <c r="N96" s="37">
        <f>DSUM($B$59:$Y$77,N$59,$C$84:$D96)</f>
        <v>3.6200036804084061</v>
      </c>
      <c r="O96" s="37">
        <f>DSUM($B$59:$Y$77,O$59,$C$84:$D96)</f>
        <v>3.6532134659369437</v>
      </c>
      <c r="P96" s="37">
        <f>DSUM($B$59:$Y$77,P$59,$C$84:$D96)</f>
        <v>3.6845611874702033</v>
      </c>
      <c r="Q96" s="37">
        <f>DSUM($B$59:$Y$77,Q$59,$C$84:$D96)</f>
        <v>3.7178194277854835</v>
      </c>
      <c r="R96" s="37">
        <f>DSUM($B$59:$Y$77,R$59,$C$84:$D96)</f>
        <v>3.7543687528950467</v>
      </c>
      <c r="S96" s="37">
        <f>DSUM($B$59:$Y$77,S$59,$C$84:$D96)</f>
        <v>3.7946008584038036</v>
      </c>
      <c r="T96" s="37">
        <f>DSUM($B$59:$Y$77,T$59,$C$84:$D96)</f>
        <v>3.8411609709389554</v>
      </c>
      <c r="U96" s="37">
        <f>DSUM($B$59:$Y$77,U$59,$C$84:$D96)</f>
        <v>3.8937115574428045</v>
      </c>
      <c r="V96" s="37">
        <f>DSUM($B$59:$Y$77,V$59,$C$84:$D96)</f>
        <v>3.9421932194635638</v>
      </c>
      <c r="W96" s="37">
        <f>DSUM($B$59:$Y$77,W$59,$C$84:$D96)</f>
        <v>3.9928538014054298</v>
      </c>
      <c r="X96" s="37">
        <f>DSUM($B$59:$Y$77,X$59,$C$84:$D96)</f>
        <v>4.0411321829123992</v>
      </c>
      <c r="Y96" s="37">
        <f>DSUM($B$59:$Y$77,Y$59,$C$84:$D96)</f>
        <v>80.822643658247983</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18" t="s">
        <v>83</v>
      </c>
      <c r="C97" s="47" t="s">
        <v>84</v>
      </c>
      <c r="D97" s="47" t="s">
        <v>85</v>
      </c>
      <c r="E97" s="37">
        <f>DSUM($B$59:$Y$77,E$59,$C$84:$D97)</f>
        <v>3.3361199785556308</v>
      </c>
      <c r="F97" s="37">
        <f>DSUM($B$59:$Y$77,F$59,$C$84:$D97)</f>
        <v>3.3236960650614726</v>
      </c>
      <c r="G97" s="37">
        <f>DSUM($B$59:$Y$77,G$59,$C$84:$D97)</f>
        <v>3.3113299961706861</v>
      </c>
      <c r="H97" s="37">
        <f>DSUM($B$59:$Y$77,H$59,$C$84:$D97)</f>
        <v>3.3604779199318067</v>
      </c>
      <c r="I97" s="37">
        <f>DSUM($B$59:$Y$77,I$59,$C$84:$D97)</f>
        <v>3.4196814912564419</v>
      </c>
      <c r="J97" s="37">
        <f>DSUM($B$59:$Y$77,J$59,$C$84:$D97)</f>
        <v>3.4674967933875078</v>
      </c>
      <c r="K97" s="37">
        <f>DSUM($B$59:$Y$77,K$59,$C$84:$D97)</f>
        <v>3.5116076976968937</v>
      </c>
      <c r="L97" s="37">
        <f>DSUM($B$59:$Y$77,L$59,$C$84:$D97)</f>
        <v>3.5553212037775337</v>
      </c>
      <c r="M97" s="37">
        <f>DSUM($B$59:$Y$77,M$59,$C$84:$D97)</f>
        <v>3.5899743507700079</v>
      </c>
      <c r="N97" s="37">
        <f>DSUM($B$59:$Y$77,N$59,$C$84:$D97)</f>
        <v>3.6200036804084061</v>
      </c>
      <c r="O97" s="37">
        <f>DSUM($B$59:$Y$77,O$59,$C$84:$D97)</f>
        <v>3.6532134659369437</v>
      </c>
      <c r="P97" s="37">
        <f>DSUM($B$59:$Y$77,P$59,$C$84:$D97)</f>
        <v>3.6845611874702033</v>
      </c>
      <c r="Q97" s="37">
        <f>DSUM($B$59:$Y$77,Q$59,$C$84:$D97)</f>
        <v>3.7178194277854835</v>
      </c>
      <c r="R97" s="37">
        <f>DSUM($B$59:$Y$77,R$59,$C$84:$D97)</f>
        <v>3.7543687528950467</v>
      </c>
      <c r="S97" s="37">
        <f>DSUM($B$59:$Y$77,S$59,$C$84:$D97)</f>
        <v>3.7946008584038036</v>
      </c>
      <c r="T97" s="37">
        <f>DSUM($B$59:$Y$77,T$59,$C$84:$D97)</f>
        <v>3.8411609709389554</v>
      </c>
      <c r="U97" s="37">
        <f>DSUM($B$59:$Y$77,U$59,$C$84:$D97)</f>
        <v>3.8937115574428045</v>
      </c>
      <c r="V97" s="37">
        <f>DSUM($B$59:$Y$77,V$59,$C$84:$D97)</f>
        <v>3.9421932194635638</v>
      </c>
      <c r="W97" s="37">
        <f>DSUM($B$59:$Y$77,W$59,$C$84:$D97)</f>
        <v>3.9928538014054298</v>
      </c>
      <c r="X97" s="37">
        <f>DSUM($B$59:$Y$77,X$59,$C$84:$D97)</f>
        <v>4.0411321829123992</v>
      </c>
      <c r="Y97" s="37">
        <f>DSUM($B$59:$Y$77,Y$59,$C$84:$D97)</f>
        <v>80.822643658247983</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18" t="s">
        <v>86</v>
      </c>
      <c r="C98" s="47" t="s">
        <v>87</v>
      </c>
      <c r="D98" s="47" t="s">
        <v>88</v>
      </c>
      <c r="E98" s="37">
        <f>DSUM($B$59:$Y$77,E$59,$C$84:$D98)</f>
        <v>3.3361199785556308</v>
      </c>
      <c r="F98" s="37">
        <f>DSUM($B$59:$Y$77,F$59,$C$84:$D98)</f>
        <v>3.3236960650614726</v>
      </c>
      <c r="G98" s="37">
        <f>DSUM($B$59:$Y$77,G$59,$C$84:$D98)</f>
        <v>3.3113299961706861</v>
      </c>
      <c r="H98" s="37">
        <f>DSUM($B$59:$Y$77,H$59,$C$84:$D98)</f>
        <v>3.3604779199318067</v>
      </c>
      <c r="I98" s="37">
        <f>DSUM($B$59:$Y$77,I$59,$C$84:$D98)</f>
        <v>3.4196814912564419</v>
      </c>
      <c r="J98" s="37">
        <f>DSUM($B$59:$Y$77,J$59,$C$84:$D98)</f>
        <v>3.4674967933875078</v>
      </c>
      <c r="K98" s="37">
        <f>DSUM($B$59:$Y$77,K$59,$C$84:$D98)</f>
        <v>3.5116076976968937</v>
      </c>
      <c r="L98" s="37">
        <f>DSUM($B$59:$Y$77,L$59,$C$84:$D98)</f>
        <v>3.5553212037775337</v>
      </c>
      <c r="M98" s="37">
        <f>DSUM($B$59:$Y$77,M$59,$C$84:$D98)</f>
        <v>3.5899743507700079</v>
      </c>
      <c r="N98" s="37">
        <f>DSUM($B$59:$Y$77,N$59,$C$84:$D98)</f>
        <v>3.6200036804084061</v>
      </c>
      <c r="O98" s="37">
        <f>DSUM($B$59:$Y$77,O$59,$C$84:$D98)</f>
        <v>3.6532134659369437</v>
      </c>
      <c r="P98" s="37">
        <f>DSUM($B$59:$Y$77,P$59,$C$84:$D98)</f>
        <v>3.6845611874702033</v>
      </c>
      <c r="Q98" s="37">
        <f>DSUM($B$59:$Y$77,Q$59,$C$84:$D98)</f>
        <v>3.7178194277854835</v>
      </c>
      <c r="R98" s="37">
        <f>DSUM($B$59:$Y$77,R$59,$C$84:$D98)</f>
        <v>3.7543687528950467</v>
      </c>
      <c r="S98" s="37">
        <f>DSUM($B$59:$Y$77,S$59,$C$84:$D98)</f>
        <v>3.7946008584038036</v>
      </c>
      <c r="T98" s="37">
        <f>DSUM($B$59:$Y$77,T$59,$C$84:$D98)</f>
        <v>3.8411609709389554</v>
      </c>
      <c r="U98" s="37">
        <f>DSUM($B$59:$Y$77,U$59,$C$84:$D98)</f>
        <v>3.8937115574428045</v>
      </c>
      <c r="V98" s="37">
        <f>DSUM($B$59:$Y$77,V$59,$C$84:$D98)</f>
        <v>3.9421932194635638</v>
      </c>
      <c r="W98" s="37">
        <f>DSUM($B$59:$Y$77,W$59,$C$84:$D98)</f>
        <v>3.9928538014054298</v>
      </c>
      <c r="X98" s="37">
        <f>DSUM($B$59:$Y$77,X$59,$C$84:$D98)</f>
        <v>4.0411321829123992</v>
      </c>
      <c r="Y98" s="37">
        <f>DSUM($B$59:$Y$77,Y$59,$C$84:$D98)</f>
        <v>80.822643658247983</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18" t="s">
        <v>89</v>
      </c>
      <c r="C99" s="47" t="s">
        <v>90</v>
      </c>
      <c r="D99" s="47" t="s">
        <v>91</v>
      </c>
      <c r="E99" s="37">
        <f>DSUM($B$59:$Y$77,E$59,$C$84:$D99)</f>
        <v>3.5315214964009374</v>
      </c>
      <c r="F99" s="37">
        <f>DSUM($B$59:$Y$77,F$59,$C$84:$D99)</f>
        <v>3.5181987359246918</v>
      </c>
      <c r="G99" s="37">
        <f>DSUM($B$59:$Y$77,G$59,$C$84:$D99)</f>
        <v>3.504937954747934</v>
      </c>
      <c r="H99" s="37">
        <f>DSUM($B$59:$Y$77,H$59,$C$84:$D99)</f>
        <v>3.5535288449822082</v>
      </c>
      <c r="I99" s="37">
        <f>DSUM($B$59:$Y$77,I$59,$C$84:$D99)</f>
        <v>3.6125188370118422</v>
      </c>
      <c r="J99" s="37">
        <f>DSUM($B$59:$Y$77,J$59,$C$84:$D99)</f>
        <v>3.6600094996254979</v>
      </c>
      <c r="K99" s="37">
        <f>DSUM($B$59:$Y$77,K$59,$C$84:$D99)</f>
        <v>3.7035844078787408</v>
      </c>
      <c r="L99" s="37">
        <f>DSUM($B$59:$Y$77,L$59,$C$84:$D99)</f>
        <v>3.7467725589157546</v>
      </c>
      <c r="M99" s="37">
        <f>DSUM($B$59:$Y$77,M$59,$C$84:$D99)</f>
        <v>3.780878066495315</v>
      </c>
      <c r="N99" s="37">
        <f>DSUM($B$59:$Y$77,N$59,$C$84:$D99)</f>
        <v>3.8103149622106427</v>
      </c>
      <c r="O99" s="37">
        <f>DSUM($B$59:$Y$77,O$59,$C$84:$D99)</f>
        <v>3.8429371409423814</v>
      </c>
      <c r="P99" s="37">
        <f>DSUM($B$59:$Y$77,P$59,$C$84:$D99)</f>
        <v>3.8736922452374758</v>
      </c>
      <c r="Q99" s="37">
        <f>DSUM($B$59:$Y$77,Q$59,$C$84:$D99)</f>
        <v>3.9064369929975284</v>
      </c>
      <c r="R99" s="37">
        <f>DSUM($B$59:$Y$77,R$59,$C$84:$D99)</f>
        <v>3.9425346508834758</v>
      </c>
      <c r="S99" s="37">
        <f>DSUM($B$59:$Y$77,S$59,$C$84:$D99)</f>
        <v>3.9823406004110216</v>
      </c>
      <c r="T99" s="37">
        <f>DSUM($B$59:$Y$77,T$59,$C$84:$D99)</f>
        <v>4.0286678838593515</v>
      </c>
      <c r="U99" s="37">
        <f>DSUM($B$59:$Y$77,U$59,$C$84:$D99)</f>
        <v>4.0810656364567715</v>
      </c>
      <c r="V99" s="37">
        <f>DSUM($B$59:$Y$77,V$59,$C$84:$D99)</f>
        <v>4.1293254483667878</v>
      </c>
      <c r="W99" s="37">
        <f>DSUM($B$59:$Y$77,W$59,$C$84:$D99)</f>
        <v>4.1797590824396655</v>
      </c>
      <c r="X99" s="37">
        <f>DSUM($B$59:$Y$77,X$59,$C$84:$D99)</f>
        <v>4.2277916466790986</v>
      </c>
      <c r="Y99" s="37">
        <f>DSUM($B$59:$Y$77,Y$59,$C$84:$D99)</f>
        <v>84.555832933581968</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18" t="s">
        <v>92</v>
      </c>
      <c r="C100" s="47" t="s">
        <v>93</v>
      </c>
      <c r="D100" s="47" t="s">
        <v>94</v>
      </c>
      <c r="E100" s="37">
        <f>DSUM($B$59:$Y$77,E$59,$C$84:$D100)</f>
        <v>3.5315214964009374</v>
      </c>
      <c r="F100" s="37">
        <f>DSUM($B$59:$Y$77,F$59,$C$84:$D100)</f>
        <v>3.5181987359246918</v>
      </c>
      <c r="G100" s="37">
        <f>DSUM($B$59:$Y$77,G$59,$C$84:$D100)</f>
        <v>3.504937954747934</v>
      </c>
      <c r="H100" s="37">
        <f>DSUM($B$59:$Y$77,H$59,$C$84:$D100)</f>
        <v>3.5535288449822082</v>
      </c>
      <c r="I100" s="37">
        <f>DSUM($B$59:$Y$77,I$59,$C$84:$D100)</f>
        <v>3.6125188370118422</v>
      </c>
      <c r="J100" s="37">
        <f>DSUM($B$59:$Y$77,J$59,$C$84:$D100)</f>
        <v>3.6600094996254979</v>
      </c>
      <c r="K100" s="37">
        <f>DSUM($B$59:$Y$77,K$59,$C$84:$D100)</f>
        <v>3.7035844078787408</v>
      </c>
      <c r="L100" s="37">
        <f>DSUM($B$59:$Y$77,L$59,$C$84:$D100)</f>
        <v>3.7467725589157546</v>
      </c>
      <c r="M100" s="37">
        <f>DSUM($B$59:$Y$77,M$59,$C$84:$D100)</f>
        <v>3.780878066495315</v>
      </c>
      <c r="N100" s="37">
        <f>DSUM($B$59:$Y$77,N$59,$C$84:$D100)</f>
        <v>3.8103149622106427</v>
      </c>
      <c r="O100" s="37">
        <f>DSUM($B$59:$Y$77,O$59,$C$84:$D100)</f>
        <v>3.8429371409423814</v>
      </c>
      <c r="P100" s="37">
        <f>DSUM($B$59:$Y$77,P$59,$C$84:$D100)</f>
        <v>3.8736922452374758</v>
      </c>
      <c r="Q100" s="37">
        <f>DSUM($B$59:$Y$77,Q$59,$C$84:$D100)</f>
        <v>3.9064369929975284</v>
      </c>
      <c r="R100" s="37">
        <f>DSUM($B$59:$Y$77,R$59,$C$84:$D100)</f>
        <v>3.9425346508834758</v>
      </c>
      <c r="S100" s="37">
        <f>DSUM($B$59:$Y$77,S$59,$C$84:$D100)</f>
        <v>3.9823406004110216</v>
      </c>
      <c r="T100" s="37">
        <f>DSUM($B$59:$Y$77,T$59,$C$84:$D100)</f>
        <v>4.0286678838593515</v>
      </c>
      <c r="U100" s="37">
        <f>DSUM($B$59:$Y$77,U$59,$C$84:$D100)</f>
        <v>4.0810656364567715</v>
      </c>
      <c r="V100" s="37">
        <f>DSUM($B$59:$Y$77,V$59,$C$84:$D100)</f>
        <v>4.1293254483667878</v>
      </c>
      <c r="W100" s="37">
        <f>DSUM($B$59:$Y$77,W$59,$C$84:$D100)</f>
        <v>4.1797590824396655</v>
      </c>
      <c r="X100" s="37">
        <f>DSUM($B$59:$Y$77,X$59,$C$84:$D100)</f>
        <v>4.2277916466790986</v>
      </c>
      <c r="Y100" s="37">
        <f>DSUM($B$59:$Y$77,Y$59,$C$84:$D100)</f>
        <v>84.555832933581968</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18" t="s">
        <v>95</v>
      </c>
      <c r="C101" s="47" t="s">
        <v>96</v>
      </c>
      <c r="D101" s="47" t="s">
        <v>97</v>
      </c>
      <c r="E101" s="37">
        <f>DSUM($B$59:$Y$77,E$59,$C$84:$D101)</f>
        <v>3.5494836402154895</v>
      </c>
      <c r="F101" s="37">
        <f>DSUM($B$59:$Y$77,F$59,$C$84:$D101)</f>
        <v>3.5361069933077998</v>
      </c>
      <c r="G101" s="37">
        <f>DSUM($B$59:$Y$77,G$59,$C$84:$D101)</f>
        <v>3.5227924873588927</v>
      </c>
      <c r="H101" s="37">
        <f>DSUM($B$59:$Y$77,H$59,$C$84:$D101)</f>
        <v>3.5714832228078048</v>
      </c>
      <c r="I101" s="37">
        <f>DSUM($B$59:$Y$77,I$59,$C$84:$D101)</f>
        <v>3.630581988109578</v>
      </c>
      <c r="J101" s="37">
        <f>DSUM($B$59:$Y$77,J$59,$C$84:$D101)</f>
        <v>3.6781381594449583</v>
      </c>
      <c r="K101" s="37">
        <f>DSUM($B$59:$Y$77,K$59,$C$84:$D101)</f>
        <v>3.7217814064578363</v>
      </c>
      <c r="L101" s="37">
        <f>DSUM($B$59:$Y$77,L$59,$C$84:$D101)</f>
        <v>3.7650589530727272</v>
      </c>
      <c r="M101" s="37">
        <f>DSUM($B$59:$Y$77,M$59,$C$84:$D101)</f>
        <v>3.7992483360780835</v>
      </c>
      <c r="N101" s="37">
        <f>DSUM($B$59:$Y$77,N$59,$C$84:$D101)</f>
        <v>3.8287378830036811</v>
      </c>
      <c r="O101" s="37">
        <f>DSUM($B$59:$Y$77,O$59,$C$84:$D101)</f>
        <v>3.861451511709471</v>
      </c>
      <c r="P101" s="37">
        <f>DSUM($B$59:$Y$77,P$59,$C$84:$D101)</f>
        <v>3.8922801567324727</v>
      </c>
      <c r="Q101" s="37">
        <f>DSUM($B$59:$Y$77,Q$59,$C$84:$D101)</f>
        <v>3.9250921909720744</v>
      </c>
      <c r="R101" s="37">
        <f>DSUM($B$59:$Y$77,R$59,$C$84:$D101)</f>
        <v>3.9612745927270994</v>
      </c>
      <c r="S101" s="37">
        <f>DSUM($B$59:$Y$77,S$59,$C$84:$D101)</f>
        <v>4.001165235910265</v>
      </c>
      <c r="T101" s="37">
        <f>DSUM($B$59:$Y$77,T$59,$C$84:$D101)</f>
        <v>4.0475871738032083</v>
      </c>
      <c r="U101" s="37">
        <f>DSUM($B$59:$Y$77,U$59,$C$84:$D101)</f>
        <v>4.1000914592561664</v>
      </c>
      <c r="V101" s="37">
        <f>DSUM($B$59:$Y$77,V$59,$C$84:$D101)</f>
        <v>4.1484481002529972</v>
      </c>
      <c r="W101" s="37">
        <f>DSUM($B$59:$Y$77,W$59,$C$84:$D101)</f>
        <v>4.1989953374554663</v>
      </c>
      <c r="X101" s="37">
        <f>DSUM($B$59:$Y$77,X$59,$C$84:$D101)</f>
        <v>4.2471326974210211</v>
      </c>
      <c r="Y101" s="37">
        <f>DSUM($B$59:$Y$77,Y$59,$C$84:$D101)</f>
        <v>84.9426539484204</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18" t="s">
        <v>98</v>
      </c>
      <c r="C102" s="47" t="s">
        <v>99</v>
      </c>
      <c r="D102" s="47" t="s">
        <v>100</v>
      </c>
      <c r="E102" s="37">
        <f>DSUM($B$59:$Y$77,E$59,$C$84:$D102)</f>
        <v>3.5494836402154895</v>
      </c>
      <c r="F102" s="37">
        <f>DSUM($B$59:$Y$77,F$59,$C$84:$D102)</f>
        <v>3.5361069933077998</v>
      </c>
      <c r="G102" s="37">
        <f>DSUM($B$59:$Y$77,G$59,$C$84:$D102)</f>
        <v>3.5227924873588927</v>
      </c>
      <c r="H102" s="37">
        <f>DSUM($B$59:$Y$77,H$59,$C$84:$D102)</f>
        <v>3.5714832228078048</v>
      </c>
      <c r="I102" s="37">
        <f>DSUM($B$59:$Y$77,I$59,$C$84:$D102)</f>
        <v>3.630581988109578</v>
      </c>
      <c r="J102" s="37">
        <f>DSUM($B$59:$Y$77,J$59,$C$84:$D102)</f>
        <v>3.6781381594449583</v>
      </c>
      <c r="K102" s="37">
        <f>DSUM($B$59:$Y$77,K$59,$C$84:$D102)</f>
        <v>3.7217814064578363</v>
      </c>
      <c r="L102" s="37">
        <f>DSUM($B$59:$Y$77,L$59,$C$84:$D102)</f>
        <v>3.7650589530727272</v>
      </c>
      <c r="M102" s="37">
        <f>DSUM($B$59:$Y$77,M$59,$C$84:$D102)</f>
        <v>3.7992483360780835</v>
      </c>
      <c r="N102" s="37">
        <f>DSUM($B$59:$Y$77,N$59,$C$84:$D102)</f>
        <v>3.8287378830036811</v>
      </c>
      <c r="O102" s="37">
        <f>DSUM($B$59:$Y$77,O$59,$C$84:$D102)</f>
        <v>3.861451511709471</v>
      </c>
      <c r="P102" s="37">
        <f>DSUM($B$59:$Y$77,P$59,$C$84:$D102)</f>
        <v>3.8922801567324727</v>
      </c>
      <c r="Q102" s="37">
        <f>DSUM($B$59:$Y$77,Q$59,$C$84:$D102)</f>
        <v>3.9250921909720744</v>
      </c>
      <c r="R102" s="37">
        <f>DSUM($B$59:$Y$77,R$59,$C$84:$D102)</f>
        <v>3.9612745927270994</v>
      </c>
      <c r="S102" s="37">
        <f>DSUM($B$59:$Y$77,S$59,$C$84:$D102)</f>
        <v>4.001165235910265</v>
      </c>
      <c r="T102" s="37">
        <f>DSUM($B$59:$Y$77,T$59,$C$84:$D102)</f>
        <v>4.0475871738032083</v>
      </c>
      <c r="U102" s="37">
        <f>DSUM($B$59:$Y$77,U$59,$C$84:$D102)</f>
        <v>4.1000914592561664</v>
      </c>
      <c r="V102" s="37">
        <f>DSUM($B$59:$Y$77,V$59,$C$84:$D102)</f>
        <v>4.1484481002529972</v>
      </c>
      <c r="W102" s="37">
        <f>DSUM($B$59:$Y$77,W$59,$C$84:$D102)</f>
        <v>4.1989953374554663</v>
      </c>
      <c r="X102" s="37">
        <f>DSUM($B$59:$Y$77,X$59,$C$84:$D102)</f>
        <v>4.2471326974210211</v>
      </c>
      <c r="Y102" s="37">
        <f>DSUM($B$59:$Y$77,Y$59,$C$84:$D102)</f>
        <v>84.9426539484204</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18" t="s">
        <v>101</v>
      </c>
      <c r="C103" s="47" t="s">
        <v>102</v>
      </c>
      <c r="D103" s="47" t="s">
        <v>103</v>
      </c>
      <c r="E103" s="37">
        <f>DSUM($B$59:$Y$77,E$59,$C$84:$D103)</f>
        <v>3.5494836402154895</v>
      </c>
      <c r="F103" s="37">
        <f>DSUM($B$59:$Y$77,F$59,$C$84:$D103)</f>
        <v>3.5361069933077998</v>
      </c>
      <c r="G103" s="37">
        <f>DSUM($B$59:$Y$77,G$59,$C$84:$D103)</f>
        <v>3.5227924873588927</v>
      </c>
      <c r="H103" s="37">
        <f>DSUM($B$59:$Y$77,H$59,$C$84:$D103)</f>
        <v>3.5714832228078048</v>
      </c>
      <c r="I103" s="37">
        <f>DSUM($B$59:$Y$77,I$59,$C$84:$D103)</f>
        <v>3.630581988109578</v>
      </c>
      <c r="J103" s="37">
        <f>DSUM($B$59:$Y$77,J$59,$C$84:$D103)</f>
        <v>3.6781381594449583</v>
      </c>
      <c r="K103" s="37">
        <f>DSUM($B$59:$Y$77,K$59,$C$84:$D103)</f>
        <v>3.7217814064578363</v>
      </c>
      <c r="L103" s="37">
        <f>DSUM($B$59:$Y$77,L$59,$C$84:$D103)</f>
        <v>3.7650589530727272</v>
      </c>
      <c r="M103" s="37">
        <f>DSUM($B$59:$Y$77,M$59,$C$84:$D103)</f>
        <v>3.7992483360780835</v>
      </c>
      <c r="N103" s="37">
        <f>DSUM($B$59:$Y$77,N$59,$C$84:$D103)</f>
        <v>3.8287378830036811</v>
      </c>
      <c r="O103" s="37">
        <f>DSUM($B$59:$Y$77,O$59,$C$84:$D103)</f>
        <v>3.861451511709471</v>
      </c>
      <c r="P103" s="37">
        <f>DSUM($B$59:$Y$77,P$59,$C$84:$D103)</f>
        <v>3.8922801567324727</v>
      </c>
      <c r="Q103" s="37">
        <f>DSUM($B$59:$Y$77,Q$59,$C$84:$D103)</f>
        <v>3.9250921909720744</v>
      </c>
      <c r="R103" s="37">
        <f>DSUM($B$59:$Y$77,R$59,$C$84:$D103)</f>
        <v>3.9612745927270994</v>
      </c>
      <c r="S103" s="37">
        <f>DSUM($B$59:$Y$77,S$59,$C$84:$D103)</f>
        <v>4.001165235910265</v>
      </c>
      <c r="T103" s="37">
        <f>DSUM($B$59:$Y$77,T$59,$C$84:$D103)</f>
        <v>4.0475871738032083</v>
      </c>
      <c r="U103" s="37">
        <f>DSUM($B$59:$Y$77,U$59,$C$84:$D103)</f>
        <v>4.1000914592561664</v>
      </c>
      <c r="V103" s="37">
        <f>DSUM($B$59:$Y$77,V$59,$C$84:$D103)</f>
        <v>4.1484481002529972</v>
      </c>
      <c r="W103" s="37">
        <f>DSUM($B$59:$Y$77,W$59,$C$84:$D103)</f>
        <v>4.1989953374554663</v>
      </c>
      <c r="X103" s="37">
        <f>DSUM($B$59:$Y$77,X$59,$C$84:$D103)</f>
        <v>4.2471326974210211</v>
      </c>
      <c r="Y103" s="37">
        <f>DSUM($B$59:$Y$77,Y$59,$C$84:$D103)</f>
        <v>84.9426539484204</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18" t="s">
        <v>104</v>
      </c>
      <c r="C104" s="47" t="s">
        <v>105</v>
      </c>
      <c r="D104" s="47" t="s">
        <v>106</v>
      </c>
      <c r="E104" s="37">
        <f>DSUM($B$59:$Y$77,E$59,$C$84:$D104)</f>
        <v>3.5494836402154895</v>
      </c>
      <c r="F104" s="37">
        <f>DSUM($B$59:$Y$77,F$59,$C$84:$D104)</f>
        <v>3.5361069933077998</v>
      </c>
      <c r="G104" s="37">
        <f>DSUM($B$59:$Y$77,G$59,$C$84:$D104)</f>
        <v>3.5227924873588927</v>
      </c>
      <c r="H104" s="37">
        <f>DSUM($B$59:$Y$77,H$59,$C$84:$D104)</f>
        <v>3.5714832228078048</v>
      </c>
      <c r="I104" s="37">
        <f>DSUM($B$59:$Y$77,I$59,$C$84:$D104)</f>
        <v>3.630581988109578</v>
      </c>
      <c r="J104" s="37">
        <f>DSUM($B$59:$Y$77,J$59,$C$84:$D104)</f>
        <v>3.6781381594449583</v>
      </c>
      <c r="K104" s="37">
        <f>DSUM($B$59:$Y$77,K$59,$C$84:$D104)</f>
        <v>3.7217814064578363</v>
      </c>
      <c r="L104" s="37">
        <f>DSUM($B$59:$Y$77,L$59,$C$84:$D104)</f>
        <v>3.7650589530727272</v>
      </c>
      <c r="M104" s="37">
        <f>DSUM($B$59:$Y$77,M$59,$C$84:$D104)</f>
        <v>3.7992483360780835</v>
      </c>
      <c r="N104" s="37">
        <f>DSUM($B$59:$Y$77,N$59,$C$84:$D104)</f>
        <v>3.8287378830036811</v>
      </c>
      <c r="O104" s="37">
        <f>DSUM($B$59:$Y$77,O$59,$C$84:$D104)</f>
        <v>3.861451511709471</v>
      </c>
      <c r="P104" s="37">
        <f>DSUM($B$59:$Y$77,P$59,$C$84:$D104)</f>
        <v>3.8922801567324727</v>
      </c>
      <c r="Q104" s="37">
        <f>DSUM($B$59:$Y$77,Q$59,$C$84:$D104)</f>
        <v>3.9250921909720744</v>
      </c>
      <c r="R104" s="37">
        <f>DSUM($B$59:$Y$77,R$59,$C$84:$D104)</f>
        <v>3.9612745927270994</v>
      </c>
      <c r="S104" s="37">
        <f>DSUM($B$59:$Y$77,S$59,$C$84:$D104)</f>
        <v>4.001165235910265</v>
      </c>
      <c r="T104" s="37">
        <f>DSUM($B$59:$Y$77,T$59,$C$84:$D104)</f>
        <v>4.0475871738032083</v>
      </c>
      <c r="U104" s="37">
        <f>DSUM($B$59:$Y$77,U$59,$C$84:$D104)</f>
        <v>4.1000914592561664</v>
      </c>
      <c r="V104" s="37">
        <f>DSUM($B$59:$Y$77,V$59,$C$84:$D104)</f>
        <v>4.1484481002529972</v>
      </c>
      <c r="W104" s="37">
        <f>DSUM($B$59:$Y$77,W$59,$C$84:$D104)</f>
        <v>4.1989953374554663</v>
      </c>
      <c r="X104" s="37">
        <f>DSUM($B$59:$Y$77,X$59,$C$84:$D104)</f>
        <v>4.2471326974210211</v>
      </c>
      <c r="Y104" s="37">
        <f>DSUM($B$59:$Y$77,Y$59,$C$84:$D104)</f>
        <v>84.9426539484204</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18" t="s">
        <v>107</v>
      </c>
      <c r="C105" s="47" t="s">
        <v>108</v>
      </c>
      <c r="D105" s="47" t="s">
        <v>109</v>
      </c>
      <c r="E105" s="37">
        <f>DSUM($B$59:$Y$77,E$59,$C$84:$D105)</f>
        <v>3.5494836402154895</v>
      </c>
      <c r="F105" s="37">
        <f>DSUM($B$59:$Y$77,F$59,$C$84:$D105)</f>
        <v>3.5361069933077998</v>
      </c>
      <c r="G105" s="37">
        <f>DSUM($B$59:$Y$77,G$59,$C$84:$D105)</f>
        <v>3.5227924873588927</v>
      </c>
      <c r="H105" s="37">
        <f>DSUM($B$59:$Y$77,H$59,$C$84:$D105)</f>
        <v>3.5714832228078048</v>
      </c>
      <c r="I105" s="37">
        <f>DSUM($B$59:$Y$77,I$59,$C$84:$D105)</f>
        <v>3.630581988109578</v>
      </c>
      <c r="J105" s="37">
        <f>DSUM($B$59:$Y$77,J$59,$C$84:$D105)</f>
        <v>3.6781381594449583</v>
      </c>
      <c r="K105" s="37">
        <f>DSUM($B$59:$Y$77,K$59,$C$84:$D105)</f>
        <v>3.7217814064578363</v>
      </c>
      <c r="L105" s="37">
        <f>DSUM($B$59:$Y$77,L$59,$C$84:$D105)</f>
        <v>3.7650589530727272</v>
      </c>
      <c r="M105" s="37">
        <f>DSUM($B$59:$Y$77,M$59,$C$84:$D105)</f>
        <v>3.7992483360780835</v>
      </c>
      <c r="N105" s="37">
        <f>DSUM($B$59:$Y$77,N$59,$C$84:$D105)</f>
        <v>3.8287378830036811</v>
      </c>
      <c r="O105" s="37">
        <f>DSUM($B$59:$Y$77,O$59,$C$84:$D105)</f>
        <v>3.861451511709471</v>
      </c>
      <c r="P105" s="37">
        <f>DSUM($B$59:$Y$77,P$59,$C$84:$D105)</f>
        <v>3.8922801567324727</v>
      </c>
      <c r="Q105" s="37">
        <f>DSUM($B$59:$Y$77,Q$59,$C$84:$D105)</f>
        <v>3.9250921909720744</v>
      </c>
      <c r="R105" s="37">
        <f>DSUM($B$59:$Y$77,R$59,$C$84:$D105)</f>
        <v>3.9612745927270994</v>
      </c>
      <c r="S105" s="37">
        <f>DSUM($B$59:$Y$77,S$59,$C$84:$D105)</f>
        <v>4.001165235910265</v>
      </c>
      <c r="T105" s="37">
        <f>DSUM($B$59:$Y$77,T$59,$C$84:$D105)</f>
        <v>4.0475871738032083</v>
      </c>
      <c r="U105" s="37">
        <f>DSUM($B$59:$Y$77,U$59,$C$84:$D105)</f>
        <v>4.1000914592561664</v>
      </c>
      <c r="V105" s="37">
        <f>DSUM($B$59:$Y$77,V$59,$C$84:$D105)</f>
        <v>4.1484481002529972</v>
      </c>
      <c r="W105" s="37">
        <f>DSUM($B$59:$Y$77,W$59,$C$84:$D105)</f>
        <v>4.1989953374554663</v>
      </c>
      <c r="X105" s="37">
        <f>DSUM($B$59:$Y$77,X$59,$C$84:$D105)</f>
        <v>4.2471326974210211</v>
      </c>
      <c r="Y105" s="37">
        <f>DSUM($B$59:$Y$77,Y$59,$C$84:$D105)</f>
        <v>84.9426539484204</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18" t="s">
        <v>110</v>
      </c>
      <c r="C106" s="47" t="s">
        <v>111</v>
      </c>
      <c r="D106" s="47" t="s">
        <v>112</v>
      </c>
      <c r="E106" s="37">
        <f>DSUM($B$59:$Y$77,E$59,$C$84:$D106)</f>
        <v>3.5494836402154895</v>
      </c>
      <c r="F106" s="37">
        <f>DSUM($B$59:$Y$77,F$59,$C$84:$D106)</f>
        <v>3.5361069933077998</v>
      </c>
      <c r="G106" s="37">
        <f>DSUM($B$59:$Y$77,G$59,$C$84:$D106)</f>
        <v>3.5227924873588927</v>
      </c>
      <c r="H106" s="37">
        <f>DSUM($B$59:$Y$77,H$59,$C$84:$D106)</f>
        <v>3.5714832228078048</v>
      </c>
      <c r="I106" s="37">
        <f>DSUM($B$59:$Y$77,I$59,$C$84:$D106)</f>
        <v>3.630581988109578</v>
      </c>
      <c r="J106" s="37">
        <f>DSUM($B$59:$Y$77,J$59,$C$84:$D106)</f>
        <v>3.6781381594449583</v>
      </c>
      <c r="K106" s="37">
        <f>DSUM($B$59:$Y$77,K$59,$C$84:$D106)</f>
        <v>3.7217814064578363</v>
      </c>
      <c r="L106" s="37">
        <f>DSUM($B$59:$Y$77,L$59,$C$84:$D106)</f>
        <v>3.7650589530727272</v>
      </c>
      <c r="M106" s="37">
        <f>DSUM($B$59:$Y$77,M$59,$C$84:$D106)</f>
        <v>3.7992483360780835</v>
      </c>
      <c r="N106" s="37">
        <f>DSUM($B$59:$Y$77,N$59,$C$84:$D106)</f>
        <v>3.8287378830036811</v>
      </c>
      <c r="O106" s="37">
        <f>DSUM($B$59:$Y$77,O$59,$C$84:$D106)</f>
        <v>3.861451511709471</v>
      </c>
      <c r="P106" s="37">
        <f>DSUM($B$59:$Y$77,P$59,$C$84:$D106)</f>
        <v>3.8922801567324727</v>
      </c>
      <c r="Q106" s="37">
        <f>DSUM($B$59:$Y$77,Q$59,$C$84:$D106)</f>
        <v>3.9250921909720744</v>
      </c>
      <c r="R106" s="37">
        <f>DSUM($B$59:$Y$77,R$59,$C$84:$D106)</f>
        <v>3.9612745927270994</v>
      </c>
      <c r="S106" s="37">
        <f>DSUM($B$59:$Y$77,S$59,$C$84:$D106)</f>
        <v>4.001165235910265</v>
      </c>
      <c r="T106" s="37">
        <f>DSUM($B$59:$Y$77,T$59,$C$84:$D106)</f>
        <v>4.0475871738032083</v>
      </c>
      <c r="U106" s="37">
        <f>DSUM($B$59:$Y$77,U$59,$C$84:$D106)</f>
        <v>4.1000914592561664</v>
      </c>
      <c r="V106" s="37">
        <f>DSUM($B$59:$Y$77,V$59,$C$84:$D106)</f>
        <v>4.1484481002529972</v>
      </c>
      <c r="W106" s="37">
        <f>DSUM($B$59:$Y$77,W$59,$C$84:$D106)</f>
        <v>4.1989953374554663</v>
      </c>
      <c r="X106" s="37">
        <f>DSUM($B$59:$Y$77,X$59,$C$84:$D106)</f>
        <v>4.2471326974210211</v>
      </c>
      <c r="Y106" s="37">
        <f>DSUM($B$59:$Y$77,Y$59,$C$84:$D106)</f>
        <v>84.9426539484204</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18" t="s">
        <v>113</v>
      </c>
      <c r="C107" s="47" t="s">
        <v>114</v>
      </c>
      <c r="D107" s="47" t="s">
        <v>115</v>
      </c>
      <c r="E107" s="37">
        <f>DSUM($B$59:$Y$77,E$59,$C$84:$D107)</f>
        <v>3.5494836402154895</v>
      </c>
      <c r="F107" s="37">
        <f>DSUM($B$59:$Y$77,F$59,$C$84:$D107)</f>
        <v>3.5361069933077998</v>
      </c>
      <c r="G107" s="37">
        <f>DSUM($B$59:$Y$77,G$59,$C$84:$D107)</f>
        <v>3.5227924873588927</v>
      </c>
      <c r="H107" s="37">
        <f>DSUM($B$59:$Y$77,H$59,$C$84:$D107)</f>
        <v>3.5714832228078048</v>
      </c>
      <c r="I107" s="37">
        <f>DSUM($B$59:$Y$77,I$59,$C$84:$D107)</f>
        <v>3.630581988109578</v>
      </c>
      <c r="J107" s="37">
        <f>DSUM($B$59:$Y$77,J$59,$C$84:$D107)</f>
        <v>3.6781381594449583</v>
      </c>
      <c r="K107" s="37">
        <f>DSUM($B$59:$Y$77,K$59,$C$84:$D107)</f>
        <v>3.7217814064578363</v>
      </c>
      <c r="L107" s="37">
        <f>DSUM($B$59:$Y$77,L$59,$C$84:$D107)</f>
        <v>3.7650589530727272</v>
      </c>
      <c r="M107" s="37">
        <f>DSUM($B$59:$Y$77,M$59,$C$84:$D107)</f>
        <v>3.7992483360780835</v>
      </c>
      <c r="N107" s="37">
        <f>DSUM($B$59:$Y$77,N$59,$C$84:$D107)</f>
        <v>3.8287378830036811</v>
      </c>
      <c r="O107" s="37">
        <f>DSUM($B$59:$Y$77,O$59,$C$84:$D107)</f>
        <v>3.861451511709471</v>
      </c>
      <c r="P107" s="37">
        <f>DSUM($B$59:$Y$77,P$59,$C$84:$D107)</f>
        <v>3.8922801567324727</v>
      </c>
      <c r="Q107" s="37">
        <f>DSUM($B$59:$Y$77,Q$59,$C$84:$D107)</f>
        <v>3.9250921909720744</v>
      </c>
      <c r="R107" s="37">
        <f>DSUM($B$59:$Y$77,R$59,$C$84:$D107)</f>
        <v>3.9612745927270994</v>
      </c>
      <c r="S107" s="37">
        <f>DSUM($B$59:$Y$77,S$59,$C$84:$D107)</f>
        <v>4.001165235910265</v>
      </c>
      <c r="T107" s="37">
        <f>DSUM($B$59:$Y$77,T$59,$C$84:$D107)</f>
        <v>4.0475871738032083</v>
      </c>
      <c r="U107" s="37">
        <f>DSUM($B$59:$Y$77,U$59,$C$84:$D107)</f>
        <v>4.1000914592561664</v>
      </c>
      <c r="V107" s="37">
        <f>DSUM($B$59:$Y$77,V$59,$C$84:$D107)</f>
        <v>4.1484481002529972</v>
      </c>
      <c r="W107" s="37">
        <f>DSUM($B$59:$Y$77,W$59,$C$84:$D107)</f>
        <v>4.1989953374554663</v>
      </c>
      <c r="X107" s="37">
        <f>DSUM($B$59:$Y$77,X$59,$C$84:$D107)</f>
        <v>4.2471326974210211</v>
      </c>
      <c r="Y107" s="37">
        <f>DSUM($B$59:$Y$77,Y$59,$C$84:$D107)</f>
        <v>84.9426539484204</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18" t="s">
        <v>116</v>
      </c>
      <c r="C108" s="47" t="s">
        <v>117</v>
      </c>
      <c r="D108" s="47" t="s">
        <v>118</v>
      </c>
      <c r="E108" s="37">
        <f>DSUM($B$59:$Y$77,E$59,$C$84:$D108)</f>
        <v>3.5494836402154895</v>
      </c>
      <c r="F108" s="37">
        <f>DSUM($B$59:$Y$77,F$59,$C$84:$D108)</f>
        <v>3.5361069933077998</v>
      </c>
      <c r="G108" s="37">
        <f>DSUM($B$59:$Y$77,G$59,$C$84:$D108)</f>
        <v>3.5227924873588927</v>
      </c>
      <c r="H108" s="37">
        <f>DSUM($B$59:$Y$77,H$59,$C$84:$D108)</f>
        <v>3.5714832228078048</v>
      </c>
      <c r="I108" s="37">
        <f>DSUM($B$59:$Y$77,I$59,$C$84:$D108)</f>
        <v>3.630581988109578</v>
      </c>
      <c r="J108" s="37">
        <f>DSUM($B$59:$Y$77,J$59,$C$84:$D108)</f>
        <v>3.6781381594449583</v>
      </c>
      <c r="K108" s="37">
        <f>DSUM($B$59:$Y$77,K$59,$C$84:$D108)</f>
        <v>3.7217814064578363</v>
      </c>
      <c r="L108" s="37">
        <f>DSUM($B$59:$Y$77,L$59,$C$84:$D108)</f>
        <v>3.7650589530727272</v>
      </c>
      <c r="M108" s="37">
        <f>DSUM($B$59:$Y$77,M$59,$C$84:$D108)</f>
        <v>3.7992483360780835</v>
      </c>
      <c r="N108" s="37">
        <f>DSUM($B$59:$Y$77,N$59,$C$84:$D108)</f>
        <v>3.8287378830036811</v>
      </c>
      <c r="O108" s="37">
        <f>DSUM($B$59:$Y$77,O$59,$C$84:$D108)</f>
        <v>3.861451511709471</v>
      </c>
      <c r="P108" s="37">
        <f>DSUM($B$59:$Y$77,P$59,$C$84:$D108)</f>
        <v>3.8922801567324727</v>
      </c>
      <c r="Q108" s="37">
        <f>DSUM($B$59:$Y$77,Q$59,$C$84:$D108)</f>
        <v>3.9250921909720744</v>
      </c>
      <c r="R108" s="37">
        <f>DSUM($B$59:$Y$77,R$59,$C$84:$D108)</f>
        <v>3.9612745927270994</v>
      </c>
      <c r="S108" s="37">
        <f>DSUM($B$59:$Y$77,S$59,$C$84:$D108)</f>
        <v>4.001165235910265</v>
      </c>
      <c r="T108" s="37">
        <f>DSUM($B$59:$Y$77,T$59,$C$84:$D108)</f>
        <v>4.0475871738032083</v>
      </c>
      <c r="U108" s="37">
        <f>DSUM($B$59:$Y$77,U$59,$C$84:$D108)</f>
        <v>4.1000914592561664</v>
      </c>
      <c r="V108" s="37">
        <f>DSUM($B$59:$Y$77,V$59,$C$84:$D108)</f>
        <v>4.1484481002529972</v>
      </c>
      <c r="W108" s="37">
        <f>DSUM($B$59:$Y$77,W$59,$C$84:$D108)</f>
        <v>4.1989953374554663</v>
      </c>
      <c r="X108" s="37">
        <f>DSUM($B$59:$Y$77,X$59,$C$84:$D108)</f>
        <v>4.2471326974210211</v>
      </c>
      <c r="Y108" s="37">
        <f>DSUM($B$59:$Y$77,Y$59,$C$84:$D108)</f>
        <v>84.9426539484204</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18" t="s">
        <v>119</v>
      </c>
      <c r="C109" s="47" t="s">
        <v>120</v>
      </c>
      <c r="D109" s="47" t="s">
        <v>121</v>
      </c>
      <c r="E109" s="37">
        <f>DSUM($B$59:$Y$77,E$59,$C$84:$D109)</f>
        <v>3.5494836402154895</v>
      </c>
      <c r="F109" s="37">
        <f>DSUM($B$59:$Y$77,F$59,$C$84:$D109)</f>
        <v>3.5361069933077998</v>
      </c>
      <c r="G109" s="37">
        <f>DSUM($B$59:$Y$77,G$59,$C$84:$D109)</f>
        <v>3.5227924873588927</v>
      </c>
      <c r="H109" s="37">
        <f>DSUM($B$59:$Y$77,H$59,$C$84:$D109)</f>
        <v>3.5714832228078048</v>
      </c>
      <c r="I109" s="37">
        <f>DSUM($B$59:$Y$77,I$59,$C$84:$D109)</f>
        <v>3.630581988109578</v>
      </c>
      <c r="J109" s="37">
        <f>DSUM($B$59:$Y$77,J$59,$C$84:$D109)</f>
        <v>3.6781381594449583</v>
      </c>
      <c r="K109" s="37">
        <f>DSUM($B$59:$Y$77,K$59,$C$84:$D109)</f>
        <v>3.7217814064578363</v>
      </c>
      <c r="L109" s="37">
        <f>DSUM($B$59:$Y$77,L$59,$C$84:$D109)</f>
        <v>3.7650589530727272</v>
      </c>
      <c r="M109" s="37">
        <f>DSUM($B$59:$Y$77,M$59,$C$84:$D109)</f>
        <v>3.7992483360780835</v>
      </c>
      <c r="N109" s="37">
        <f>DSUM($B$59:$Y$77,N$59,$C$84:$D109)</f>
        <v>3.8287378830036811</v>
      </c>
      <c r="O109" s="37">
        <f>DSUM($B$59:$Y$77,O$59,$C$84:$D109)</f>
        <v>3.861451511709471</v>
      </c>
      <c r="P109" s="37">
        <f>DSUM($B$59:$Y$77,P$59,$C$84:$D109)</f>
        <v>3.8922801567324727</v>
      </c>
      <c r="Q109" s="37">
        <f>DSUM($B$59:$Y$77,Q$59,$C$84:$D109)</f>
        <v>3.9250921909720744</v>
      </c>
      <c r="R109" s="37">
        <f>DSUM($B$59:$Y$77,R$59,$C$84:$D109)</f>
        <v>3.9612745927270994</v>
      </c>
      <c r="S109" s="37">
        <f>DSUM($B$59:$Y$77,S$59,$C$84:$D109)</f>
        <v>4.001165235910265</v>
      </c>
      <c r="T109" s="37">
        <f>DSUM($B$59:$Y$77,T$59,$C$84:$D109)</f>
        <v>4.0475871738032083</v>
      </c>
      <c r="U109" s="37">
        <f>DSUM($B$59:$Y$77,U$59,$C$84:$D109)</f>
        <v>4.1000914592561664</v>
      </c>
      <c r="V109" s="37">
        <f>DSUM($B$59:$Y$77,V$59,$C$84:$D109)</f>
        <v>4.1484481002529972</v>
      </c>
      <c r="W109" s="37">
        <f>DSUM($B$59:$Y$77,W$59,$C$84:$D109)</f>
        <v>4.1989953374554663</v>
      </c>
      <c r="X109" s="37">
        <f>DSUM($B$59:$Y$77,X$59,$C$84:$D109)</f>
        <v>4.2471326974210211</v>
      </c>
      <c r="Y109" s="37">
        <f>DSUM($B$59:$Y$77,Y$59,$C$84:$D109)</f>
        <v>84.9426539484204</v>
      </c>
    </row>
    <row r="110" spans="2:79">
      <c r="B110" s="18" t="s">
        <v>122</v>
      </c>
      <c r="C110" s="47" t="s">
        <v>123</v>
      </c>
      <c r="D110" s="47" t="s">
        <v>124</v>
      </c>
      <c r="E110" s="37">
        <f>DSUM($B$59:$Y$77,E$59,$C$84:$D110)</f>
        <v>3.5494836402154895</v>
      </c>
      <c r="F110" s="37">
        <f>DSUM($B$59:$Y$77,F$59,$C$84:$D110)</f>
        <v>3.5361069933077998</v>
      </c>
      <c r="G110" s="37">
        <f>DSUM($B$59:$Y$77,G$59,$C$84:$D110)</f>
        <v>3.5227924873588927</v>
      </c>
      <c r="H110" s="37">
        <f>DSUM($B$59:$Y$77,H$59,$C$84:$D110)</f>
        <v>3.5714832228078048</v>
      </c>
      <c r="I110" s="37">
        <f>DSUM($B$59:$Y$77,I$59,$C$84:$D110)</f>
        <v>3.630581988109578</v>
      </c>
      <c r="J110" s="37">
        <f>DSUM($B$59:$Y$77,J$59,$C$84:$D110)</f>
        <v>3.6781381594449583</v>
      </c>
      <c r="K110" s="37">
        <f>DSUM($B$59:$Y$77,K$59,$C$84:$D110)</f>
        <v>3.7217814064578363</v>
      </c>
      <c r="L110" s="37">
        <f>DSUM($B$59:$Y$77,L$59,$C$84:$D110)</f>
        <v>3.7650589530727272</v>
      </c>
      <c r="M110" s="37">
        <f>DSUM($B$59:$Y$77,M$59,$C$84:$D110)</f>
        <v>3.7992483360780835</v>
      </c>
      <c r="N110" s="37">
        <f>DSUM($B$59:$Y$77,N$59,$C$84:$D110)</f>
        <v>3.8287378830036811</v>
      </c>
      <c r="O110" s="37">
        <f>DSUM($B$59:$Y$77,O$59,$C$84:$D110)</f>
        <v>3.861451511709471</v>
      </c>
      <c r="P110" s="37">
        <f>DSUM($B$59:$Y$77,P$59,$C$84:$D110)</f>
        <v>3.8922801567324727</v>
      </c>
      <c r="Q110" s="37">
        <f>DSUM($B$59:$Y$77,Q$59,$C$84:$D110)</f>
        <v>3.9250921909720744</v>
      </c>
      <c r="R110" s="37">
        <f>DSUM($B$59:$Y$77,R$59,$C$84:$D110)</f>
        <v>3.9612745927270994</v>
      </c>
      <c r="S110" s="37">
        <f>DSUM($B$59:$Y$77,S$59,$C$84:$D110)</f>
        <v>4.001165235910265</v>
      </c>
      <c r="T110" s="37">
        <f>DSUM($B$59:$Y$77,T$59,$C$84:$D110)</f>
        <v>4.0475871738032083</v>
      </c>
      <c r="U110" s="37">
        <f>DSUM($B$59:$Y$77,U$59,$C$84:$D110)</f>
        <v>4.1000914592561664</v>
      </c>
      <c r="V110" s="37">
        <f>DSUM($B$59:$Y$77,V$59,$C$84:$D110)</f>
        <v>4.1484481002529972</v>
      </c>
      <c r="W110" s="37">
        <f>DSUM($B$59:$Y$77,W$59,$C$84:$D110)</f>
        <v>4.1989953374554663</v>
      </c>
      <c r="X110" s="37">
        <f>DSUM($B$59:$Y$77,X$59,$C$84:$D110)</f>
        <v>4.2471326974210211</v>
      </c>
      <c r="Y110" s="37">
        <f>DSUM($B$59:$Y$77,Y$59,$C$84:$D110)</f>
        <v>84.9426539484204</v>
      </c>
    </row>
    <row r="111" spans="2:79">
      <c r="B111" s="18" t="s">
        <v>125</v>
      </c>
      <c r="C111" s="47" t="s">
        <v>126</v>
      </c>
      <c r="D111" s="47" t="s">
        <v>127</v>
      </c>
      <c r="E111" s="37">
        <f>DSUM($B$59:$Y$77,E$59,$C$84:$D111)</f>
        <v>3.5494836402154895</v>
      </c>
      <c r="F111" s="37">
        <f>DSUM($B$59:$Y$77,F$59,$C$84:$D111)</f>
        <v>3.5361069933077998</v>
      </c>
      <c r="G111" s="37">
        <f>DSUM($B$59:$Y$77,G$59,$C$84:$D111)</f>
        <v>3.5227924873588927</v>
      </c>
      <c r="H111" s="37">
        <f>DSUM($B$59:$Y$77,H$59,$C$84:$D111)</f>
        <v>3.5714832228078048</v>
      </c>
      <c r="I111" s="37">
        <f>DSUM($B$59:$Y$77,I$59,$C$84:$D111)</f>
        <v>3.630581988109578</v>
      </c>
      <c r="J111" s="37">
        <f>DSUM($B$59:$Y$77,J$59,$C$84:$D111)</f>
        <v>3.6781381594449583</v>
      </c>
      <c r="K111" s="37">
        <f>DSUM($B$59:$Y$77,K$59,$C$84:$D111)</f>
        <v>3.7217814064578363</v>
      </c>
      <c r="L111" s="37">
        <f>DSUM($B$59:$Y$77,L$59,$C$84:$D111)</f>
        <v>3.7650589530727272</v>
      </c>
      <c r="M111" s="37">
        <f>DSUM($B$59:$Y$77,M$59,$C$84:$D111)</f>
        <v>3.7992483360780835</v>
      </c>
      <c r="N111" s="37">
        <f>DSUM($B$59:$Y$77,N$59,$C$84:$D111)</f>
        <v>3.8287378830036811</v>
      </c>
      <c r="O111" s="37">
        <f>DSUM($B$59:$Y$77,O$59,$C$84:$D111)</f>
        <v>3.861451511709471</v>
      </c>
      <c r="P111" s="37">
        <f>DSUM($B$59:$Y$77,P$59,$C$84:$D111)</f>
        <v>3.8922801567324727</v>
      </c>
      <c r="Q111" s="37">
        <f>DSUM($B$59:$Y$77,Q$59,$C$84:$D111)</f>
        <v>3.9250921909720744</v>
      </c>
      <c r="R111" s="37">
        <f>DSUM($B$59:$Y$77,R$59,$C$84:$D111)</f>
        <v>3.9612745927270994</v>
      </c>
      <c r="S111" s="37">
        <f>DSUM($B$59:$Y$77,S$59,$C$84:$D111)</f>
        <v>4.001165235910265</v>
      </c>
      <c r="T111" s="37">
        <f>DSUM($B$59:$Y$77,T$59,$C$84:$D111)</f>
        <v>4.0475871738032083</v>
      </c>
      <c r="U111" s="37">
        <f>DSUM($B$59:$Y$77,U$59,$C$84:$D111)</f>
        <v>4.1000914592561664</v>
      </c>
      <c r="V111" s="37">
        <f>DSUM($B$59:$Y$77,V$59,$C$84:$D111)</f>
        <v>4.1484481002529972</v>
      </c>
      <c r="W111" s="37">
        <f>DSUM($B$59:$Y$77,W$59,$C$84:$D111)</f>
        <v>4.1989953374554663</v>
      </c>
      <c r="X111" s="37">
        <f>DSUM($B$59:$Y$77,X$59,$C$84:$D111)</f>
        <v>4.2471326974210211</v>
      </c>
      <c r="Y111" s="37">
        <f>DSUM($B$59:$Y$77,Y$59,$C$84:$D111)</f>
        <v>84.9426539484204</v>
      </c>
    </row>
    <row r="112" spans="2:79">
      <c r="B112" s="18" t="s">
        <v>128</v>
      </c>
      <c r="C112" s="47" t="s">
        <v>129</v>
      </c>
      <c r="D112" s="47" t="s">
        <v>130</v>
      </c>
      <c r="E112" s="37">
        <f>DSUM($B$59:$Y$77,E$59,$C$84:$D112)</f>
        <v>3.5494836402154895</v>
      </c>
      <c r="F112" s="37">
        <f>DSUM($B$59:$Y$77,F$59,$C$84:$D112)</f>
        <v>3.5361069933077998</v>
      </c>
      <c r="G112" s="37">
        <f>DSUM($B$59:$Y$77,G$59,$C$84:$D112)</f>
        <v>3.5227924873588927</v>
      </c>
      <c r="H112" s="37">
        <f>DSUM($B$59:$Y$77,H$59,$C$84:$D112)</f>
        <v>3.5714832228078048</v>
      </c>
      <c r="I112" s="37">
        <f>DSUM($B$59:$Y$77,I$59,$C$84:$D112)</f>
        <v>3.630581988109578</v>
      </c>
      <c r="J112" s="37">
        <f>DSUM($B$59:$Y$77,J$59,$C$84:$D112)</f>
        <v>3.6781381594449583</v>
      </c>
      <c r="K112" s="37">
        <f>DSUM($B$59:$Y$77,K$59,$C$84:$D112)</f>
        <v>3.7217814064578363</v>
      </c>
      <c r="L112" s="37">
        <f>DSUM($B$59:$Y$77,L$59,$C$84:$D112)</f>
        <v>3.7650589530727272</v>
      </c>
      <c r="M112" s="37">
        <f>DSUM($B$59:$Y$77,M$59,$C$84:$D112)</f>
        <v>3.7992483360780835</v>
      </c>
      <c r="N112" s="37">
        <f>DSUM($B$59:$Y$77,N$59,$C$84:$D112)</f>
        <v>3.8287378830036811</v>
      </c>
      <c r="O112" s="37">
        <f>DSUM($B$59:$Y$77,O$59,$C$84:$D112)</f>
        <v>3.861451511709471</v>
      </c>
      <c r="P112" s="37">
        <f>DSUM($B$59:$Y$77,P$59,$C$84:$D112)</f>
        <v>3.8922801567324727</v>
      </c>
      <c r="Q112" s="37">
        <f>DSUM($B$59:$Y$77,Q$59,$C$84:$D112)</f>
        <v>3.9250921909720744</v>
      </c>
      <c r="R112" s="37">
        <f>DSUM($B$59:$Y$77,R$59,$C$84:$D112)</f>
        <v>3.9612745927270994</v>
      </c>
      <c r="S112" s="37">
        <f>DSUM($B$59:$Y$77,S$59,$C$84:$D112)</f>
        <v>4.001165235910265</v>
      </c>
      <c r="T112" s="37">
        <f>DSUM($B$59:$Y$77,T$59,$C$84:$D112)</f>
        <v>4.0475871738032083</v>
      </c>
      <c r="U112" s="37">
        <f>DSUM($B$59:$Y$77,U$59,$C$84:$D112)</f>
        <v>4.1000914592561664</v>
      </c>
      <c r="V112" s="37">
        <f>DSUM($B$59:$Y$77,V$59,$C$84:$D112)</f>
        <v>4.1484481002529972</v>
      </c>
      <c r="W112" s="37">
        <f>DSUM($B$59:$Y$77,W$59,$C$84:$D112)</f>
        <v>4.1989953374554663</v>
      </c>
      <c r="X112" s="37">
        <f>DSUM($B$59:$Y$77,X$59,$C$84:$D112)</f>
        <v>4.2471326974210211</v>
      </c>
      <c r="Y112" s="37">
        <f>DSUM($B$59:$Y$77,Y$59,$C$84:$D112)</f>
        <v>84.9426539484204</v>
      </c>
    </row>
    <row r="113" spans="1:25">
      <c r="B113" s="18" t="s">
        <v>131</v>
      </c>
      <c r="C113" s="47" t="s">
        <v>132</v>
      </c>
      <c r="D113" s="47" t="s">
        <v>133</v>
      </c>
      <c r="E113" s="37">
        <f>DSUM($B$59:$Y$77,E$59,$C$84:$D113)</f>
        <v>3.5494836402154895</v>
      </c>
      <c r="F113" s="37">
        <f>DSUM($B$59:$Y$77,F$59,$C$84:$D113)</f>
        <v>3.5361069933077998</v>
      </c>
      <c r="G113" s="37">
        <f>DSUM($B$59:$Y$77,G$59,$C$84:$D113)</f>
        <v>3.5227924873588927</v>
      </c>
      <c r="H113" s="37">
        <f>DSUM($B$59:$Y$77,H$59,$C$84:$D113)</f>
        <v>3.5714832228078048</v>
      </c>
      <c r="I113" s="37">
        <f>DSUM($B$59:$Y$77,I$59,$C$84:$D113)</f>
        <v>3.630581988109578</v>
      </c>
      <c r="J113" s="37">
        <f>DSUM($B$59:$Y$77,J$59,$C$84:$D113)</f>
        <v>3.6781381594449583</v>
      </c>
      <c r="K113" s="37">
        <f>DSUM($B$59:$Y$77,K$59,$C$84:$D113)</f>
        <v>3.7217814064578363</v>
      </c>
      <c r="L113" s="37">
        <f>DSUM($B$59:$Y$77,L$59,$C$84:$D113)</f>
        <v>3.7650589530727272</v>
      </c>
      <c r="M113" s="37">
        <f>DSUM($B$59:$Y$77,M$59,$C$84:$D113)</f>
        <v>3.7992483360780835</v>
      </c>
      <c r="N113" s="37">
        <f>DSUM($B$59:$Y$77,N$59,$C$84:$D113)</f>
        <v>3.8287378830036811</v>
      </c>
      <c r="O113" s="37">
        <f>DSUM($B$59:$Y$77,O$59,$C$84:$D113)</f>
        <v>3.861451511709471</v>
      </c>
      <c r="P113" s="37">
        <f>DSUM($B$59:$Y$77,P$59,$C$84:$D113)</f>
        <v>3.8922801567324727</v>
      </c>
      <c r="Q113" s="37">
        <f>DSUM($B$59:$Y$77,Q$59,$C$84:$D113)</f>
        <v>3.9250921909720744</v>
      </c>
      <c r="R113" s="37">
        <f>DSUM($B$59:$Y$77,R$59,$C$84:$D113)</f>
        <v>3.9612745927270994</v>
      </c>
      <c r="S113" s="37">
        <f>DSUM($B$59:$Y$77,S$59,$C$84:$D113)</f>
        <v>4.001165235910265</v>
      </c>
      <c r="T113" s="37">
        <f>DSUM($B$59:$Y$77,T$59,$C$84:$D113)</f>
        <v>4.0475871738032083</v>
      </c>
      <c r="U113" s="37">
        <f>DSUM($B$59:$Y$77,U$59,$C$84:$D113)</f>
        <v>4.1000914592561664</v>
      </c>
      <c r="V113" s="37">
        <f>DSUM($B$59:$Y$77,V$59,$C$84:$D113)</f>
        <v>4.1484481002529972</v>
      </c>
      <c r="W113" s="37">
        <f>DSUM($B$59:$Y$77,W$59,$C$84:$D113)</f>
        <v>4.1989953374554663</v>
      </c>
      <c r="X113" s="37">
        <f>DSUM($B$59:$Y$77,X$59,$C$84:$D113)</f>
        <v>4.2471326974210211</v>
      </c>
      <c r="Y113" s="37">
        <f>DSUM($B$59:$Y$77,Y$59,$C$84:$D113)</f>
        <v>84.9426539484204</v>
      </c>
    </row>
    <row r="114" spans="1:25">
      <c r="B114" s="18" t="s">
        <v>134</v>
      </c>
      <c r="C114" s="47" t="s">
        <v>135</v>
      </c>
      <c r="D114" s="47" t="s">
        <v>136</v>
      </c>
      <c r="E114" s="37">
        <f>DSUM($B$59:$Y$77,E$59,$C$84:$D114)</f>
        <v>3.5494836402154895</v>
      </c>
      <c r="F114" s="37">
        <f>DSUM($B$59:$Y$77,F$59,$C$84:$D114)</f>
        <v>3.5361069933077998</v>
      </c>
      <c r="G114" s="37">
        <f>DSUM($B$59:$Y$77,G$59,$C$84:$D114)</f>
        <v>3.5227924873588927</v>
      </c>
      <c r="H114" s="37">
        <f>DSUM($B$59:$Y$77,H$59,$C$84:$D114)</f>
        <v>3.5714832228078048</v>
      </c>
      <c r="I114" s="37">
        <f>DSUM($B$59:$Y$77,I$59,$C$84:$D114)</f>
        <v>3.630581988109578</v>
      </c>
      <c r="J114" s="37">
        <f>DSUM($B$59:$Y$77,J$59,$C$84:$D114)</f>
        <v>3.6781381594449583</v>
      </c>
      <c r="K114" s="37">
        <f>DSUM($B$59:$Y$77,K$59,$C$84:$D114)</f>
        <v>3.7217814064578363</v>
      </c>
      <c r="L114" s="37">
        <f>DSUM($B$59:$Y$77,L$59,$C$84:$D114)</f>
        <v>3.7650589530727272</v>
      </c>
      <c r="M114" s="37">
        <f>DSUM($B$59:$Y$77,M$59,$C$84:$D114)</f>
        <v>3.7992483360780835</v>
      </c>
      <c r="N114" s="37">
        <f>DSUM($B$59:$Y$77,N$59,$C$84:$D114)</f>
        <v>3.8287378830036811</v>
      </c>
      <c r="O114" s="37">
        <f>DSUM($B$59:$Y$77,O$59,$C$84:$D114)</f>
        <v>3.861451511709471</v>
      </c>
      <c r="P114" s="37">
        <f>DSUM($B$59:$Y$77,P$59,$C$84:$D114)</f>
        <v>3.8922801567324727</v>
      </c>
      <c r="Q114" s="37">
        <f>DSUM($B$59:$Y$77,Q$59,$C$84:$D114)</f>
        <v>3.9250921909720744</v>
      </c>
      <c r="R114" s="37">
        <f>DSUM($B$59:$Y$77,R$59,$C$84:$D114)</f>
        <v>3.9612745927270994</v>
      </c>
      <c r="S114" s="37">
        <f>DSUM($B$59:$Y$77,S$59,$C$84:$D114)</f>
        <v>4.001165235910265</v>
      </c>
      <c r="T114" s="37">
        <f>DSUM($B$59:$Y$77,T$59,$C$84:$D114)</f>
        <v>4.0475871738032083</v>
      </c>
      <c r="U114" s="37">
        <f>DSUM($B$59:$Y$77,U$59,$C$84:$D114)</f>
        <v>4.1000914592561664</v>
      </c>
      <c r="V114" s="37">
        <f>DSUM($B$59:$Y$77,V$59,$C$84:$D114)</f>
        <v>4.1484481002529972</v>
      </c>
      <c r="W114" s="37">
        <f>DSUM($B$59:$Y$77,W$59,$C$84:$D114)</f>
        <v>4.1989953374554663</v>
      </c>
      <c r="X114" s="37">
        <f>DSUM($B$59:$Y$77,X$59,$C$84:$D114)</f>
        <v>4.2471326974210211</v>
      </c>
      <c r="Y114" s="37">
        <f>DSUM($B$59:$Y$77,Y$59,$C$84:$D114)</f>
        <v>84.9426539484204</v>
      </c>
    </row>
    <row r="115" spans="1:25">
      <c r="B115" s="18" t="s">
        <v>137</v>
      </c>
      <c r="C115" s="47" t="s">
        <v>138</v>
      </c>
      <c r="D115" s="47" t="s">
        <v>139</v>
      </c>
      <c r="E115" s="37">
        <f>DSUM($B$59:$Y$77,E$59,$C$84:$D115)</f>
        <v>3.5494836402154895</v>
      </c>
      <c r="F115" s="37">
        <f>DSUM($B$59:$Y$77,F$59,$C$84:$D115)</f>
        <v>3.5361069933077998</v>
      </c>
      <c r="G115" s="37">
        <f>DSUM($B$59:$Y$77,G$59,$C$84:$D115)</f>
        <v>3.5227924873588927</v>
      </c>
      <c r="H115" s="37">
        <f>DSUM($B$59:$Y$77,H$59,$C$84:$D115)</f>
        <v>3.5714832228078048</v>
      </c>
      <c r="I115" s="37">
        <f>DSUM($B$59:$Y$77,I$59,$C$84:$D115)</f>
        <v>3.630581988109578</v>
      </c>
      <c r="J115" s="37">
        <f>DSUM($B$59:$Y$77,J$59,$C$84:$D115)</f>
        <v>3.6781381594449583</v>
      </c>
      <c r="K115" s="37">
        <f>DSUM($B$59:$Y$77,K$59,$C$84:$D115)</f>
        <v>3.7217814064578363</v>
      </c>
      <c r="L115" s="37">
        <f>DSUM($B$59:$Y$77,L$59,$C$84:$D115)</f>
        <v>3.7650589530727272</v>
      </c>
      <c r="M115" s="37">
        <f>DSUM($B$59:$Y$77,M$59,$C$84:$D115)</f>
        <v>3.7992483360780835</v>
      </c>
      <c r="N115" s="37">
        <f>DSUM($B$59:$Y$77,N$59,$C$84:$D115)</f>
        <v>3.8287378830036811</v>
      </c>
      <c r="O115" s="37">
        <f>DSUM($B$59:$Y$77,O$59,$C$84:$D115)</f>
        <v>3.861451511709471</v>
      </c>
      <c r="P115" s="37">
        <f>DSUM($B$59:$Y$77,P$59,$C$84:$D115)</f>
        <v>3.8922801567324727</v>
      </c>
      <c r="Q115" s="37">
        <f>DSUM($B$59:$Y$77,Q$59,$C$84:$D115)</f>
        <v>3.9250921909720744</v>
      </c>
      <c r="R115" s="37">
        <f>DSUM($B$59:$Y$77,R$59,$C$84:$D115)</f>
        <v>3.9612745927270994</v>
      </c>
      <c r="S115" s="37">
        <f>DSUM($B$59:$Y$77,S$59,$C$84:$D115)</f>
        <v>4.001165235910265</v>
      </c>
      <c r="T115" s="37">
        <f>DSUM($B$59:$Y$77,T$59,$C$84:$D115)</f>
        <v>4.0475871738032083</v>
      </c>
      <c r="U115" s="37">
        <f>DSUM($B$59:$Y$77,U$59,$C$84:$D115)</f>
        <v>4.1000914592561664</v>
      </c>
      <c r="V115" s="37">
        <f>DSUM($B$59:$Y$77,V$59,$C$84:$D115)</f>
        <v>4.1484481002529972</v>
      </c>
      <c r="W115" s="37">
        <f>DSUM($B$59:$Y$77,W$59,$C$84:$D115)</f>
        <v>4.1989953374554663</v>
      </c>
      <c r="X115" s="37">
        <f>DSUM($B$59:$Y$77,X$59,$C$84:$D115)</f>
        <v>4.2471326974210211</v>
      </c>
      <c r="Y115" s="37">
        <f>DSUM($B$59:$Y$77,Y$59,$C$84:$D115)</f>
        <v>84.9426539484204</v>
      </c>
    </row>
    <row r="116" spans="1:25">
      <c r="B116" s="18" t="s">
        <v>140</v>
      </c>
      <c r="C116" s="47" t="s">
        <v>141</v>
      </c>
      <c r="D116" s="47" t="s">
        <v>142</v>
      </c>
      <c r="E116" s="37">
        <f>DSUM($B$59:$Y$77,E$59,$C$84:$D116)</f>
        <v>3.5494836402154895</v>
      </c>
      <c r="F116" s="37">
        <f>DSUM($B$59:$Y$77,F$59,$C$84:$D116)</f>
        <v>3.5361069933077998</v>
      </c>
      <c r="G116" s="37">
        <f>DSUM($B$59:$Y$77,G$59,$C$84:$D116)</f>
        <v>3.5227924873588927</v>
      </c>
      <c r="H116" s="37">
        <f>DSUM($B$59:$Y$77,H$59,$C$84:$D116)</f>
        <v>3.5714832228078048</v>
      </c>
      <c r="I116" s="37">
        <f>DSUM($B$59:$Y$77,I$59,$C$84:$D116)</f>
        <v>3.630581988109578</v>
      </c>
      <c r="J116" s="37">
        <f>DSUM($B$59:$Y$77,J$59,$C$84:$D116)</f>
        <v>3.6781381594449583</v>
      </c>
      <c r="K116" s="37">
        <f>DSUM($B$59:$Y$77,K$59,$C$84:$D116)</f>
        <v>3.7217814064578363</v>
      </c>
      <c r="L116" s="37">
        <f>DSUM($B$59:$Y$77,L$59,$C$84:$D116)</f>
        <v>3.7650589530727272</v>
      </c>
      <c r="M116" s="37">
        <f>DSUM($B$59:$Y$77,M$59,$C$84:$D116)</f>
        <v>3.7992483360780835</v>
      </c>
      <c r="N116" s="37">
        <f>DSUM($B$59:$Y$77,N$59,$C$84:$D116)</f>
        <v>3.8287378830036811</v>
      </c>
      <c r="O116" s="37">
        <f>DSUM($B$59:$Y$77,O$59,$C$84:$D116)</f>
        <v>3.861451511709471</v>
      </c>
      <c r="P116" s="37">
        <f>DSUM($B$59:$Y$77,P$59,$C$84:$D116)</f>
        <v>3.8922801567324727</v>
      </c>
      <c r="Q116" s="37">
        <f>DSUM($B$59:$Y$77,Q$59,$C$84:$D116)</f>
        <v>3.9250921909720744</v>
      </c>
      <c r="R116" s="37">
        <f>DSUM($B$59:$Y$77,R$59,$C$84:$D116)</f>
        <v>3.9612745927270994</v>
      </c>
      <c r="S116" s="37">
        <f>DSUM($B$59:$Y$77,S$59,$C$84:$D116)</f>
        <v>4.001165235910265</v>
      </c>
      <c r="T116" s="37">
        <f>DSUM($B$59:$Y$77,T$59,$C$84:$D116)</f>
        <v>4.0475871738032083</v>
      </c>
      <c r="U116" s="37">
        <f>DSUM($B$59:$Y$77,U$59,$C$84:$D116)</f>
        <v>4.1000914592561664</v>
      </c>
      <c r="V116" s="37">
        <f>DSUM($B$59:$Y$77,V$59,$C$84:$D116)</f>
        <v>4.1484481002529972</v>
      </c>
      <c r="W116" s="37">
        <f>DSUM($B$59:$Y$77,W$59,$C$84:$D116)</f>
        <v>4.1989953374554663</v>
      </c>
      <c r="X116" s="37">
        <f>DSUM($B$59:$Y$77,X$59,$C$84:$D116)</f>
        <v>4.2471326974210211</v>
      </c>
      <c r="Y116" s="37">
        <f>DSUM($B$59:$Y$77,Y$59,$C$84:$D116)</f>
        <v>84.9426539484204</v>
      </c>
    </row>
    <row r="117" spans="1:25">
      <c r="C117" s="48"/>
      <c r="D117" s="48"/>
      <c r="E117" s="37"/>
      <c r="F117" s="37"/>
      <c r="G117" s="37"/>
      <c r="H117" s="37"/>
      <c r="I117" s="37"/>
      <c r="J117" s="37"/>
      <c r="K117" s="37"/>
      <c r="L117" s="37"/>
      <c r="M117" s="37"/>
      <c r="N117" s="37"/>
      <c r="O117" s="37"/>
      <c r="P117" s="37"/>
      <c r="Q117" s="37"/>
      <c r="R117" s="37"/>
      <c r="S117" s="37"/>
      <c r="T117" s="37"/>
      <c r="U117" s="37"/>
      <c r="V117" s="37"/>
      <c r="W117" s="37"/>
      <c r="X117" s="37"/>
      <c r="Y117" s="37"/>
    </row>
    <row r="118" spans="1:25">
      <c r="E118" s="49">
        <f>E116</f>
        <v>3.5494836402154895</v>
      </c>
      <c r="F118" s="49">
        <f t="shared" ref="F118:Y118" si="36">F116</f>
        <v>3.5361069933077998</v>
      </c>
      <c r="G118" s="49">
        <f t="shared" si="36"/>
        <v>3.5227924873588927</v>
      </c>
      <c r="H118" s="49">
        <f t="shared" si="36"/>
        <v>3.5714832228078048</v>
      </c>
      <c r="I118" s="49">
        <f t="shared" si="36"/>
        <v>3.630581988109578</v>
      </c>
      <c r="J118" s="49">
        <f t="shared" si="36"/>
        <v>3.6781381594449583</v>
      </c>
      <c r="K118" s="49">
        <f t="shared" si="36"/>
        <v>3.7217814064578363</v>
      </c>
      <c r="L118" s="49">
        <f t="shared" si="36"/>
        <v>3.7650589530727272</v>
      </c>
      <c r="M118" s="49">
        <f t="shared" si="36"/>
        <v>3.7992483360780835</v>
      </c>
      <c r="N118" s="49">
        <f t="shared" si="36"/>
        <v>3.8287378830036811</v>
      </c>
      <c r="O118" s="49">
        <f t="shared" si="36"/>
        <v>3.861451511709471</v>
      </c>
      <c r="P118" s="49">
        <f t="shared" si="36"/>
        <v>3.8922801567324727</v>
      </c>
      <c r="Q118" s="49">
        <f t="shared" si="36"/>
        <v>3.9250921909720744</v>
      </c>
      <c r="R118" s="49">
        <f t="shared" si="36"/>
        <v>3.9612745927270994</v>
      </c>
      <c r="S118" s="49">
        <f t="shared" si="36"/>
        <v>4.001165235910265</v>
      </c>
      <c r="T118" s="49">
        <f t="shared" si="36"/>
        <v>4.0475871738032083</v>
      </c>
      <c r="U118" s="49">
        <f t="shared" si="36"/>
        <v>4.1000914592561664</v>
      </c>
      <c r="V118" s="49">
        <f t="shared" si="36"/>
        <v>4.1484481002529972</v>
      </c>
      <c r="W118" s="49">
        <f t="shared" si="36"/>
        <v>4.1989953374554663</v>
      </c>
      <c r="X118" s="49">
        <f t="shared" si="36"/>
        <v>4.2471326974210211</v>
      </c>
      <c r="Y118" s="49">
        <f t="shared" si="36"/>
        <v>84.9426539484204</v>
      </c>
    </row>
    <row r="119" spans="1:25" ht="15">
      <c r="A119" s="38" t="s">
        <v>143</v>
      </c>
      <c r="B119" s="50"/>
    </row>
    <row r="120" spans="1:25" ht="15">
      <c r="D120" s="39" t="str">
        <f>C8</f>
        <v>Commercial EM-Retro</v>
      </c>
      <c r="E120" s="40">
        <f>E83</f>
        <v>2016</v>
      </c>
      <c r="F120" s="40">
        <f t="shared" ref="F120:Y120" si="37">F83</f>
        <v>2017</v>
      </c>
      <c r="G120" s="40">
        <f t="shared" si="37"/>
        <v>2018</v>
      </c>
      <c r="H120" s="40">
        <f t="shared" si="37"/>
        <v>2019</v>
      </c>
      <c r="I120" s="40">
        <f t="shared" si="37"/>
        <v>2020</v>
      </c>
      <c r="J120" s="40">
        <f t="shared" si="37"/>
        <v>2021</v>
      </c>
      <c r="K120" s="40">
        <f t="shared" si="37"/>
        <v>2022</v>
      </c>
      <c r="L120" s="40">
        <f t="shared" si="37"/>
        <v>2023</v>
      </c>
      <c r="M120" s="40">
        <f t="shared" si="37"/>
        <v>2024</v>
      </c>
      <c r="N120" s="40">
        <f t="shared" si="37"/>
        <v>2025</v>
      </c>
      <c r="O120" s="40">
        <f t="shared" si="37"/>
        <v>2026</v>
      </c>
      <c r="P120" s="40">
        <f t="shared" si="37"/>
        <v>2027</v>
      </c>
      <c r="Q120" s="40">
        <f t="shared" si="37"/>
        <v>2028</v>
      </c>
      <c r="R120" s="40">
        <f t="shared" si="37"/>
        <v>2029</v>
      </c>
      <c r="S120" s="40">
        <f t="shared" si="37"/>
        <v>2030</v>
      </c>
      <c r="T120" s="40">
        <f t="shared" si="37"/>
        <v>2031</v>
      </c>
      <c r="U120" s="40">
        <f t="shared" si="37"/>
        <v>2032</v>
      </c>
      <c r="V120" s="40">
        <f t="shared" si="37"/>
        <v>2033</v>
      </c>
      <c r="W120" s="40">
        <f t="shared" si="37"/>
        <v>2034</v>
      </c>
      <c r="X120" s="40">
        <f t="shared" si="37"/>
        <v>2035</v>
      </c>
      <c r="Y120" s="40" t="str">
        <f t="shared" si="37"/>
        <v>Max</v>
      </c>
    </row>
    <row r="121" spans="1:25" ht="15">
      <c r="E121" s="41" t="str">
        <f>CONCATENATE("aMW_",E$11)</f>
        <v>aMW_2016</v>
      </c>
      <c r="F121" s="41" t="str">
        <f t="shared" ref="F121:Y121" si="38">CONCATENATE("aMW_",F$11)</f>
        <v>aMW_2017</v>
      </c>
      <c r="G121" s="41" t="str">
        <f t="shared" si="38"/>
        <v>aMW_2018</v>
      </c>
      <c r="H121" s="41" t="str">
        <f t="shared" si="38"/>
        <v>aMW_2019</v>
      </c>
      <c r="I121" s="41" t="str">
        <f t="shared" si="38"/>
        <v>aMW_2020</v>
      </c>
      <c r="J121" s="41" t="str">
        <f t="shared" si="38"/>
        <v>aMW_2021</v>
      </c>
      <c r="K121" s="41" t="str">
        <f t="shared" si="38"/>
        <v>aMW_2022</v>
      </c>
      <c r="L121" s="41" t="str">
        <f t="shared" si="38"/>
        <v>aMW_2023</v>
      </c>
      <c r="M121" s="41" t="str">
        <f t="shared" si="38"/>
        <v>aMW_2024</v>
      </c>
      <c r="N121" s="41" t="str">
        <f t="shared" si="38"/>
        <v>aMW_2025</v>
      </c>
      <c r="O121" s="41" t="str">
        <f t="shared" si="38"/>
        <v>aMW_2026</v>
      </c>
      <c r="P121" s="41" t="str">
        <f t="shared" si="38"/>
        <v>aMW_2027</v>
      </c>
      <c r="Q121" s="41" t="str">
        <f t="shared" si="38"/>
        <v>aMW_2028</v>
      </c>
      <c r="R121" s="41" t="str">
        <f t="shared" si="38"/>
        <v>aMW_2029</v>
      </c>
      <c r="S121" s="41" t="str">
        <f t="shared" si="38"/>
        <v>aMW_2030</v>
      </c>
      <c r="T121" s="41" t="str">
        <f t="shared" si="38"/>
        <v>aMW_2031</v>
      </c>
      <c r="U121" s="41" t="str">
        <f t="shared" si="38"/>
        <v>aMW_2032</v>
      </c>
      <c r="V121" s="41" t="str">
        <f t="shared" si="38"/>
        <v>aMW_2033</v>
      </c>
      <c r="W121" s="41" t="str">
        <f t="shared" si="38"/>
        <v>aMW_2034</v>
      </c>
      <c r="X121" s="41" t="str">
        <f t="shared" si="38"/>
        <v>aMW_2035</v>
      </c>
      <c r="Y121" s="41" t="str">
        <f t="shared" si="38"/>
        <v>aMW_</v>
      </c>
    </row>
    <row r="122" spans="1:25">
      <c r="C122" s="18" t="s">
        <v>47</v>
      </c>
      <c r="E122" s="51">
        <f t="shared" ref="E122:Y122" si="39">E85</f>
        <v>0</v>
      </c>
      <c r="F122" s="51">
        <f t="shared" si="39"/>
        <v>0</v>
      </c>
      <c r="G122" s="51">
        <f t="shared" si="39"/>
        <v>0</v>
      </c>
      <c r="H122" s="51">
        <f t="shared" si="39"/>
        <v>0</v>
      </c>
      <c r="I122" s="51">
        <f t="shared" si="39"/>
        <v>0</v>
      </c>
      <c r="J122" s="51">
        <f t="shared" si="39"/>
        <v>0</v>
      </c>
      <c r="K122" s="51">
        <f t="shared" si="39"/>
        <v>0</v>
      </c>
      <c r="L122" s="51">
        <f t="shared" si="39"/>
        <v>0</v>
      </c>
      <c r="M122" s="51">
        <f t="shared" si="39"/>
        <v>0</v>
      </c>
      <c r="N122" s="51">
        <f t="shared" si="39"/>
        <v>0</v>
      </c>
      <c r="O122" s="51">
        <f t="shared" si="39"/>
        <v>0</v>
      </c>
      <c r="P122" s="51">
        <f t="shared" si="39"/>
        <v>0</v>
      </c>
      <c r="Q122" s="51">
        <f t="shared" si="39"/>
        <v>0</v>
      </c>
      <c r="R122" s="51">
        <f t="shared" si="39"/>
        <v>0</v>
      </c>
      <c r="S122" s="51">
        <f t="shared" si="39"/>
        <v>0</v>
      </c>
      <c r="T122" s="51">
        <f t="shared" si="39"/>
        <v>0</v>
      </c>
      <c r="U122" s="51">
        <f t="shared" si="39"/>
        <v>0</v>
      </c>
      <c r="V122" s="51">
        <f t="shared" si="39"/>
        <v>0</v>
      </c>
      <c r="W122" s="51">
        <f t="shared" si="39"/>
        <v>0</v>
      </c>
      <c r="X122" s="51">
        <f t="shared" si="39"/>
        <v>0</v>
      </c>
      <c r="Y122" s="51">
        <f t="shared" si="39"/>
        <v>0</v>
      </c>
    </row>
    <row r="123" spans="1:25">
      <c r="C123" s="18" t="s">
        <v>50</v>
      </c>
      <c r="E123" s="51">
        <f t="shared" ref="E123:Y135" si="40">E86-E85</f>
        <v>0</v>
      </c>
      <c r="F123" s="51">
        <f t="shared" si="40"/>
        <v>0</v>
      </c>
      <c r="G123" s="51">
        <f t="shared" si="40"/>
        <v>0</v>
      </c>
      <c r="H123" s="51">
        <f t="shared" si="40"/>
        <v>0</v>
      </c>
      <c r="I123" s="51">
        <f t="shared" si="40"/>
        <v>0</v>
      </c>
      <c r="J123" s="51">
        <f t="shared" si="40"/>
        <v>0</v>
      </c>
      <c r="K123" s="51">
        <f t="shared" si="40"/>
        <v>0</v>
      </c>
      <c r="L123" s="51">
        <f t="shared" si="40"/>
        <v>0</v>
      </c>
      <c r="M123" s="51">
        <f t="shared" si="40"/>
        <v>0</v>
      </c>
      <c r="N123" s="51">
        <f t="shared" si="40"/>
        <v>0</v>
      </c>
      <c r="O123" s="51">
        <f t="shared" si="40"/>
        <v>0</v>
      </c>
      <c r="P123" s="51">
        <f t="shared" si="40"/>
        <v>0</v>
      </c>
      <c r="Q123" s="51">
        <f t="shared" si="40"/>
        <v>0</v>
      </c>
      <c r="R123" s="51">
        <f t="shared" si="40"/>
        <v>0</v>
      </c>
      <c r="S123" s="51">
        <f t="shared" si="40"/>
        <v>0</v>
      </c>
      <c r="T123" s="51">
        <f t="shared" si="40"/>
        <v>0</v>
      </c>
      <c r="U123" s="51">
        <f t="shared" si="40"/>
        <v>0</v>
      </c>
      <c r="V123" s="51">
        <f t="shared" si="40"/>
        <v>0</v>
      </c>
      <c r="W123" s="51">
        <f t="shared" si="40"/>
        <v>0</v>
      </c>
      <c r="X123" s="51">
        <f t="shared" si="40"/>
        <v>0</v>
      </c>
      <c r="Y123" s="51">
        <f t="shared" si="40"/>
        <v>0</v>
      </c>
    </row>
    <row r="124" spans="1:25">
      <c r="C124" s="18" t="s">
        <v>53</v>
      </c>
      <c r="E124" s="51">
        <f t="shared" si="40"/>
        <v>0.75841459452559712</v>
      </c>
      <c r="F124" s="51">
        <f t="shared" si="40"/>
        <v>0.75679867041760063</v>
      </c>
      <c r="G124" s="51">
        <f t="shared" si="40"/>
        <v>0.75518619555853372</v>
      </c>
      <c r="H124" s="51">
        <f t="shared" si="40"/>
        <v>0.77471979099442834</v>
      </c>
      <c r="I124" s="51">
        <f t="shared" si="40"/>
        <v>0.80262319575109498</v>
      </c>
      <c r="J124" s="51">
        <f t="shared" si="40"/>
        <v>0.82655682393922247</v>
      </c>
      <c r="K124" s="51">
        <f t="shared" si="40"/>
        <v>0.8478711334920398</v>
      </c>
      <c r="L124" s="51">
        <f t="shared" si="40"/>
        <v>0.86530632360675908</v>
      </c>
      <c r="M124" s="51">
        <f t="shared" si="40"/>
        <v>0.87724286322053191</v>
      </c>
      <c r="N124" s="51">
        <f t="shared" si="40"/>
        <v>0.88761365764960332</v>
      </c>
      <c r="O124" s="51">
        <f t="shared" si="40"/>
        <v>0.89707051395550563</v>
      </c>
      <c r="P124" s="51">
        <f t="shared" si="40"/>
        <v>0.9052188057223759</v>
      </c>
      <c r="Q124" s="51">
        <f t="shared" si="40"/>
        <v>0.91345495989823833</v>
      </c>
      <c r="R124" s="51">
        <f t="shared" si="40"/>
        <v>0.92222419371069064</v>
      </c>
      <c r="S124" s="51">
        <f t="shared" si="40"/>
        <v>0.93288302814608337</v>
      </c>
      <c r="T124" s="51">
        <f t="shared" si="40"/>
        <v>0.94606865751182279</v>
      </c>
      <c r="U124" s="51">
        <f t="shared" si="40"/>
        <v>0.96128359026830945</v>
      </c>
      <c r="V124" s="51">
        <f t="shared" si="40"/>
        <v>0.97475447610198196</v>
      </c>
      <c r="W124" s="51">
        <f t="shared" si="40"/>
        <v>0.9877729111460517</v>
      </c>
      <c r="X124" s="51">
        <f t="shared" si="40"/>
        <v>1.0004000304613756</v>
      </c>
      <c r="Y124" s="51">
        <f t="shared" si="40"/>
        <v>20.008000609227508</v>
      </c>
    </row>
    <row r="125" spans="1:25">
      <c r="C125" s="18" t="s">
        <v>56</v>
      </c>
      <c r="E125" s="51">
        <f t="shared" si="40"/>
        <v>0.3753009417209654</v>
      </c>
      <c r="F125" s="51">
        <f t="shared" si="40"/>
        <v>0.37221882922498861</v>
      </c>
      <c r="G125" s="51">
        <f t="shared" si="40"/>
        <v>0.36916309599996966</v>
      </c>
      <c r="H125" s="51">
        <f t="shared" si="40"/>
        <v>0.37453460560008356</v>
      </c>
      <c r="I125" s="51">
        <f t="shared" si="40"/>
        <v>0.38320034732744657</v>
      </c>
      <c r="J125" s="51">
        <f t="shared" si="40"/>
        <v>0.38995038590858888</v>
      </c>
      <c r="K125" s="51">
        <f t="shared" si="40"/>
        <v>0.39604943520766678</v>
      </c>
      <c r="L125" s="51">
        <f t="shared" si="40"/>
        <v>0.40159424904165708</v>
      </c>
      <c r="M125" s="51">
        <f t="shared" si="40"/>
        <v>0.40534199872932286</v>
      </c>
      <c r="N125" s="51">
        <f t="shared" si="40"/>
        <v>0.40975271797722546</v>
      </c>
      <c r="O125" s="51">
        <f t="shared" si="40"/>
        <v>0.41401415014745291</v>
      </c>
      <c r="P125" s="51">
        <f t="shared" si="40"/>
        <v>0.41884388052104826</v>
      </c>
      <c r="Q125" s="51">
        <f t="shared" si="40"/>
        <v>0.42437859662300259</v>
      </c>
      <c r="R125" s="51">
        <f t="shared" si="40"/>
        <v>0.42976057978190252</v>
      </c>
      <c r="S125" s="51">
        <f t="shared" si="40"/>
        <v>0.43615073458793541</v>
      </c>
      <c r="T125" s="51">
        <f t="shared" si="40"/>
        <v>0.44322344982251238</v>
      </c>
      <c r="U125" s="51">
        <f t="shared" si="40"/>
        <v>0.45056663223878157</v>
      </c>
      <c r="V125" s="51">
        <f t="shared" si="40"/>
        <v>0.45723746214310945</v>
      </c>
      <c r="W125" s="51">
        <f t="shared" si="40"/>
        <v>0.46458294524467714</v>
      </c>
      <c r="X125" s="51">
        <f t="shared" si="40"/>
        <v>0.47101806506136223</v>
      </c>
      <c r="Y125" s="51">
        <f t="shared" si="40"/>
        <v>9.4203613012272456</v>
      </c>
    </row>
    <row r="126" spans="1:25">
      <c r="C126" s="18" t="s">
        <v>59</v>
      </c>
      <c r="E126" s="51">
        <f t="shared" si="40"/>
        <v>1.427732209529575</v>
      </c>
      <c r="F126" s="51">
        <f t="shared" si="40"/>
        <v>1.4231096985226528</v>
      </c>
      <c r="G126" s="51">
        <f t="shared" si="40"/>
        <v>1.418502675742243</v>
      </c>
      <c r="H126" s="51">
        <f t="shared" si="40"/>
        <v>1.4397239662732155</v>
      </c>
      <c r="I126" s="51">
        <f t="shared" si="40"/>
        <v>1.4601999307979374</v>
      </c>
      <c r="J126" s="51">
        <f t="shared" si="40"/>
        <v>1.4753508800462829</v>
      </c>
      <c r="K126" s="51">
        <f t="shared" si="40"/>
        <v>1.4895955003975949</v>
      </c>
      <c r="L126" s="51">
        <f t="shared" si="40"/>
        <v>1.5069659644013378</v>
      </c>
      <c r="M126" s="51">
        <f t="shared" si="40"/>
        <v>1.5233707557594702</v>
      </c>
      <c r="N126" s="51">
        <f t="shared" si="40"/>
        <v>1.5362361191534146</v>
      </c>
      <c r="O126" s="51">
        <f t="shared" si="40"/>
        <v>1.5528999346542682</v>
      </c>
      <c r="P126" s="51">
        <f t="shared" si="40"/>
        <v>1.5670999019300222</v>
      </c>
      <c r="Q126" s="51">
        <f t="shared" si="40"/>
        <v>1.5813731921130181</v>
      </c>
      <c r="R126" s="51">
        <f t="shared" si="40"/>
        <v>1.5984454988036501</v>
      </c>
      <c r="S126" s="51">
        <f t="shared" si="40"/>
        <v>1.6158283195844574</v>
      </c>
      <c r="T126" s="51">
        <f t="shared" si="40"/>
        <v>1.6358325463520169</v>
      </c>
      <c r="U126" s="51">
        <f t="shared" si="40"/>
        <v>1.6589352296717188</v>
      </c>
      <c r="V126" s="51">
        <f t="shared" si="40"/>
        <v>1.6805823096908603</v>
      </c>
      <c r="W126" s="51">
        <f t="shared" si="40"/>
        <v>1.7044343604086385</v>
      </c>
      <c r="X126" s="51">
        <f t="shared" si="40"/>
        <v>1.7278050589209235</v>
      </c>
      <c r="Y126" s="51">
        <f t="shared" si="40"/>
        <v>34.55610117841848</v>
      </c>
    </row>
    <row r="127" spans="1:25">
      <c r="C127" s="18" t="s">
        <v>62</v>
      </c>
      <c r="E127" s="51">
        <f t="shared" si="40"/>
        <v>0.51916402109356241</v>
      </c>
      <c r="F127" s="51">
        <f t="shared" si="40"/>
        <v>0.5170948458232365</v>
      </c>
      <c r="G127" s="51">
        <f t="shared" si="40"/>
        <v>0.51503400131604371</v>
      </c>
      <c r="H127" s="51">
        <f t="shared" si="40"/>
        <v>0.51757745086706253</v>
      </c>
      <c r="I127" s="51">
        <f t="shared" si="40"/>
        <v>0.51908770863955711</v>
      </c>
      <c r="J127" s="51">
        <f t="shared" si="40"/>
        <v>0.52001715299600315</v>
      </c>
      <c r="K127" s="51">
        <f t="shared" si="40"/>
        <v>0.52188396614932087</v>
      </c>
      <c r="L127" s="51">
        <f t="shared" si="40"/>
        <v>0.52493231007627816</v>
      </c>
      <c r="M127" s="51">
        <f t="shared" si="40"/>
        <v>0.5273115585295356</v>
      </c>
      <c r="N127" s="51">
        <f t="shared" si="40"/>
        <v>0.52950048617479961</v>
      </c>
      <c r="O127" s="51">
        <f t="shared" si="40"/>
        <v>0.5319169263190533</v>
      </c>
      <c r="P127" s="51">
        <f t="shared" si="40"/>
        <v>0.5352209894201998</v>
      </c>
      <c r="Q127" s="51">
        <f t="shared" si="40"/>
        <v>0.53919377505236188</v>
      </c>
      <c r="R127" s="51">
        <f t="shared" si="40"/>
        <v>0.54343338701873645</v>
      </c>
      <c r="S127" s="51">
        <f t="shared" si="40"/>
        <v>0.54808811776487376</v>
      </c>
      <c r="T127" s="51">
        <f t="shared" si="40"/>
        <v>0.5530784211554769</v>
      </c>
      <c r="U127" s="51">
        <f t="shared" si="40"/>
        <v>0.55862372911216784</v>
      </c>
      <c r="V127" s="51">
        <f t="shared" si="40"/>
        <v>0.56408852308071378</v>
      </c>
      <c r="W127" s="51">
        <f t="shared" si="40"/>
        <v>0.56926566553690661</v>
      </c>
      <c r="X127" s="51">
        <f t="shared" si="40"/>
        <v>0.57393845692184531</v>
      </c>
      <c r="Y127" s="51">
        <f t="shared" si="40"/>
        <v>11.478769138436881</v>
      </c>
    </row>
    <row r="128" spans="1:25">
      <c r="C128" s="18" t="s">
        <v>65</v>
      </c>
      <c r="E128" s="51">
        <f t="shared" si="40"/>
        <v>0</v>
      </c>
      <c r="F128" s="51">
        <f t="shared" si="40"/>
        <v>0</v>
      </c>
      <c r="G128" s="51">
        <f t="shared" si="40"/>
        <v>0</v>
      </c>
      <c r="H128" s="51">
        <f t="shared" si="40"/>
        <v>0</v>
      </c>
      <c r="I128" s="51">
        <f t="shared" si="40"/>
        <v>0</v>
      </c>
      <c r="J128" s="51">
        <f t="shared" si="40"/>
        <v>0</v>
      </c>
      <c r="K128" s="51">
        <f t="shared" si="40"/>
        <v>0</v>
      </c>
      <c r="L128" s="51">
        <f t="shared" si="40"/>
        <v>0</v>
      </c>
      <c r="M128" s="51">
        <f t="shared" si="40"/>
        <v>0</v>
      </c>
      <c r="N128" s="51">
        <f t="shared" si="40"/>
        <v>0</v>
      </c>
      <c r="O128" s="51">
        <f t="shared" si="40"/>
        <v>0</v>
      </c>
      <c r="P128" s="51">
        <f t="shared" si="40"/>
        <v>0</v>
      </c>
      <c r="Q128" s="51">
        <f t="shared" si="40"/>
        <v>0</v>
      </c>
      <c r="R128" s="51">
        <f t="shared" si="40"/>
        <v>0</v>
      </c>
      <c r="S128" s="51">
        <f t="shared" si="40"/>
        <v>0</v>
      </c>
      <c r="T128" s="51">
        <f t="shared" si="40"/>
        <v>0</v>
      </c>
      <c r="U128" s="51">
        <f t="shared" si="40"/>
        <v>0</v>
      </c>
      <c r="V128" s="51">
        <f t="shared" si="40"/>
        <v>0</v>
      </c>
      <c r="W128" s="51">
        <f t="shared" si="40"/>
        <v>0</v>
      </c>
      <c r="X128" s="51">
        <f t="shared" si="40"/>
        <v>0</v>
      </c>
      <c r="Y128" s="51">
        <f t="shared" si="40"/>
        <v>0</v>
      </c>
    </row>
    <row r="129" spans="3:25">
      <c r="C129" s="18" t="s">
        <v>68</v>
      </c>
      <c r="E129" s="51">
        <f t="shared" si="40"/>
        <v>0</v>
      </c>
      <c r="F129" s="51">
        <f t="shared" si="40"/>
        <v>0</v>
      </c>
      <c r="G129" s="51">
        <f t="shared" si="40"/>
        <v>0</v>
      </c>
      <c r="H129" s="51">
        <f t="shared" si="40"/>
        <v>0</v>
      </c>
      <c r="I129" s="51">
        <f t="shared" si="40"/>
        <v>0</v>
      </c>
      <c r="J129" s="51">
        <f t="shared" si="40"/>
        <v>0</v>
      </c>
      <c r="K129" s="51">
        <f t="shared" si="40"/>
        <v>0</v>
      </c>
      <c r="L129" s="51">
        <f t="shared" si="40"/>
        <v>0</v>
      </c>
      <c r="M129" s="51">
        <f t="shared" si="40"/>
        <v>0</v>
      </c>
      <c r="N129" s="51">
        <f t="shared" si="40"/>
        <v>0</v>
      </c>
      <c r="O129" s="51">
        <f t="shared" si="40"/>
        <v>0</v>
      </c>
      <c r="P129" s="51">
        <f t="shared" si="40"/>
        <v>0</v>
      </c>
      <c r="Q129" s="51">
        <f t="shared" si="40"/>
        <v>0</v>
      </c>
      <c r="R129" s="51">
        <f t="shared" si="40"/>
        <v>0</v>
      </c>
      <c r="S129" s="51">
        <f t="shared" si="40"/>
        <v>0</v>
      </c>
      <c r="T129" s="51">
        <f t="shared" si="40"/>
        <v>0</v>
      </c>
      <c r="U129" s="51">
        <f t="shared" si="40"/>
        <v>0</v>
      </c>
      <c r="V129" s="51">
        <f t="shared" si="40"/>
        <v>0</v>
      </c>
      <c r="W129" s="51">
        <f t="shared" si="40"/>
        <v>0</v>
      </c>
      <c r="X129" s="51">
        <f t="shared" si="40"/>
        <v>0</v>
      </c>
      <c r="Y129" s="51">
        <f t="shared" si="40"/>
        <v>0</v>
      </c>
    </row>
    <row r="130" spans="3:25">
      <c r="C130" s="18" t="s">
        <v>71</v>
      </c>
      <c r="E130" s="51">
        <f t="shared" si="40"/>
        <v>0.2411379241579823</v>
      </c>
      <c r="F130" s="51">
        <f t="shared" si="40"/>
        <v>0.24016983686767457</v>
      </c>
      <c r="G130" s="51">
        <f t="shared" si="40"/>
        <v>0.23920564259592147</v>
      </c>
      <c r="H130" s="51">
        <f t="shared" si="40"/>
        <v>0.23955045680981302</v>
      </c>
      <c r="I130" s="51">
        <f t="shared" si="40"/>
        <v>0.23986025093958041</v>
      </c>
      <c r="J130" s="51">
        <f t="shared" si="40"/>
        <v>0.24064416693753232</v>
      </c>
      <c r="K130" s="51">
        <f t="shared" si="40"/>
        <v>0.24108998721072661</v>
      </c>
      <c r="L130" s="51">
        <f t="shared" si="40"/>
        <v>0.2412597011430746</v>
      </c>
      <c r="M130" s="51">
        <f t="shared" si="40"/>
        <v>0.2413154362072687</v>
      </c>
      <c r="N130" s="51">
        <f t="shared" si="40"/>
        <v>0.24140937811127205</v>
      </c>
      <c r="O130" s="51">
        <f t="shared" si="40"/>
        <v>0.2417222714281575</v>
      </c>
      <c r="P130" s="51">
        <f t="shared" si="40"/>
        <v>0.24249418638377751</v>
      </c>
      <c r="Q130" s="51">
        <f t="shared" si="40"/>
        <v>0.24359578115522318</v>
      </c>
      <c r="R130" s="51">
        <f t="shared" si="40"/>
        <v>0.24450625159485329</v>
      </c>
      <c r="S130" s="51">
        <f t="shared" si="40"/>
        <v>0.24546230936691504</v>
      </c>
      <c r="T130" s="51">
        <f t="shared" si="40"/>
        <v>0.24646935318658869</v>
      </c>
      <c r="U130" s="51">
        <f t="shared" si="40"/>
        <v>0.24746648985290332</v>
      </c>
      <c r="V130" s="51">
        <f t="shared" si="40"/>
        <v>0.2483912891316562</v>
      </c>
      <c r="W130" s="51">
        <f t="shared" si="40"/>
        <v>0.24935953947082146</v>
      </c>
      <c r="X130" s="51">
        <f t="shared" si="40"/>
        <v>0.25024623651230637</v>
      </c>
      <c r="Y130" s="51">
        <f t="shared" si="40"/>
        <v>5.0049247302461453</v>
      </c>
    </row>
    <row r="131" spans="3:25">
      <c r="C131" s="18" t="s">
        <v>74</v>
      </c>
      <c r="E131" s="51">
        <f t="shared" si="40"/>
        <v>1.4370287527948555E-2</v>
      </c>
      <c r="F131" s="51">
        <f t="shared" si="40"/>
        <v>1.4304184205319537E-2</v>
      </c>
      <c r="G131" s="51">
        <f t="shared" si="40"/>
        <v>1.4238384957974581E-2</v>
      </c>
      <c r="H131" s="51">
        <f t="shared" si="40"/>
        <v>1.43716493872037E-2</v>
      </c>
      <c r="I131" s="51">
        <f t="shared" si="40"/>
        <v>1.471005780082546E-2</v>
      </c>
      <c r="J131" s="51">
        <f t="shared" si="40"/>
        <v>1.4977383559878099E-2</v>
      </c>
      <c r="K131" s="51">
        <f t="shared" si="40"/>
        <v>1.511767523954477E-2</v>
      </c>
      <c r="L131" s="51">
        <f t="shared" si="40"/>
        <v>1.5262655508426981E-2</v>
      </c>
      <c r="M131" s="51">
        <f t="shared" si="40"/>
        <v>1.5391738323878634E-2</v>
      </c>
      <c r="N131" s="51">
        <f t="shared" si="40"/>
        <v>1.549132134209108E-2</v>
      </c>
      <c r="O131" s="51">
        <f t="shared" si="40"/>
        <v>1.558966943250617E-2</v>
      </c>
      <c r="P131" s="51">
        <f t="shared" si="40"/>
        <v>1.5683423492779625E-2</v>
      </c>
      <c r="Q131" s="51">
        <f t="shared" si="40"/>
        <v>1.5823122943639412E-2</v>
      </c>
      <c r="R131" s="51">
        <f t="shared" si="40"/>
        <v>1.599884198521373E-2</v>
      </c>
      <c r="S131" s="51">
        <f t="shared" si="40"/>
        <v>1.61883489535386E-2</v>
      </c>
      <c r="T131" s="51">
        <f t="shared" si="40"/>
        <v>1.6488542910537696E-2</v>
      </c>
      <c r="U131" s="51">
        <f t="shared" si="40"/>
        <v>1.6835886298923519E-2</v>
      </c>
      <c r="V131" s="51">
        <f t="shared" si="40"/>
        <v>1.7139159315242125E-2</v>
      </c>
      <c r="W131" s="51">
        <f t="shared" si="40"/>
        <v>1.7438379598334386E-2</v>
      </c>
      <c r="X131" s="51">
        <f t="shared" si="40"/>
        <v>1.7724335034586147E-2</v>
      </c>
      <c r="Y131" s="51">
        <f t="shared" si="40"/>
        <v>0.35448670069172294</v>
      </c>
    </row>
    <row r="132" spans="3:25">
      <c r="C132" s="18" t="s">
        <v>77</v>
      </c>
      <c r="E132" s="51">
        <f t="shared" si="40"/>
        <v>0</v>
      </c>
      <c r="F132" s="51">
        <f t="shared" si="40"/>
        <v>0</v>
      </c>
      <c r="G132" s="51">
        <f t="shared" si="40"/>
        <v>0</v>
      </c>
      <c r="H132" s="51">
        <f t="shared" si="40"/>
        <v>0</v>
      </c>
      <c r="I132" s="51">
        <f t="shared" si="40"/>
        <v>0</v>
      </c>
      <c r="J132" s="51">
        <f t="shared" si="40"/>
        <v>0</v>
      </c>
      <c r="K132" s="51">
        <f t="shared" si="40"/>
        <v>0</v>
      </c>
      <c r="L132" s="51">
        <f t="shared" si="40"/>
        <v>0</v>
      </c>
      <c r="M132" s="51">
        <f t="shared" si="40"/>
        <v>0</v>
      </c>
      <c r="N132" s="51">
        <f t="shared" si="40"/>
        <v>0</v>
      </c>
      <c r="O132" s="51">
        <f t="shared" si="40"/>
        <v>0</v>
      </c>
      <c r="P132" s="51">
        <f t="shared" si="40"/>
        <v>0</v>
      </c>
      <c r="Q132" s="51">
        <f t="shared" si="40"/>
        <v>0</v>
      </c>
      <c r="R132" s="51">
        <f t="shared" si="40"/>
        <v>0</v>
      </c>
      <c r="S132" s="51">
        <f t="shared" si="40"/>
        <v>0</v>
      </c>
      <c r="T132" s="51">
        <f t="shared" si="40"/>
        <v>0</v>
      </c>
      <c r="U132" s="51">
        <f t="shared" si="40"/>
        <v>0</v>
      </c>
      <c r="V132" s="51">
        <f t="shared" si="40"/>
        <v>0</v>
      </c>
      <c r="W132" s="51">
        <f t="shared" si="40"/>
        <v>0</v>
      </c>
      <c r="X132" s="51">
        <f t="shared" si="40"/>
        <v>0</v>
      </c>
      <c r="Y132" s="51">
        <f t="shared" si="40"/>
        <v>0</v>
      </c>
    </row>
    <row r="133" spans="3:25">
      <c r="C133" s="18" t="s">
        <v>80</v>
      </c>
      <c r="E133" s="51">
        <f t="shared" si="40"/>
        <v>0</v>
      </c>
      <c r="F133" s="51">
        <f t="shared" si="40"/>
        <v>0</v>
      </c>
      <c r="G133" s="51">
        <f t="shared" si="40"/>
        <v>0</v>
      </c>
      <c r="H133" s="51">
        <f t="shared" si="40"/>
        <v>0</v>
      </c>
      <c r="I133" s="51">
        <f t="shared" si="40"/>
        <v>0</v>
      </c>
      <c r="J133" s="51">
        <f t="shared" si="40"/>
        <v>0</v>
      </c>
      <c r="K133" s="51">
        <f t="shared" si="40"/>
        <v>0</v>
      </c>
      <c r="L133" s="51">
        <f t="shared" si="40"/>
        <v>0</v>
      </c>
      <c r="M133" s="51">
        <f t="shared" si="40"/>
        <v>0</v>
      </c>
      <c r="N133" s="51">
        <f t="shared" si="40"/>
        <v>0</v>
      </c>
      <c r="O133" s="51">
        <f t="shared" si="40"/>
        <v>0</v>
      </c>
      <c r="P133" s="51">
        <f t="shared" si="40"/>
        <v>0</v>
      </c>
      <c r="Q133" s="51">
        <f t="shared" si="40"/>
        <v>0</v>
      </c>
      <c r="R133" s="51">
        <f t="shared" si="40"/>
        <v>0</v>
      </c>
      <c r="S133" s="51">
        <f t="shared" si="40"/>
        <v>0</v>
      </c>
      <c r="T133" s="51">
        <f t="shared" si="40"/>
        <v>0</v>
      </c>
      <c r="U133" s="51">
        <f t="shared" si="40"/>
        <v>0</v>
      </c>
      <c r="V133" s="51">
        <f t="shared" si="40"/>
        <v>0</v>
      </c>
      <c r="W133" s="51">
        <f t="shared" si="40"/>
        <v>0</v>
      </c>
      <c r="X133" s="51">
        <f t="shared" si="40"/>
        <v>0</v>
      </c>
      <c r="Y133" s="51">
        <f t="shared" si="40"/>
        <v>0</v>
      </c>
    </row>
    <row r="134" spans="3:25">
      <c r="C134" s="18" t="s">
        <v>83</v>
      </c>
      <c r="E134" s="51">
        <f t="shared" si="40"/>
        <v>0</v>
      </c>
      <c r="F134" s="51">
        <f t="shared" si="40"/>
        <v>0</v>
      </c>
      <c r="G134" s="51">
        <f t="shared" si="40"/>
        <v>0</v>
      </c>
      <c r="H134" s="51">
        <f t="shared" si="40"/>
        <v>0</v>
      </c>
      <c r="I134" s="51">
        <f t="shared" si="40"/>
        <v>0</v>
      </c>
      <c r="J134" s="51">
        <f t="shared" si="40"/>
        <v>0</v>
      </c>
      <c r="K134" s="51">
        <f t="shared" si="40"/>
        <v>0</v>
      </c>
      <c r="L134" s="51">
        <f t="shared" si="40"/>
        <v>0</v>
      </c>
      <c r="M134" s="51">
        <f t="shared" si="40"/>
        <v>0</v>
      </c>
      <c r="N134" s="51">
        <f t="shared" si="40"/>
        <v>0</v>
      </c>
      <c r="O134" s="51">
        <f t="shared" si="40"/>
        <v>0</v>
      </c>
      <c r="P134" s="51">
        <f t="shared" si="40"/>
        <v>0</v>
      </c>
      <c r="Q134" s="51">
        <f t="shared" si="40"/>
        <v>0</v>
      </c>
      <c r="R134" s="51">
        <f t="shared" si="40"/>
        <v>0</v>
      </c>
      <c r="S134" s="51">
        <f t="shared" si="40"/>
        <v>0</v>
      </c>
      <c r="T134" s="51">
        <f t="shared" si="40"/>
        <v>0</v>
      </c>
      <c r="U134" s="51">
        <f t="shared" si="40"/>
        <v>0</v>
      </c>
      <c r="V134" s="51">
        <f t="shared" si="40"/>
        <v>0</v>
      </c>
      <c r="W134" s="51">
        <f t="shared" si="40"/>
        <v>0</v>
      </c>
      <c r="X134" s="51">
        <f t="shared" si="40"/>
        <v>0</v>
      </c>
      <c r="Y134" s="51">
        <f t="shared" si="40"/>
        <v>0</v>
      </c>
    </row>
    <row r="135" spans="3:25">
      <c r="C135" s="18" t="s">
        <v>86</v>
      </c>
      <c r="E135" s="51">
        <f t="shared" si="40"/>
        <v>0</v>
      </c>
      <c r="F135" s="51">
        <f t="shared" si="40"/>
        <v>0</v>
      </c>
      <c r="G135" s="51">
        <f t="shared" si="40"/>
        <v>0</v>
      </c>
      <c r="H135" s="51">
        <f t="shared" ref="H135:Y135" si="41">H98-H97</f>
        <v>0</v>
      </c>
      <c r="I135" s="51">
        <f t="shared" si="41"/>
        <v>0</v>
      </c>
      <c r="J135" s="51">
        <f t="shared" si="41"/>
        <v>0</v>
      </c>
      <c r="K135" s="51">
        <f t="shared" si="41"/>
        <v>0</v>
      </c>
      <c r="L135" s="51">
        <f t="shared" si="41"/>
        <v>0</v>
      </c>
      <c r="M135" s="51">
        <f t="shared" si="41"/>
        <v>0</v>
      </c>
      <c r="N135" s="51">
        <f t="shared" si="41"/>
        <v>0</v>
      </c>
      <c r="O135" s="51">
        <f t="shared" si="41"/>
        <v>0</v>
      </c>
      <c r="P135" s="51">
        <f t="shared" si="41"/>
        <v>0</v>
      </c>
      <c r="Q135" s="51">
        <f t="shared" si="41"/>
        <v>0</v>
      </c>
      <c r="R135" s="51">
        <f t="shared" si="41"/>
        <v>0</v>
      </c>
      <c r="S135" s="51">
        <f t="shared" si="41"/>
        <v>0</v>
      </c>
      <c r="T135" s="51">
        <f t="shared" si="41"/>
        <v>0</v>
      </c>
      <c r="U135" s="51">
        <f t="shared" si="41"/>
        <v>0</v>
      </c>
      <c r="V135" s="51">
        <f t="shared" si="41"/>
        <v>0</v>
      </c>
      <c r="W135" s="51">
        <f t="shared" si="41"/>
        <v>0</v>
      </c>
      <c r="X135" s="51">
        <f t="shared" si="41"/>
        <v>0</v>
      </c>
      <c r="Y135" s="51">
        <f t="shared" si="41"/>
        <v>0</v>
      </c>
    </row>
    <row r="136" spans="3:25">
      <c r="C136" s="18" t="s">
        <v>89</v>
      </c>
      <c r="E136" s="51">
        <f t="shared" ref="E136:Y148" si="42">E99-E98</f>
        <v>0.19540151784530657</v>
      </c>
      <c r="F136" s="51">
        <f t="shared" si="42"/>
        <v>0.19450267086321915</v>
      </c>
      <c r="G136" s="51">
        <f t="shared" si="42"/>
        <v>0.19360795857724789</v>
      </c>
      <c r="H136" s="51">
        <f t="shared" si="42"/>
        <v>0.19305092505040156</v>
      </c>
      <c r="I136" s="51">
        <f t="shared" si="42"/>
        <v>0.19283734575540024</v>
      </c>
      <c r="J136" s="51">
        <f t="shared" si="42"/>
        <v>0.19251270623799011</v>
      </c>
      <c r="K136" s="51">
        <f t="shared" si="42"/>
        <v>0.19197671018184703</v>
      </c>
      <c r="L136" s="51">
        <f t="shared" si="42"/>
        <v>0.19145135513822087</v>
      </c>
      <c r="M136" s="51">
        <f t="shared" si="42"/>
        <v>0.19090371572530707</v>
      </c>
      <c r="N136" s="51">
        <f t="shared" si="42"/>
        <v>0.19031128180223655</v>
      </c>
      <c r="O136" s="51">
        <f t="shared" si="42"/>
        <v>0.18972367500543763</v>
      </c>
      <c r="P136" s="51">
        <f t="shared" si="42"/>
        <v>0.18913105776727246</v>
      </c>
      <c r="Q136" s="51">
        <f t="shared" si="42"/>
        <v>0.18861756521204498</v>
      </c>
      <c r="R136" s="51">
        <f t="shared" si="42"/>
        <v>0.18816589798842909</v>
      </c>
      <c r="S136" s="51">
        <f t="shared" si="42"/>
        <v>0.18773974200721799</v>
      </c>
      <c r="T136" s="51">
        <f t="shared" si="42"/>
        <v>0.18750691292039612</v>
      </c>
      <c r="U136" s="51">
        <f t="shared" si="42"/>
        <v>0.18735407901396695</v>
      </c>
      <c r="V136" s="51">
        <f t="shared" si="42"/>
        <v>0.18713222890322401</v>
      </c>
      <c r="W136" s="51">
        <f t="shared" si="42"/>
        <v>0.18690528103423576</v>
      </c>
      <c r="X136" s="51">
        <f t="shared" si="42"/>
        <v>0.1866594637666994</v>
      </c>
      <c r="Y136" s="51">
        <f t="shared" si="42"/>
        <v>3.7331892753339844</v>
      </c>
    </row>
    <row r="137" spans="3:25">
      <c r="C137" s="18" t="s">
        <v>92</v>
      </c>
      <c r="E137" s="51">
        <f t="shared" si="42"/>
        <v>0</v>
      </c>
      <c r="F137" s="51">
        <f t="shared" si="42"/>
        <v>0</v>
      </c>
      <c r="G137" s="51">
        <f t="shared" si="42"/>
        <v>0</v>
      </c>
      <c r="H137" s="51">
        <f t="shared" si="42"/>
        <v>0</v>
      </c>
      <c r="I137" s="51">
        <f t="shared" si="42"/>
        <v>0</v>
      </c>
      <c r="J137" s="51">
        <f t="shared" si="42"/>
        <v>0</v>
      </c>
      <c r="K137" s="51">
        <f t="shared" si="42"/>
        <v>0</v>
      </c>
      <c r="L137" s="51">
        <f t="shared" si="42"/>
        <v>0</v>
      </c>
      <c r="M137" s="51">
        <f t="shared" si="42"/>
        <v>0</v>
      </c>
      <c r="N137" s="51">
        <f t="shared" si="42"/>
        <v>0</v>
      </c>
      <c r="O137" s="51">
        <f t="shared" si="42"/>
        <v>0</v>
      </c>
      <c r="P137" s="51">
        <f t="shared" si="42"/>
        <v>0</v>
      </c>
      <c r="Q137" s="51">
        <f t="shared" si="42"/>
        <v>0</v>
      </c>
      <c r="R137" s="51">
        <f t="shared" si="42"/>
        <v>0</v>
      </c>
      <c r="S137" s="51">
        <f t="shared" si="42"/>
        <v>0</v>
      </c>
      <c r="T137" s="51">
        <f t="shared" si="42"/>
        <v>0</v>
      </c>
      <c r="U137" s="51">
        <f t="shared" si="42"/>
        <v>0</v>
      </c>
      <c r="V137" s="51">
        <f t="shared" si="42"/>
        <v>0</v>
      </c>
      <c r="W137" s="51">
        <f t="shared" si="42"/>
        <v>0</v>
      </c>
      <c r="X137" s="51">
        <f t="shared" si="42"/>
        <v>0</v>
      </c>
      <c r="Y137" s="51">
        <f t="shared" si="42"/>
        <v>0</v>
      </c>
    </row>
    <row r="138" spans="3:25">
      <c r="C138" s="18" t="s">
        <v>95</v>
      </c>
      <c r="E138" s="51">
        <f t="shared" si="42"/>
        <v>1.7962143814552078E-2</v>
      </c>
      <c r="F138" s="51">
        <f t="shared" si="42"/>
        <v>1.7908257383107973E-2</v>
      </c>
      <c r="G138" s="51">
        <f t="shared" si="42"/>
        <v>1.7854532610958707E-2</v>
      </c>
      <c r="H138" s="51">
        <f t="shared" si="42"/>
        <v>1.7954377825596612E-2</v>
      </c>
      <c r="I138" s="51">
        <f t="shared" si="42"/>
        <v>1.8063151097735819E-2</v>
      </c>
      <c r="J138" s="51">
        <f t="shared" si="42"/>
        <v>1.8128659819460324E-2</v>
      </c>
      <c r="K138" s="51">
        <f t="shared" si="42"/>
        <v>1.8196998579095514E-2</v>
      </c>
      <c r="L138" s="51">
        <f t="shared" si="42"/>
        <v>1.8286394156972641E-2</v>
      </c>
      <c r="M138" s="51">
        <f t="shared" si="42"/>
        <v>1.837026958276855E-2</v>
      </c>
      <c r="N138" s="51">
        <f t="shared" si="42"/>
        <v>1.8422920793038422E-2</v>
      </c>
      <c r="O138" s="51">
        <f t="shared" si="42"/>
        <v>1.8514370767089616E-2</v>
      </c>
      <c r="P138" s="51">
        <f t="shared" si="42"/>
        <v>1.8587911494996945E-2</v>
      </c>
      <c r="Q138" s="51">
        <f t="shared" si="42"/>
        <v>1.8655197974545956E-2</v>
      </c>
      <c r="R138" s="51">
        <f t="shared" si="42"/>
        <v>1.8739941843623598E-2</v>
      </c>
      <c r="S138" s="51">
        <f t="shared" si="42"/>
        <v>1.8824635499243403E-2</v>
      </c>
      <c r="T138" s="51">
        <f t="shared" si="42"/>
        <v>1.8919289943856832E-2</v>
      </c>
      <c r="U138" s="51">
        <f t="shared" si="42"/>
        <v>1.9025822799394909E-2</v>
      </c>
      <c r="V138" s="51">
        <f t="shared" si="42"/>
        <v>1.9122651886209319E-2</v>
      </c>
      <c r="W138" s="51">
        <f t="shared" si="42"/>
        <v>1.9236255015800729E-2</v>
      </c>
      <c r="X138" s="51">
        <f t="shared" si="42"/>
        <v>1.9341050741922494E-2</v>
      </c>
      <c r="Y138" s="51">
        <f t="shared" si="42"/>
        <v>0.38682101483843212</v>
      </c>
    </row>
    <row r="139" spans="3:25">
      <c r="C139" s="18" t="s">
        <v>98</v>
      </c>
      <c r="E139" s="51">
        <f t="shared" si="42"/>
        <v>0</v>
      </c>
      <c r="F139" s="51">
        <f t="shared" si="42"/>
        <v>0</v>
      </c>
      <c r="G139" s="51">
        <f t="shared" si="42"/>
        <v>0</v>
      </c>
      <c r="H139" s="51">
        <f t="shared" si="42"/>
        <v>0</v>
      </c>
      <c r="I139" s="51">
        <f t="shared" si="42"/>
        <v>0</v>
      </c>
      <c r="J139" s="51">
        <f t="shared" si="42"/>
        <v>0</v>
      </c>
      <c r="K139" s="51">
        <f t="shared" si="42"/>
        <v>0</v>
      </c>
      <c r="L139" s="51">
        <f t="shared" si="42"/>
        <v>0</v>
      </c>
      <c r="M139" s="51">
        <f t="shared" si="42"/>
        <v>0</v>
      </c>
      <c r="N139" s="51">
        <f t="shared" si="42"/>
        <v>0</v>
      </c>
      <c r="O139" s="51">
        <f t="shared" si="42"/>
        <v>0</v>
      </c>
      <c r="P139" s="51">
        <f t="shared" si="42"/>
        <v>0</v>
      </c>
      <c r="Q139" s="51">
        <f t="shared" si="42"/>
        <v>0</v>
      </c>
      <c r="R139" s="51">
        <f t="shared" si="42"/>
        <v>0</v>
      </c>
      <c r="S139" s="51">
        <f t="shared" si="42"/>
        <v>0</v>
      </c>
      <c r="T139" s="51">
        <f t="shared" si="42"/>
        <v>0</v>
      </c>
      <c r="U139" s="51">
        <f t="shared" si="42"/>
        <v>0</v>
      </c>
      <c r="V139" s="51">
        <f t="shared" si="42"/>
        <v>0</v>
      </c>
      <c r="W139" s="51">
        <f t="shared" si="42"/>
        <v>0</v>
      </c>
      <c r="X139" s="51">
        <f t="shared" si="42"/>
        <v>0</v>
      </c>
      <c r="Y139" s="51">
        <f t="shared" si="42"/>
        <v>0</v>
      </c>
    </row>
    <row r="140" spans="3:25">
      <c r="C140" s="18" t="s">
        <v>101</v>
      </c>
      <c r="E140" s="51">
        <f t="shared" si="42"/>
        <v>0</v>
      </c>
      <c r="F140" s="51">
        <f t="shared" si="42"/>
        <v>0</v>
      </c>
      <c r="G140" s="51">
        <f t="shared" si="42"/>
        <v>0</v>
      </c>
      <c r="H140" s="51">
        <f t="shared" si="42"/>
        <v>0</v>
      </c>
      <c r="I140" s="51">
        <f t="shared" si="42"/>
        <v>0</v>
      </c>
      <c r="J140" s="51">
        <f t="shared" si="42"/>
        <v>0</v>
      </c>
      <c r="K140" s="51">
        <f t="shared" si="42"/>
        <v>0</v>
      </c>
      <c r="L140" s="51">
        <f t="shared" si="42"/>
        <v>0</v>
      </c>
      <c r="M140" s="51">
        <f t="shared" si="42"/>
        <v>0</v>
      </c>
      <c r="N140" s="51">
        <f t="shared" si="42"/>
        <v>0</v>
      </c>
      <c r="O140" s="51">
        <f t="shared" si="42"/>
        <v>0</v>
      </c>
      <c r="P140" s="51">
        <f t="shared" si="42"/>
        <v>0</v>
      </c>
      <c r="Q140" s="51">
        <f t="shared" si="42"/>
        <v>0</v>
      </c>
      <c r="R140" s="51">
        <f t="shared" si="42"/>
        <v>0</v>
      </c>
      <c r="S140" s="51">
        <f t="shared" si="42"/>
        <v>0</v>
      </c>
      <c r="T140" s="51">
        <f t="shared" si="42"/>
        <v>0</v>
      </c>
      <c r="U140" s="51">
        <f t="shared" si="42"/>
        <v>0</v>
      </c>
      <c r="V140" s="51">
        <f t="shared" si="42"/>
        <v>0</v>
      </c>
      <c r="W140" s="51">
        <f t="shared" si="42"/>
        <v>0</v>
      </c>
      <c r="X140" s="51">
        <f t="shared" si="42"/>
        <v>0</v>
      </c>
      <c r="Y140" s="51">
        <f t="shared" si="42"/>
        <v>0</v>
      </c>
    </row>
    <row r="141" spans="3:25">
      <c r="C141" s="18" t="s">
        <v>104</v>
      </c>
      <c r="E141" s="51">
        <f t="shared" si="42"/>
        <v>0</v>
      </c>
      <c r="F141" s="51">
        <f t="shared" si="42"/>
        <v>0</v>
      </c>
      <c r="G141" s="51">
        <f t="shared" si="42"/>
        <v>0</v>
      </c>
      <c r="H141" s="51">
        <f t="shared" si="42"/>
        <v>0</v>
      </c>
      <c r="I141" s="51">
        <f t="shared" si="42"/>
        <v>0</v>
      </c>
      <c r="J141" s="51">
        <f t="shared" si="42"/>
        <v>0</v>
      </c>
      <c r="K141" s="51">
        <f t="shared" si="42"/>
        <v>0</v>
      </c>
      <c r="L141" s="51">
        <f t="shared" si="42"/>
        <v>0</v>
      </c>
      <c r="M141" s="51">
        <f t="shared" si="42"/>
        <v>0</v>
      </c>
      <c r="N141" s="51">
        <f t="shared" si="42"/>
        <v>0</v>
      </c>
      <c r="O141" s="51">
        <f t="shared" si="42"/>
        <v>0</v>
      </c>
      <c r="P141" s="51">
        <f t="shared" si="42"/>
        <v>0</v>
      </c>
      <c r="Q141" s="51">
        <f t="shared" si="42"/>
        <v>0</v>
      </c>
      <c r="R141" s="51">
        <f t="shared" si="42"/>
        <v>0</v>
      </c>
      <c r="S141" s="51">
        <f t="shared" si="42"/>
        <v>0</v>
      </c>
      <c r="T141" s="51">
        <f t="shared" si="42"/>
        <v>0</v>
      </c>
      <c r="U141" s="51">
        <f t="shared" si="42"/>
        <v>0</v>
      </c>
      <c r="V141" s="51">
        <f t="shared" si="42"/>
        <v>0</v>
      </c>
      <c r="W141" s="51">
        <f t="shared" si="42"/>
        <v>0</v>
      </c>
      <c r="X141" s="51">
        <f t="shared" si="42"/>
        <v>0</v>
      </c>
      <c r="Y141" s="51">
        <f t="shared" si="42"/>
        <v>0</v>
      </c>
    </row>
    <row r="142" spans="3:25">
      <c r="C142" s="18" t="s">
        <v>107</v>
      </c>
      <c r="E142" s="51">
        <f t="shared" si="42"/>
        <v>0</v>
      </c>
      <c r="F142" s="51">
        <f t="shared" si="42"/>
        <v>0</v>
      </c>
      <c r="G142" s="51">
        <f t="shared" si="42"/>
        <v>0</v>
      </c>
      <c r="H142" s="51">
        <f t="shared" si="42"/>
        <v>0</v>
      </c>
      <c r="I142" s="51">
        <f t="shared" si="42"/>
        <v>0</v>
      </c>
      <c r="J142" s="51">
        <f t="shared" si="42"/>
        <v>0</v>
      </c>
      <c r="K142" s="51">
        <f t="shared" si="42"/>
        <v>0</v>
      </c>
      <c r="L142" s="51">
        <f t="shared" si="42"/>
        <v>0</v>
      </c>
      <c r="M142" s="51">
        <f t="shared" si="42"/>
        <v>0</v>
      </c>
      <c r="N142" s="51">
        <f t="shared" si="42"/>
        <v>0</v>
      </c>
      <c r="O142" s="51">
        <f t="shared" si="42"/>
        <v>0</v>
      </c>
      <c r="P142" s="51">
        <f t="shared" si="42"/>
        <v>0</v>
      </c>
      <c r="Q142" s="51">
        <f t="shared" si="42"/>
        <v>0</v>
      </c>
      <c r="R142" s="51">
        <f t="shared" si="42"/>
        <v>0</v>
      </c>
      <c r="S142" s="51">
        <f t="shared" si="42"/>
        <v>0</v>
      </c>
      <c r="T142" s="51">
        <f t="shared" si="42"/>
        <v>0</v>
      </c>
      <c r="U142" s="51">
        <f t="shared" si="42"/>
        <v>0</v>
      </c>
      <c r="V142" s="51">
        <f t="shared" si="42"/>
        <v>0</v>
      </c>
      <c r="W142" s="51">
        <f t="shared" si="42"/>
        <v>0</v>
      </c>
      <c r="X142" s="51">
        <f t="shared" si="42"/>
        <v>0</v>
      </c>
      <c r="Y142" s="51">
        <f t="shared" si="42"/>
        <v>0</v>
      </c>
    </row>
    <row r="143" spans="3:25">
      <c r="C143" s="18" t="s">
        <v>110</v>
      </c>
      <c r="E143" s="51">
        <f t="shared" si="42"/>
        <v>0</v>
      </c>
      <c r="F143" s="51">
        <f t="shared" si="42"/>
        <v>0</v>
      </c>
      <c r="G143" s="51">
        <f t="shared" si="42"/>
        <v>0</v>
      </c>
      <c r="H143" s="51">
        <f t="shared" si="42"/>
        <v>0</v>
      </c>
      <c r="I143" s="51">
        <f t="shared" si="42"/>
        <v>0</v>
      </c>
      <c r="J143" s="51">
        <f t="shared" si="42"/>
        <v>0</v>
      </c>
      <c r="K143" s="51">
        <f t="shared" si="42"/>
        <v>0</v>
      </c>
      <c r="L143" s="51">
        <f t="shared" si="42"/>
        <v>0</v>
      </c>
      <c r="M143" s="51">
        <f t="shared" si="42"/>
        <v>0</v>
      </c>
      <c r="N143" s="51">
        <f t="shared" si="42"/>
        <v>0</v>
      </c>
      <c r="O143" s="51">
        <f t="shared" si="42"/>
        <v>0</v>
      </c>
      <c r="P143" s="51">
        <f t="shared" si="42"/>
        <v>0</v>
      </c>
      <c r="Q143" s="51">
        <f t="shared" si="42"/>
        <v>0</v>
      </c>
      <c r="R143" s="51">
        <f t="shared" si="42"/>
        <v>0</v>
      </c>
      <c r="S143" s="51">
        <f t="shared" si="42"/>
        <v>0</v>
      </c>
      <c r="T143" s="51">
        <f t="shared" si="42"/>
        <v>0</v>
      </c>
      <c r="U143" s="51">
        <f t="shared" si="42"/>
        <v>0</v>
      </c>
      <c r="V143" s="51">
        <f t="shared" si="42"/>
        <v>0</v>
      </c>
      <c r="W143" s="51">
        <f t="shared" si="42"/>
        <v>0</v>
      </c>
      <c r="X143" s="51">
        <f t="shared" si="42"/>
        <v>0</v>
      </c>
      <c r="Y143" s="51">
        <f t="shared" si="42"/>
        <v>0</v>
      </c>
    </row>
    <row r="144" spans="3:25">
      <c r="C144" s="18" t="s">
        <v>113</v>
      </c>
      <c r="E144" s="51">
        <f t="shared" si="42"/>
        <v>0</v>
      </c>
      <c r="F144" s="51">
        <f t="shared" si="42"/>
        <v>0</v>
      </c>
      <c r="G144" s="51">
        <f t="shared" si="42"/>
        <v>0</v>
      </c>
      <c r="H144" s="51">
        <f t="shared" si="42"/>
        <v>0</v>
      </c>
      <c r="I144" s="51">
        <f t="shared" si="42"/>
        <v>0</v>
      </c>
      <c r="J144" s="51">
        <f t="shared" si="42"/>
        <v>0</v>
      </c>
      <c r="K144" s="51">
        <f t="shared" si="42"/>
        <v>0</v>
      </c>
      <c r="L144" s="51">
        <f t="shared" si="42"/>
        <v>0</v>
      </c>
      <c r="M144" s="51">
        <f t="shared" si="42"/>
        <v>0</v>
      </c>
      <c r="N144" s="51">
        <f t="shared" si="42"/>
        <v>0</v>
      </c>
      <c r="O144" s="51">
        <f t="shared" si="42"/>
        <v>0</v>
      </c>
      <c r="P144" s="51">
        <f t="shared" si="42"/>
        <v>0</v>
      </c>
      <c r="Q144" s="51">
        <f t="shared" si="42"/>
        <v>0</v>
      </c>
      <c r="R144" s="51">
        <f t="shared" si="42"/>
        <v>0</v>
      </c>
      <c r="S144" s="51">
        <f t="shared" si="42"/>
        <v>0</v>
      </c>
      <c r="T144" s="51">
        <f t="shared" si="42"/>
        <v>0</v>
      </c>
      <c r="U144" s="51">
        <f t="shared" si="42"/>
        <v>0</v>
      </c>
      <c r="V144" s="51">
        <f t="shared" si="42"/>
        <v>0</v>
      </c>
      <c r="W144" s="51">
        <f t="shared" si="42"/>
        <v>0</v>
      </c>
      <c r="X144" s="51">
        <f t="shared" si="42"/>
        <v>0</v>
      </c>
      <c r="Y144" s="51">
        <f t="shared" si="42"/>
        <v>0</v>
      </c>
    </row>
    <row r="145" spans="3:25">
      <c r="C145" s="18" t="s">
        <v>116</v>
      </c>
      <c r="E145" s="51">
        <f t="shared" si="42"/>
        <v>0</v>
      </c>
      <c r="F145" s="51">
        <f t="shared" si="42"/>
        <v>0</v>
      </c>
      <c r="G145" s="51">
        <f t="shared" si="42"/>
        <v>0</v>
      </c>
      <c r="H145" s="51">
        <f t="shared" si="42"/>
        <v>0</v>
      </c>
      <c r="I145" s="51">
        <f t="shared" si="42"/>
        <v>0</v>
      </c>
      <c r="J145" s="51">
        <f t="shared" si="42"/>
        <v>0</v>
      </c>
      <c r="K145" s="51">
        <f t="shared" si="42"/>
        <v>0</v>
      </c>
      <c r="L145" s="51">
        <f t="shared" si="42"/>
        <v>0</v>
      </c>
      <c r="M145" s="51">
        <f t="shared" si="42"/>
        <v>0</v>
      </c>
      <c r="N145" s="51">
        <f t="shared" si="42"/>
        <v>0</v>
      </c>
      <c r="O145" s="51">
        <f t="shared" si="42"/>
        <v>0</v>
      </c>
      <c r="P145" s="51">
        <f t="shared" si="42"/>
        <v>0</v>
      </c>
      <c r="Q145" s="51">
        <f t="shared" si="42"/>
        <v>0</v>
      </c>
      <c r="R145" s="51">
        <f t="shared" si="42"/>
        <v>0</v>
      </c>
      <c r="S145" s="51">
        <f t="shared" si="42"/>
        <v>0</v>
      </c>
      <c r="T145" s="51">
        <f t="shared" si="42"/>
        <v>0</v>
      </c>
      <c r="U145" s="51">
        <f t="shared" si="42"/>
        <v>0</v>
      </c>
      <c r="V145" s="51">
        <f t="shared" si="42"/>
        <v>0</v>
      </c>
      <c r="W145" s="51">
        <f t="shared" si="42"/>
        <v>0</v>
      </c>
      <c r="X145" s="51">
        <f t="shared" si="42"/>
        <v>0</v>
      </c>
      <c r="Y145" s="51">
        <f t="shared" si="42"/>
        <v>0</v>
      </c>
    </row>
    <row r="146" spans="3:25">
      <c r="C146" s="18" t="s">
        <v>119</v>
      </c>
      <c r="E146" s="51">
        <f t="shared" si="42"/>
        <v>0</v>
      </c>
      <c r="F146" s="51">
        <f t="shared" si="42"/>
        <v>0</v>
      </c>
      <c r="G146" s="51">
        <f t="shared" si="42"/>
        <v>0</v>
      </c>
      <c r="H146" s="51">
        <f t="shared" si="42"/>
        <v>0</v>
      </c>
      <c r="I146" s="51">
        <f t="shared" si="42"/>
        <v>0</v>
      </c>
      <c r="J146" s="51">
        <f t="shared" si="42"/>
        <v>0</v>
      </c>
      <c r="K146" s="51">
        <f t="shared" si="42"/>
        <v>0</v>
      </c>
      <c r="L146" s="51">
        <f t="shared" si="42"/>
        <v>0</v>
      </c>
      <c r="M146" s="51">
        <f t="shared" si="42"/>
        <v>0</v>
      </c>
      <c r="N146" s="51">
        <f t="shared" si="42"/>
        <v>0</v>
      </c>
      <c r="O146" s="51">
        <f t="shared" si="42"/>
        <v>0</v>
      </c>
      <c r="P146" s="51">
        <f t="shared" si="42"/>
        <v>0</v>
      </c>
      <c r="Q146" s="51">
        <f t="shared" si="42"/>
        <v>0</v>
      </c>
      <c r="R146" s="51">
        <f t="shared" si="42"/>
        <v>0</v>
      </c>
      <c r="S146" s="51">
        <f t="shared" si="42"/>
        <v>0</v>
      </c>
      <c r="T146" s="51">
        <f t="shared" si="42"/>
        <v>0</v>
      </c>
      <c r="U146" s="51">
        <f t="shared" si="42"/>
        <v>0</v>
      </c>
      <c r="V146" s="51">
        <f t="shared" si="42"/>
        <v>0</v>
      </c>
      <c r="W146" s="51">
        <f t="shared" si="42"/>
        <v>0</v>
      </c>
      <c r="X146" s="51">
        <f t="shared" si="42"/>
        <v>0</v>
      </c>
      <c r="Y146" s="51">
        <f t="shared" si="42"/>
        <v>0</v>
      </c>
    </row>
    <row r="147" spans="3:25">
      <c r="C147" s="18" t="s">
        <v>122</v>
      </c>
      <c r="E147" s="51">
        <f t="shared" si="42"/>
        <v>0</v>
      </c>
      <c r="F147" s="51">
        <f t="shared" si="42"/>
        <v>0</v>
      </c>
      <c r="G147" s="51">
        <f t="shared" si="42"/>
        <v>0</v>
      </c>
      <c r="H147" s="51">
        <f t="shared" si="42"/>
        <v>0</v>
      </c>
      <c r="I147" s="51">
        <f t="shared" si="42"/>
        <v>0</v>
      </c>
      <c r="J147" s="51">
        <f t="shared" si="42"/>
        <v>0</v>
      </c>
      <c r="K147" s="51">
        <f t="shared" si="42"/>
        <v>0</v>
      </c>
      <c r="L147" s="51">
        <f t="shared" si="42"/>
        <v>0</v>
      </c>
      <c r="M147" s="51">
        <f t="shared" si="42"/>
        <v>0</v>
      </c>
      <c r="N147" s="51">
        <f t="shared" si="42"/>
        <v>0</v>
      </c>
      <c r="O147" s="51">
        <f t="shared" si="42"/>
        <v>0</v>
      </c>
      <c r="P147" s="51">
        <f t="shared" si="42"/>
        <v>0</v>
      </c>
      <c r="Q147" s="51">
        <f t="shared" si="42"/>
        <v>0</v>
      </c>
      <c r="R147" s="51">
        <f t="shared" si="42"/>
        <v>0</v>
      </c>
      <c r="S147" s="51">
        <f t="shared" si="42"/>
        <v>0</v>
      </c>
      <c r="T147" s="51">
        <f t="shared" si="42"/>
        <v>0</v>
      </c>
      <c r="U147" s="51">
        <f t="shared" si="42"/>
        <v>0</v>
      </c>
      <c r="V147" s="51">
        <f t="shared" si="42"/>
        <v>0</v>
      </c>
      <c r="W147" s="51">
        <f t="shared" si="42"/>
        <v>0</v>
      </c>
      <c r="X147" s="51">
        <f t="shared" si="42"/>
        <v>0</v>
      </c>
      <c r="Y147" s="51">
        <f t="shared" si="42"/>
        <v>0</v>
      </c>
    </row>
    <row r="148" spans="3:25">
      <c r="C148" s="18" t="s">
        <v>125</v>
      </c>
      <c r="E148" s="51">
        <f t="shared" si="42"/>
        <v>0</v>
      </c>
      <c r="F148" s="51">
        <f t="shared" si="42"/>
        <v>0</v>
      </c>
      <c r="G148" s="51">
        <f t="shared" si="42"/>
        <v>0</v>
      </c>
      <c r="H148" s="51">
        <f t="shared" ref="H148:Y148" si="43">H111-H110</f>
        <v>0</v>
      </c>
      <c r="I148" s="51">
        <f t="shared" si="43"/>
        <v>0</v>
      </c>
      <c r="J148" s="51">
        <f t="shared" si="43"/>
        <v>0</v>
      </c>
      <c r="K148" s="51">
        <f t="shared" si="43"/>
        <v>0</v>
      </c>
      <c r="L148" s="51">
        <f t="shared" si="43"/>
        <v>0</v>
      </c>
      <c r="M148" s="51">
        <f t="shared" si="43"/>
        <v>0</v>
      </c>
      <c r="N148" s="51">
        <f t="shared" si="43"/>
        <v>0</v>
      </c>
      <c r="O148" s="51">
        <f t="shared" si="43"/>
        <v>0</v>
      </c>
      <c r="P148" s="51">
        <f t="shared" si="43"/>
        <v>0</v>
      </c>
      <c r="Q148" s="51">
        <f t="shared" si="43"/>
        <v>0</v>
      </c>
      <c r="R148" s="51">
        <f t="shared" si="43"/>
        <v>0</v>
      </c>
      <c r="S148" s="51">
        <f t="shared" si="43"/>
        <v>0</v>
      </c>
      <c r="T148" s="51">
        <f t="shared" si="43"/>
        <v>0</v>
      </c>
      <c r="U148" s="51">
        <f t="shared" si="43"/>
        <v>0</v>
      </c>
      <c r="V148" s="51">
        <f t="shared" si="43"/>
        <v>0</v>
      </c>
      <c r="W148" s="51">
        <f t="shared" si="43"/>
        <v>0</v>
      </c>
      <c r="X148" s="51">
        <f t="shared" si="43"/>
        <v>0</v>
      </c>
      <c r="Y148" s="51">
        <f t="shared" si="43"/>
        <v>0</v>
      </c>
    </row>
    <row r="149" spans="3:25">
      <c r="C149" s="18" t="s">
        <v>128</v>
      </c>
      <c r="E149" s="51">
        <f t="shared" ref="E149:Y153" si="44">E112-E111</f>
        <v>0</v>
      </c>
      <c r="F149" s="51">
        <f t="shared" si="44"/>
        <v>0</v>
      </c>
      <c r="G149" s="51">
        <f t="shared" si="44"/>
        <v>0</v>
      </c>
      <c r="H149" s="51">
        <f t="shared" si="44"/>
        <v>0</v>
      </c>
      <c r="I149" s="51">
        <f t="shared" si="44"/>
        <v>0</v>
      </c>
      <c r="J149" s="51">
        <f t="shared" si="44"/>
        <v>0</v>
      </c>
      <c r="K149" s="51">
        <f t="shared" si="44"/>
        <v>0</v>
      </c>
      <c r="L149" s="51">
        <f t="shared" si="44"/>
        <v>0</v>
      </c>
      <c r="M149" s="51">
        <f t="shared" si="44"/>
        <v>0</v>
      </c>
      <c r="N149" s="51">
        <f t="shared" si="44"/>
        <v>0</v>
      </c>
      <c r="O149" s="51">
        <f t="shared" si="44"/>
        <v>0</v>
      </c>
      <c r="P149" s="51">
        <f t="shared" si="44"/>
        <v>0</v>
      </c>
      <c r="Q149" s="51">
        <f t="shared" si="44"/>
        <v>0</v>
      </c>
      <c r="R149" s="51">
        <f t="shared" si="44"/>
        <v>0</v>
      </c>
      <c r="S149" s="51">
        <f t="shared" si="44"/>
        <v>0</v>
      </c>
      <c r="T149" s="51">
        <f t="shared" si="44"/>
        <v>0</v>
      </c>
      <c r="U149" s="51">
        <f t="shared" si="44"/>
        <v>0</v>
      </c>
      <c r="V149" s="51">
        <f t="shared" si="44"/>
        <v>0</v>
      </c>
      <c r="W149" s="51">
        <f t="shared" si="44"/>
        <v>0</v>
      </c>
      <c r="X149" s="51">
        <f t="shared" si="44"/>
        <v>0</v>
      </c>
      <c r="Y149" s="51">
        <f t="shared" si="44"/>
        <v>0</v>
      </c>
    </row>
    <row r="150" spans="3:25">
      <c r="C150" s="18" t="s">
        <v>131</v>
      </c>
      <c r="E150" s="51">
        <f t="shared" si="44"/>
        <v>0</v>
      </c>
      <c r="F150" s="51">
        <f t="shared" si="44"/>
        <v>0</v>
      </c>
      <c r="G150" s="51">
        <f t="shared" si="44"/>
        <v>0</v>
      </c>
      <c r="H150" s="51">
        <f t="shared" si="44"/>
        <v>0</v>
      </c>
      <c r="I150" s="51">
        <f t="shared" si="44"/>
        <v>0</v>
      </c>
      <c r="J150" s="51">
        <f t="shared" si="44"/>
        <v>0</v>
      </c>
      <c r="K150" s="51">
        <f t="shared" si="44"/>
        <v>0</v>
      </c>
      <c r="L150" s="51">
        <f t="shared" si="44"/>
        <v>0</v>
      </c>
      <c r="M150" s="51">
        <f t="shared" si="44"/>
        <v>0</v>
      </c>
      <c r="N150" s="51">
        <f t="shared" si="44"/>
        <v>0</v>
      </c>
      <c r="O150" s="51">
        <f t="shared" si="44"/>
        <v>0</v>
      </c>
      <c r="P150" s="51">
        <f t="shared" si="44"/>
        <v>0</v>
      </c>
      <c r="Q150" s="51">
        <f t="shared" si="44"/>
        <v>0</v>
      </c>
      <c r="R150" s="51">
        <f t="shared" si="44"/>
        <v>0</v>
      </c>
      <c r="S150" s="51">
        <f t="shared" si="44"/>
        <v>0</v>
      </c>
      <c r="T150" s="51">
        <f t="shared" si="44"/>
        <v>0</v>
      </c>
      <c r="U150" s="51">
        <f t="shared" si="44"/>
        <v>0</v>
      </c>
      <c r="V150" s="51">
        <f t="shared" si="44"/>
        <v>0</v>
      </c>
      <c r="W150" s="51">
        <f t="shared" si="44"/>
        <v>0</v>
      </c>
      <c r="X150" s="51">
        <f t="shared" si="44"/>
        <v>0</v>
      </c>
      <c r="Y150" s="51">
        <f t="shared" si="44"/>
        <v>0</v>
      </c>
    </row>
    <row r="151" spans="3:25">
      <c r="C151" s="18" t="s">
        <v>134</v>
      </c>
      <c r="E151" s="51">
        <f t="shared" si="44"/>
        <v>0</v>
      </c>
      <c r="F151" s="51">
        <f t="shared" si="44"/>
        <v>0</v>
      </c>
      <c r="G151" s="51">
        <f t="shared" si="44"/>
        <v>0</v>
      </c>
      <c r="H151" s="51">
        <f t="shared" si="44"/>
        <v>0</v>
      </c>
      <c r="I151" s="51">
        <f t="shared" si="44"/>
        <v>0</v>
      </c>
      <c r="J151" s="51">
        <f t="shared" si="44"/>
        <v>0</v>
      </c>
      <c r="K151" s="51">
        <f t="shared" si="44"/>
        <v>0</v>
      </c>
      <c r="L151" s="51">
        <f t="shared" si="44"/>
        <v>0</v>
      </c>
      <c r="M151" s="51">
        <f t="shared" si="44"/>
        <v>0</v>
      </c>
      <c r="N151" s="51">
        <f t="shared" si="44"/>
        <v>0</v>
      </c>
      <c r="O151" s="51">
        <f t="shared" si="44"/>
        <v>0</v>
      </c>
      <c r="P151" s="51">
        <f t="shared" si="44"/>
        <v>0</v>
      </c>
      <c r="Q151" s="51">
        <f t="shared" si="44"/>
        <v>0</v>
      </c>
      <c r="R151" s="51">
        <f t="shared" si="44"/>
        <v>0</v>
      </c>
      <c r="S151" s="51">
        <f t="shared" si="44"/>
        <v>0</v>
      </c>
      <c r="T151" s="51">
        <f t="shared" si="44"/>
        <v>0</v>
      </c>
      <c r="U151" s="51">
        <f t="shared" si="44"/>
        <v>0</v>
      </c>
      <c r="V151" s="51">
        <f t="shared" si="44"/>
        <v>0</v>
      </c>
      <c r="W151" s="51">
        <f t="shared" si="44"/>
        <v>0</v>
      </c>
      <c r="X151" s="51">
        <f t="shared" si="44"/>
        <v>0</v>
      </c>
      <c r="Y151" s="51">
        <f t="shared" si="44"/>
        <v>0</v>
      </c>
    </row>
    <row r="152" spans="3:25">
      <c r="C152" s="18" t="s">
        <v>137</v>
      </c>
      <c r="E152" s="51">
        <f t="shared" si="44"/>
        <v>0</v>
      </c>
      <c r="F152" s="51">
        <f t="shared" si="44"/>
        <v>0</v>
      </c>
      <c r="G152" s="51">
        <f t="shared" si="44"/>
        <v>0</v>
      </c>
      <c r="H152" s="51">
        <f t="shared" si="44"/>
        <v>0</v>
      </c>
      <c r="I152" s="51">
        <f t="shared" si="44"/>
        <v>0</v>
      </c>
      <c r="J152" s="51">
        <f t="shared" si="44"/>
        <v>0</v>
      </c>
      <c r="K152" s="51">
        <f t="shared" si="44"/>
        <v>0</v>
      </c>
      <c r="L152" s="51">
        <f t="shared" si="44"/>
        <v>0</v>
      </c>
      <c r="M152" s="51">
        <f t="shared" si="44"/>
        <v>0</v>
      </c>
      <c r="N152" s="51">
        <f t="shared" si="44"/>
        <v>0</v>
      </c>
      <c r="O152" s="51">
        <f t="shared" si="44"/>
        <v>0</v>
      </c>
      <c r="P152" s="51">
        <f t="shared" si="44"/>
        <v>0</v>
      </c>
      <c r="Q152" s="51">
        <f t="shared" si="44"/>
        <v>0</v>
      </c>
      <c r="R152" s="51">
        <f t="shared" si="44"/>
        <v>0</v>
      </c>
      <c r="S152" s="51">
        <f t="shared" si="44"/>
        <v>0</v>
      </c>
      <c r="T152" s="51">
        <f t="shared" si="44"/>
        <v>0</v>
      </c>
      <c r="U152" s="51">
        <f t="shared" si="44"/>
        <v>0</v>
      </c>
      <c r="V152" s="51">
        <f t="shared" si="44"/>
        <v>0</v>
      </c>
      <c r="W152" s="51">
        <f t="shared" si="44"/>
        <v>0</v>
      </c>
      <c r="X152" s="51">
        <f t="shared" si="44"/>
        <v>0</v>
      </c>
      <c r="Y152" s="51">
        <f t="shared" si="44"/>
        <v>0</v>
      </c>
    </row>
    <row r="153" spans="3:25">
      <c r="C153" s="18" t="s">
        <v>140</v>
      </c>
      <c r="E153" s="51">
        <f t="shared" si="44"/>
        <v>0</v>
      </c>
      <c r="F153" s="51">
        <f t="shared" si="44"/>
        <v>0</v>
      </c>
      <c r="G153" s="51">
        <f t="shared" si="44"/>
        <v>0</v>
      </c>
      <c r="H153" s="51">
        <f t="shared" si="44"/>
        <v>0</v>
      </c>
      <c r="I153" s="51">
        <f t="shared" si="44"/>
        <v>0</v>
      </c>
      <c r="J153" s="51">
        <f t="shared" si="44"/>
        <v>0</v>
      </c>
      <c r="K153" s="51">
        <f t="shared" si="44"/>
        <v>0</v>
      </c>
      <c r="L153" s="51">
        <f t="shared" si="44"/>
        <v>0</v>
      </c>
      <c r="M153" s="51">
        <f t="shared" si="44"/>
        <v>0</v>
      </c>
      <c r="N153" s="51">
        <f t="shared" si="44"/>
        <v>0</v>
      </c>
      <c r="O153" s="51">
        <f t="shared" si="44"/>
        <v>0</v>
      </c>
      <c r="P153" s="51">
        <f t="shared" si="44"/>
        <v>0</v>
      </c>
      <c r="Q153" s="51">
        <f t="shared" si="44"/>
        <v>0</v>
      </c>
      <c r="R153" s="51">
        <f t="shared" si="44"/>
        <v>0</v>
      </c>
      <c r="S153" s="51">
        <f t="shared" si="44"/>
        <v>0</v>
      </c>
      <c r="T153" s="51">
        <f t="shared" si="44"/>
        <v>0</v>
      </c>
      <c r="U153" s="51">
        <f t="shared" si="44"/>
        <v>0</v>
      </c>
      <c r="V153" s="51">
        <f t="shared" si="44"/>
        <v>0</v>
      </c>
      <c r="W153" s="51">
        <f t="shared" si="44"/>
        <v>0</v>
      </c>
      <c r="X153" s="51">
        <f t="shared" si="44"/>
        <v>0</v>
      </c>
      <c r="Y153" s="51">
        <f t="shared" si="44"/>
        <v>0</v>
      </c>
    </row>
    <row r="154" spans="3:25">
      <c r="E154" s="37"/>
    </row>
    <row r="155" spans="3:25" ht="15">
      <c r="C155" s="52" t="s">
        <v>145</v>
      </c>
      <c r="D155" s="53"/>
      <c r="E155" s="53">
        <f t="shared" ref="E155:X155" si="45">SUM(E122:E153)</f>
        <v>3.5494836402154895</v>
      </c>
      <c r="F155" s="53">
        <f t="shared" si="45"/>
        <v>3.5361069933077998</v>
      </c>
      <c r="G155" s="53">
        <f t="shared" si="45"/>
        <v>3.5227924873588927</v>
      </c>
      <c r="H155" s="53">
        <f t="shared" si="45"/>
        <v>3.5714832228078048</v>
      </c>
      <c r="I155" s="53">
        <f t="shared" si="45"/>
        <v>3.630581988109578</v>
      </c>
      <c r="J155" s="53">
        <f t="shared" si="45"/>
        <v>3.6781381594449583</v>
      </c>
      <c r="K155" s="53">
        <f t="shared" si="45"/>
        <v>3.7217814064578363</v>
      </c>
      <c r="L155" s="53">
        <f t="shared" si="45"/>
        <v>3.7650589530727272</v>
      </c>
      <c r="M155" s="53">
        <f t="shared" si="45"/>
        <v>3.7992483360780835</v>
      </c>
      <c r="N155" s="53">
        <f t="shared" si="45"/>
        <v>3.8287378830036811</v>
      </c>
      <c r="O155" s="53">
        <f t="shared" si="45"/>
        <v>3.861451511709471</v>
      </c>
      <c r="P155" s="53">
        <f t="shared" si="45"/>
        <v>3.8922801567324727</v>
      </c>
      <c r="Q155" s="53">
        <f t="shared" si="45"/>
        <v>3.9250921909720744</v>
      </c>
      <c r="R155" s="53">
        <f t="shared" si="45"/>
        <v>3.9612745927270994</v>
      </c>
      <c r="S155" s="53">
        <f t="shared" si="45"/>
        <v>4.001165235910265</v>
      </c>
      <c r="T155" s="53">
        <f t="shared" si="45"/>
        <v>4.0475871738032083</v>
      </c>
      <c r="U155" s="53">
        <f t="shared" si="45"/>
        <v>4.1000914592561664</v>
      </c>
      <c r="V155" s="53">
        <f t="shared" si="45"/>
        <v>4.1484481002529972</v>
      </c>
      <c r="W155" s="53">
        <f t="shared" si="45"/>
        <v>4.1989953374554663</v>
      </c>
      <c r="X155" s="53">
        <f t="shared" si="45"/>
        <v>4.2471326974210211</v>
      </c>
      <c r="Y155" s="53"/>
    </row>
    <row r="156" spans="3:25" ht="15">
      <c r="C156" s="52" t="s">
        <v>146</v>
      </c>
      <c r="D156" s="53"/>
      <c r="E156" s="53">
        <f t="shared" ref="E156:X156" si="46">D156+E155</f>
        <v>3.5494836402154895</v>
      </c>
      <c r="F156" s="53">
        <f t="shared" si="46"/>
        <v>7.0855906335232888</v>
      </c>
      <c r="G156" s="53">
        <f t="shared" si="46"/>
        <v>10.608383120882181</v>
      </c>
      <c r="H156" s="53">
        <f t="shared" si="46"/>
        <v>14.179866343689985</v>
      </c>
      <c r="I156" s="53">
        <f t="shared" si="46"/>
        <v>17.810448331799563</v>
      </c>
      <c r="J156" s="53">
        <f t="shared" si="46"/>
        <v>21.488586491244522</v>
      </c>
      <c r="K156" s="53">
        <f t="shared" si="46"/>
        <v>25.210367897702358</v>
      </c>
      <c r="L156" s="53">
        <f t="shared" si="46"/>
        <v>28.975426850775087</v>
      </c>
      <c r="M156" s="53">
        <f t="shared" si="46"/>
        <v>32.774675186853173</v>
      </c>
      <c r="N156" s="53">
        <f t="shared" si="46"/>
        <v>36.603413069856856</v>
      </c>
      <c r="O156" s="53">
        <f t="shared" si="46"/>
        <v>40.464864581566324</v>
      </c>
      <c r="P156" s="53">
        <f t="shared" si="46"/>
        <v>44.3571447382988</v>
      </c>
      <c r="Q156" s="53">
        <f t="shared" si="46"/>
        <v>48.282236929270873</v>
      </c>
      <c r="R156" s="53">
        <f t="shared" si="46"/>
        <v>52.243511521997974</v>
      </c>
      <c r="S156" s="53">
        <f t="shared" si="46"/>
        <v>56.244676757908238</v>
      </c>
      <c r="T156" s="53">
        <f t="shared" si="46"/>
        <v>60.292263931711446</v>
      </c>
      <c r="U156" s="53">
        <f t="shared" si="46"/>
        <v>64.392355390967609</v>
      </c>
      <c r="V156" s="53">
        <f t="shared" si="46"/>
        <v>68.540803491220601</v>
      </c>
      <c r="W156" s="53">
        <f t="shared" si="46"/>
        <v>72.739798828676072</v>
      </c>
      <c r="X156" s="53">
        <f t="shared" si="46"/>
        <v>76.986931526097095</v>
      </c>
      <c r="Y156" s="53">
        <f>SUM(Y122:Y153)</f>
        <v>84.9426539484204</v>
      </c>
    </row>
  </sheetData>
  <mergeCells count="1">
    <mergeCell ref="B1:S5"/>
  </mergeCells>
  <dataValidations disablePrompts="1" count="1">
    <dataValidation type="list" allowBlank="1" showInputMessage="1" showErrorMessage="1" sqref="D8">
      <formula1>"ID, MT, OR, WA, Region"</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sheetPr codeName="Sheet12"/>
  <dimension ref="A1:EA22"/>
  <sheetViews>
    <sheetView workbookViewId="0">
      <selection sqref="A1:EA22"/>
    </sheetView>
  </sheetViews>
  <sheetFormatPr defaultRowHeight="12.75"/>
  <cols>
    <col min="1" max="1" width="33" customWidth="1"/>
  </cols>
  <sheetData>
    <row r="1" spans="1:131" ht="13.5" thickBot="1">
      <c r="A1" s="222" t="s">
        <v>781</v>
      </c>
      <c r="B1" s="224"/>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245"/>
      <c r="AT1" s="42"/>
      <c r="AU1" s="42"/>
      <c r="AV1" s="42"/>
      <c r="AW1" s="42"/>
      <c r="AX1" s="42"/>
      <c r="AY1" s="42"/>
      <c r="AZ1" s="245"/>
      <c r="BA1" s="42"/>
      <c r="BB1" s="42"/>
      <c r="BC1" s="42"/>
      <c r="BD1" s="42"/>
      <c r="BE1" s="42"/>
      <c r="BF1" s="42"/>
      <c r="BG1" s="42"/>
      <c r="BH1" s="245"/>
      <c r="BI1" s="42"/>
      <c r="BJ1" s="42"/>
      <c r="BK1" s="42"/>
      <c r="BL1" s="42"/>
      <c r="BM1" s="42"/>
      <c r="BN1" s="42"/>
      <c r="BO1" s="42"/>
      <c r="BP1" s="42"/>
      <c r="BQ1" s="42"/>
      <c r="BR1" s="42"/>
      <c r="BS1" s="42"/>
      <c r="BT1" s="42"/>
      <c r="BU1" s="42"/>
      <c r="BV1" s="42"/>
      <c r="BW1" s="42"/>
      <c r="BX1" s="42"/>
      <c r="BY1" s="42"/>
      <c r="BZ1" s="42"/>
      <c r="CA1" s="42"/>
      <c r="CB1" s="42"/>
      <c r="CC1" s="42"/>
      <c r="CD1" s="245"/>
      <c r="CE1" s="42"/>
      <c r="CF1" s="42"/>
      <c r="CG1" s="42"/>
      <c r="CH1" s="42"/>
      <c r="CI1" s="42"/>
      <c r="CJ1" s="42"/>
      <c r="CK1" s="42"/>
      <c r="CL1" s="42"/>
      <c r="CM1" s="42"/>
      <c r="CN1" s="42"/>
      <c r="CO1" s="42"/>
      <c r="CP1" s="42"/>
      <c r="CQ1" s="42"/>
      <c r="CR1" s="42"/>
      <c r="CS1" s="42"/>
      <c r="CT1" s="42"/>
      <c r="CU1" s="42"/>
      <c r="CV1" s="42"/>
      <c r="CW1" s="245"/>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row>
    <row r="2" spans="1:131" ht="13.5" thickBot="1">
      <c r="A2" s="256"/>
      <c r="B2" s="257"/>
      <c r="C2" s="258"/>
      <c r="D2" s="258"/>
      <c r="E2" s="258"/>
      <c r="F2" s="258"/>
      <c r="G2" s="258"/>
      <c r="H2" s="258"/>
      <c r="I2" s="258"/>
      <c r="J2" s="258"/>
      <c r="K2" s="258"/>
      <c r="L2" s="258"/>
      <c r="M2" s="258"/>
      <c r="N2" s="258"/>
      <c r="O2" s="259" t="s">
        <v>786</v>
      </c>
      <c r="P2" s="260"/>
      <c r="Q2" s="260"/>
      <c r="R2" s="260"/>
      <c r="S2" s="260"/>
      <c r="T2" s="260"/>
      <c r="U2" s="260"/>
      <c r="V2" s="260"/>
      <c r="W2" s="260"/>
      <c r="X2" s="260"/>
      <c r="Y2" s="260"/>
      <c r="Z2" s="249"/>
      <c r="AA2" s="258"/>
      <c r="AB2" s="259" t="s">
        <v>787</v>
      </c>
      <c r="AC2" s="260"/>
      <c r="AD2" s="260"/>
      <c r="AE2" s="260"/>
      <c r="AF2" s="260"/>
      <c r="AG2" s="260"/>
      <c r="AH2" s="260"/>
      <c r="AI2" s="260"/>
      <c r="AJ2" s="260"/>
      <c r="AK2" s="260"/>
      <c r="AL2" s="260"/>
      <c r="AM2" s="249"/>
      <c r="AN2" s="42"/>
      <c r="AO2" s="42"/>
      <c r="AP2" s="42"/>
      <c r="AQ2" s="42"/>
      <c r="AR2" s="42"/>
      <c r="AS2" s="245"/>
      <c r="AT2" s="42"/>
      <c r="AU2" s="42"/>
      <c r="AV2" s="42"/>
      <c r="AW2" s="42"/>
      <c r="AX2" s="42"/>
      <c r="AY2" s="42"/>
      <c r="AZ2" s="245"/>
      <c r="BA2" s="42"/>
      <c r="BB2" s="42"/>
      <c r="BC2" s="42"/>
      <c r="BD2" s="42"/>
      <c r="BE2" s="42"/>
      <c r="BF2" s="42"/>
      <c r="BG2" s="42"/>
      <c r="BH2" s="245"/>
      <c r="BI2" s="42"/>
      <c r="BJ2" s="42"/>
      <c r="BK2" s="42"/>
      <c r="BL2" s="42"/>
      <c r="BM2" s="42"/>
      <c r="BN2" s="42"/>
      <c r="BO2" s="42"/>
      <c r="BP2" s="42"/>
      <c r="BQ2" s="42"/>
      <c r="BR2" s="42"/>
      <c r="BS2" s="42"/>
      <c r="BT2" s="42"/>
      <c r="BU2" s="42"/>
      <c r="BV2" s="42"/>
      <c r="BW2" s="42"/>
      <c r="BX2" s="42"/>
      <c r="BY2" s="42"/>
      <c r="BZ2" s="42"/>
      <c r="CA2" s="42"/>
      <c r="CB2" s="42"/>
      <c r="CC2" s="42"/>
      <c r="CD2" s="245"/>
      <c r="CE2" s="42"/>
      <c r="CF2" s="42"/>
      <c r="CG2" s="42"/>
      <c r="CH2" s="42"/>
      <c r="CI2" s="42"/>
      <c r="CJ2" s="42"/>
      <c r="CK2" s="42"/>
      <c r="CL2" s="42"/>
      <c r="CM2" s="42"/>
      <c r="CN2" s="42"/>
      <c r="CO2" s="42"/>
      <c r="CP2" s="42"/>
      <c r="CQ2" s="42"/>
      <c r="CR2" s="42"/>
      <c r="CS2" s="42"/>
      <c r="CT2" s="42"/>
      <c r="CU2" s="42"/>
      <c r="CV2" s="42"/>
      <c r="CW2" s="245"/>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row>
    <row r="3" spans="1:131" ht="204">
      <c r="A3" s="240" t="s">
        <v>671</v>
      </c>
      <c r="B3" s="241" t="s">
        <v>672</v>
      </c>
      <c r="C3" s="242" t="s">
        <v>782</v>
      </c>
      <c r="D3" s="242" t="s">
        <v>758</v>
      </c>
      <c r="E3" s="242" t="s">
        <v>759</v>
      </c>
      <c r="F3" s="242" t="s">
        <v>760</v>
      </c>
      <c r="G3" s="242" t="s">
        <v>761</v>
      </c>
      <c r="H3" s="242" t="s">
        <v>762</v>
      </c>
      <c r="I3" s="242" t="s">
        <v>763</v>
      </c>
      <c r="J3" s="242" t="s">
        <v>764</v>
      </c>
      <c r="K3" s="242" t="s">
        <v>734</v>
      </c>
      <c r="L3" s="242" t="s">
        <v>733</v>
      </c>
      <c r="M3" s="242" t="s">
        <v>765</v>
      </c>
      <c r="N3" s="242" t="s">
        <v>783</v>
      </c>
      <c r="O3" s="242" t="s">
        <v>766</v>
      </c>
      <c r="P3" s="242" t="s">
        <v>767</v>
      </c>
      <c r="Q3" s="242" t="s">
        <v>768</v>
      </c>
      <c r="R3" s="242" t="s">
        <v>769</v>
      </c>
      <c r="S3" s="242" t="s">
        <v>770</v>
      </c>
      <c r="T3" s="242" t="s">
        <v>771</v>
      </c>
      <c r="U3" s="242" t="s">
        <v>772</v>
      </c>
      <c r="V3" s="242" t="s">
        <v>773</v>
      </c>
      <c r="W3" s="242" t="s">
        <v>774</v>
      </c>
      <c r="X3" s="242" t="s">
        <v>775</v>
      </c>
      <c r="Y3" s="242" t="s">
        <v>776</v>
      </c>
      <c r="Z3" s="242" t="s">
        <v>777</v>
      </c>
      <c r="AA3" s="242"/>
      <c r="AB3" s="242" t="s">
        <v>766</v>
      </c>
      <c r="AC3" s="242" t="s">
        <v>767</v>
      </c>
      <c r="AD3" s="242" t="s">
        <v>768</v>
      </c>
      <c r="AE3" s="242" t="s">
        <v>769</v>
      </c>
      <c r="AF3" s="242" t="s">
        <v>770</v>
      </c>
      <c r="AG3" s="242" t="s">
        <v>771</v>
      </c>
      <c r="AH3" s="242" t="s">
        <v>772</v>
      </c>
      <c r="AI3" s="242" t="s">
        <v>773</v>
      </c>
      <c r="AJ3" s="242" t="s">
        <v>774</v>
      </c>
      <c r="AK3" s="242" t="s">
        <v>775</v>
      </c>
      <c r="AL3" s="242" t="s">
        <v>776</v>
      </c>
      <c r="AM3" s="242" t="s">
        <v>777</v>
      </c>
      <c r="AN3" s="42"/>
      <c r="AO3" s="42"/>
      <c r="AP3" s="42"/>
      <c r="AQ3" s="42"/>
      <c r="AR3" s="42"/>
      <c r="AS3" s="245"/>
      <c r="AT3" s="42"/>
      <c r="AU3" s="42"/>
      <c r="AV3" s="42"/>
      <c r="AW3" s="42"/>
      <c r="AX3" s="42"/>
      <c r="AY3" s="42"/>
      <c r="AZ3" s="245"/>
      <c r="BA3" s="42"/>
      <c r="BB3" s="42"/>
      <c r="BC3" s="42"/>
      <c r="BD3" s="42"/>
      <c r="BE3" s="42"/>
      <c r="BF3" s="42"/>
      <c r="BG3" s="42"/>
      <c r="BH3" s="245"/>
      <c r="BI3" s="42"/>
      <c r="BJ3" s="42"/>
      <c r="BK3" s="42"/>
      <c r="BL3" s="42"/>
      <c r="BM3" s="42"/>
      <c r="BN3" s="42"/>
      <c r="BO3" s="42"/>
      <c r="BP3" s="42"/>
      <c r="BQ3" s="42"/>
      <c r="BR3" s="42"/>
      <c r="BS3" s="42"/>
      <c r="BT3" s="42"/>
      <c r="BU3" s="42"/>
      <c r="BV3" s="42"/>
      <c r="BW3" s="42"/>
      <c r="BX3" s="42"/>
      <c r="BY3" s="42"/>
      <c r="BZ3" s="42"/>
      <c r="CA3" s="42"/>
      <c r="CB3" s="42"/>
      <c r="CC3" s="42"/>
      <c r="CD3" s="245"/>
      <c r="CE3" s="42"/>
      <c r="CF3" s="42"/>
      <c r="CG3" s="42"/>
      <c r="CH3" s="42"/>
      <c r="CI3" s="42"/>
      <c r="CJ3" s="42"/>
      <c r="CK3" s="42"/>
      <c r="CL3" s="42"/>
      <c r="CM3" s="42"/>
      <c r="CN3" s="42"/>
      <c r="CO3" s="42"/>
      <c r="CP3" s="42"/>
      <c r="CQ3" s="42"/>
      <c r="CR3" s="42"/>
      <c r="CS3" s="42"/>
      <c r="CT3" s="42"/>
      <c r="CU3" s="42"/>
      <c r="CV3" s="42"/>
      <c r="CW3" s="245"/>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row>
    <row r="4" spans="1:131">
      <c r="A4" s="18" t="s">
        <v>493</v>
      </c>
      <c r="B4" s="18"/>
      <c r="C4" s="32">
        <v>0</v>
      </c>
      <c r="D4" s="32">
        <v>0</v>
      </c>
      <c r="E4" s="32">
        <v>0</v>
      </c>
      <c r="F4" s="32">
        <v>0</v>
      </c>
      <c r="G4" s="32">
        <v>0</v>
      </c>
      <c r="H4" s="32">
        <v>0</v>
      </c>
      <c r="I4" s="32">
        <v>0</v>
      </c>
      <c r="J4" s="32">
        <v>9999</v>
      </c>
      <c r="K4" s="32">
        <v>9999</v>
      </c>
      <c r="L4" s="244">
        <v>9999</v>
      </c>
      <c r="M4" s="32">
        <v>0</v>
      </c>
      <c r="N4" s="32">
        <v>0</v>
      </c>
      <c r="O4" s="32">
        <v>0</v>
      </c>
      <c r="P4" s="32">
        <v>0</v>
      </c>
      <c r="Q4" s="32">
        <v>0</v>
      </c>
      <c r="R4" s="32">
        <v>0</v>
      </c>
      <c r="S4" s="32">
        <v>0</v>
      </c>
      <c r="T4" s="32">
        <v>0</v>
      </c>
      <c r="U4" s="32">
        <v>0</v>
      </c>
      <c r="V4" s="32">
        <v>0</v>
      </c>
      <c r="W4" s="32">
        <v>0</v>
      </c>
      <c r="X4" s="32">
        <v>0</v>
      </c>
      <c r="Y4" s="32">
        <v>0</v>
      </c>
      <c r="Z4" s="32">
        <v>0</v>
      </c>
      <c r="AA4" s="32"/>
      <c r="AB4" s="32">
        <v>0</v>
      </c>
      <c r="AC4" s="32">
        <v>0</v>
      </c>
      <c r="AD4" s="32">
        <v>0</v>
      </c>
      <c r="AE4" s="32">
        <v>0</v>
      </c>
      <c r="AF4" s="32">
        <v>0</v>
      </c>
      <c r="AG4" s="32">
        <v>0</v>
      </c>
      <c r="AH4" s="32">
        <v>0</v>
      </c>
      <c r="AI4" s="32">
        <v>0</v>
      </c>
      <c r="AJ4" s="32">
        <v>0</v>
      </c>
      <c r="AK4" s="32">
        <v>0</v>
      </c>
      <c r="AL4" s="32">
        <v>0</v>
      </c>
      <c r="AM4" s="42">
        <v>0</v>
      </c>
      <c r="AN4" s="42"/>
      <c r="AO4" s="42"/>
      <c r="AP4" s="42"/>
      <c r="AQ4" s="42"/>
      <c r="AR4" s="42"/>
      <c r="AS4" s="245"/>
      <c r="AT4" s="42"/>
      <c r="AU4" s="42"/>
      <c r="AV4" s="42"/>
      <c r="AW4" s="42"/>
      <c r="AX4" s="42"/>
      <c r="AY4" s="42"/>
      <c r="AZ4" s="245"/>
      <c r="BA4" s="42"/>
      <c r="BB4" s="42"/>
      <c r="BC4" s="42"/>
      <c r="BD4" s="42"/>
      <c r="BE4" s="42"/>
      <c r="BF4" s="42"/>
      <c r="BG4" s="42"/>
      <c r="BH4" s="245"/>
      <c r="BI4" s="42"/>
      <c r="BJ4" s="42"/>
      <c r="BK4" s="42"/>
      <c r="BL4" s="42"/>
      <c r="BM4" s="42"/>
      <c r="BN4" s="42"/>
      <c r="BO4" s="42"/>
      <c r="BP4" s="42"/>
      <c r="BQ4" s="42"/>
      <c r="BR4" s="42"/>
      <c r="BS4" s="42"/>
      <c r="BT4" s="42"/>
      <c r="BU4" s="42"/>
      <c r="BV4" s="42"/>
      <c r="BW4" s="42"/>
      <c r="BX4" s="42"/>
      <c r="BY4" s="42"/>
      <c r="BZ4" s="42"/>
      <c r="CA4" s="42"/>
      <c r="CB4" s="42"/>
      <c r="CC4" s="42"/>
      <c r="CD4" s="245"/>
      <c r="CE4" s="42"/>
      <c r="CF4" s="42"/>
      <c r="CG4" s="42"/>
      <c r="CH4" s="42"/>
      <c r="CI4" s="42"/>
      <c r="CJ4" s="42"/>
      <c r="CK4" s="42"/>
      <c r="CL4" s="42"/>
      <c r="CM4" s="42"/>
      <c r="CN4" s="42"/>
      <c r="CO4" s="42"/>
      <c r="CP4" s="42"/>
      <c r="CQ4" s="42"/>
      <c r="CR4" s="42"/>
      <c r="CS4" s="42"/>
      <c r="CT4" s="42"/>
      <c r="CU4" s="42"/>
      <c r="CV4" s="42"/>
      <c r="CW4" s="245"/>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row>
    <row r="5" spans="1:131">
      <c r="A5" s="18" t="s">
        <v>499</v>
      </c>
      <c r="B5" s="18"/>
      <c r="C5" s="32">
        <v>1641.1873183039959</v>
      </c>
      <c r="D5" s="32">
        <v>237.96646220549687</v>
      </c>
      <c r="E5" s="32">
        <v>47.593292441099379</v>
      </c>
      <c r="F5" s="32">
        <v>285.55975464659628</v>
      </c>
      <c r="G5" s="32">
        <v>873.17761099621225</v>
      </c>
      <c r="H5" s="32">
        <v>1467.4528296305696</v>
      </c>
      <c r="I5" s="32">
        <v>1524.2034975564145</v>
      </c>
      <c r="J5" s="32">
        <v>-1.4953126195636952</v>
      </c>
      <c r="K5" s="32">
        <v>11.652235462638782</v>
      </c>
      <c r="L5" s="244">
        <v>1.6805891621022508</v>
      </c>
      <c r="M5" s="32">
        <v>22.346702896938005</v>
      </c>
      <c r="N5" s="32">
        <v>0.30852084582295208</v>
      </c>
      <c r="O5" s="32">
        <v>102.91087073877826</v>
      </c>
      <c r="P5" s="32">
        <v>92.53356639333515</v>
      </c>
      <c r="Q5" s="32">
        <v>106.48234681161499</v>
      </c>
      <c r="R5" s="32">
        <v>99.062759237911621</v>
      </c>
      <c r="S5" s="32">
        <v>101.13721009673728</v>
      </c>
      <c r="T5" s="32">
        <v>100.1121475111308</v>
      </c>
      <c r="U5" s="32">
        <v>95.10824906713124</v>
      </c>
      <c r="V5" s="32">
        <v>99.09918390391023</v>
      </c>
      <c r="W5" s="32">
        <v>92.590314932954527</v>
      </c>
      <c r="X5" s="32">
        <v>105.57055301046995</v>
      </c>
      <c r="Y5" s="32">
        <v>93.424199639499861</v>
      </c>
      <c r="Z5" s="32">
        <v>101.71453092411429</v>
      </c>
      <c r="AA5" s="32"/>
      <c r="AB5" s="32">
        <v>43.691806251096764</v>
      </c>
      <c r="AC5" s="32">
        <v>37.53871755412893</v>
      </c>
      <c r="AD5" s="32">
        <v>36.007533344157665</v>
      </c>
      <c r="AE5" s="32">
        <v>37.597867923661077</v>
      </c>
      <c r="AF5" s="32">
        <v>36.888549445029128</v>
      </c>
      <c r="AG5" s="32">
        <v>32.368679170996721</v>
      </c>
      <c r="AH5" s="32">
        <v>38.004943919336959</v>
      </c>
      <c r="AI5" s="32">
        <v>31.167898211156576</v>
      </c>
      <c r="AJ5" s="32">
        <v>38.371063512149867</v>
      </c>
      <c r="AK5" s="32">
        <v>34.4632006390963</v>
      </c>
      <c r="AL5" s="32">
        <v>41.348758943095859</v>
      </c>
      <c r="AM5" s="42">
        <v>43.992367122501825</v>
      </c>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row>
    <row r="6" spans="1:131">
      <c r="A6" s="18" t="s">
        <v>501</v>
      </c>
      <c r="B6" s="18"/>
      <c r="C6" s="32">
        <v>152.4085038874982</v>
      </c>
      <c r="D6" s="32">
        <v>21.255916464149205</v>
      </c>
      <c r="E6" s="32">
        <v>4.2511832928298414</v>
      </c>
      <c r="F6" s="32">
        <v>25.507099756979045</v>
      </c>
      <c r="G6" s="32">
        <v>77.994983770751404</v>
      </c>
      <c r="H6" s="32">
        <v>116.36689487206102</v>
      </c>
      <c r="I6" s="32">
        <v>1466.074321128908</v>
      </c>
      <c r="J6" s="32">
        <v>-1.8453320493329095</v>
      </c>
      <c r="K6" s="32">
        <v>19.770557184294496</v>
      </c>
      <c r="L6" s="244">
        <v>1.4919792177160414</v>
      </c>
      <c r="M6" s="32">
        <v>1.7168172374306869</v>
      </c>
      <c r="N6" s="32">
        <v>2.865072134396783E-2</v>
      </c>
      <c r="O6" s="32">
        <v>9.5567956613662322</v>
      </c>
      <c r="P6" s="32">
        <v>8.5931095470300374</v>
      </c>
      <c r="Q6" s="32">
        <v>9.8884600112306646</v>
      </c>
      <c r="R6" s="32">
        <v>9.1994416225564315</v>
      </c>
      <c r="S6" s="32">
        <v>9.3920850510399507</v>
      </c>
      <c r="T6" s="32">
        <v>9.2968928366467889</v>
      </c>
      <c r="U6" s="32">
        <v>8.8322068943723497</v>
      </c>
      <c r="V6" s="32">
        <v>9.2028241912538231</v>
      </c>
      <c r="W6" s="32">
        <v>8.5983794878373594</v>
      </c>
      <c r="X6" s="32">
        <v>9.8037864779072308</v>
      </c>
      <c r="Y6" s="32">
        <v>8.6758180100107936</v>
      </c>
      <c r="Z6" s="32">
        <v>9.4456978242939815</v>
      </c>
      <c r="AA6" s="32"/>
      <c r="AB6" s="32">
        <v>4.0574300986882585</v>
      </c>
      <c r="AC6" s="32">
        <v>3.4860248531486753</v>
      </c>
      <c r="AD6" s="32">
        <v>3.343831764026441</v>
      </c>
      <c r="AE6" s="32">
        <v>3.4915178393692266</v>
      </c>
      <c r="AF6" s="32">
        <v>3.4256471328981521</v>
      </c>
      <c r="AG6" s="32">
        <v>3.0059103615083207</v>
      </c>
      <c r="AH6" s="32">
        <v>3.5293208633004554</v>
      </c>
      <c r="AI6" s="32">
        <v>2.894400098453795</v>
      </c>
      <c r="AJ6" s="32">
        <v>3.5633204797745694</v>
      </c>
      <c r="AK6" s="32">
        <v>3.2004176427632043</v>
      </c>
      <c r="AL6" s="32">
        <v>3.8398435192848321</v>
      </c>
      <c r="AM6" s="42">
        <v>4.0853416187366243</v>
      </c>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row>
    <row r="7" spans="1:131">
      <c r="A7" s="18" t="s">
        <v>483</v>
      </c>
      <c r="B7" s="18"/>
      <c r="C7" s="32">
        <v>155.34471430154173</v>
      </c>
      <c r="D7" s="32">
        <v>25.463820854268903</v>
      </c>
      <c r="E7" s="32">
        <v>5.0927641708537807</v>
      </c>
      <c r="F7" s="32">
        <v>30.556585025122683</v>
      </c>
      <c r="G7" s="32">
        <v>93.435175924771315</v>
      </c>
      <c r="H7" s="32">
        <v>119.51070887324541</v>
      </c>
      <c r="I7" s="32">
        <v>1723.1077737249934</v>
      </c>
      <c r="J7" s="32">
        <v>-0.29762901897100197</v>
      </c>
      <c r="K7" s="32">
        <v>25.945111299992629</v>
      </c>
      <c r="L7" s="244">
        <v>1.2790761904217811</v>
      </c>
      <c r="M7" s="32">
        <v>1.7661305835403112</v>
      </c>
      <c r="N7" s="32">
        <v>2.9202688880123919E-2</v>
      </c>
      <c r="O7" s="32">
        <v>9.7409111288765171</v>
      </c>
      <c r="P7" s="32">
        <v>8.7586592184554011</v>
      </c>
      <c r="Q7" s="32">
        <v>10.07896512428696</v>
      </c>
      <c r="R7" s="32">
        <v>9.3766725224508018</v>
      </c>
      <c r="S7" s="32">
        <v>9.5730273031652153</v>
      </c>
      <c r="T7" s="32">
        <v>9.4760011729201956</v>
      </c>
      <c r="U7" s="32">
        <v>9.0023628712421591</v>
      </c>
      <c r="V7" s="32">
        <v>9.3801202576788132</v>
      </c>
      <c r="W7" s="32">
        <v>8.7640306867673257</v>
      </c>
      <c r="X7" s="32">
        <v>9.9926603216839478</v>
      </c>
      <c r="Y7" s="32">
        <v>8.8429610928544129</v>
      </c>
      <c r="Z7" s="32">
        <v>9.6276729478085645</v>
      </c>
      <c r="AA7" s="32"/>
      <c r="AB7" s="32">
        <v>4.1355981024816444</v>
      </c>
      <c r="AC7" s="32">
        <v>3.5531845077371447</v>
      </c>
      <c r="AD7" s="32">
        <v>3.4082520122272331</v>
      </c>
      <c r="AE7" s="32">
        <v>3.5587833185208506</v>
      </c>
      <c r="AF7" s="32">
        <v>3.4916435867041598</v>
      </c>
      <c r="AG7" s="32">
        <v>3.0638204195563747</v>
      </c>
      <c r="AH7" s="32">
        <v>3.597314632735876</v>
      </c>
      <c r="AI7" s="32">
        <v>2.9501618669556491</v>
      </c>
      <c r="AJ7" s="32">
        <v>3.631969265337164</v>
      </c>
      <c r="AK7" s="32">
        <v>3.2620749609067281</v>
      </c>
      <c r="AL7" s="32">
        <v>3.9138196311292486</v>
      </c>
      <c r="AM7" s="42">
        <v>4.1640473490593539</v>
      </c>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row>
    <row r="8" spans="1:131">
      <c r="A8" s="18" t="s">
        <v>505</v>
      </c>
      <c r="B8" s="18"/>
      <c r="C8" s="32">
        <v>217.23607745202173</v>
      </c>
      <c r="D8" s="32">
        <v>50.322059921932109</v>
      </c>
      <c r="E8" s="32">
        <v>10.064411984386423</v>
      </c>
      <c r="F8" s="32">
        <v>60.386471906318533</v>
      </c>
      <c r="G8" s="32">
        <v>184.6482720959909</v>
      </c>
      <c r="H8" s="32">
        <v>228.94505879225576</v>
      </c>
      <c r="I8" s="32">
        <v>2435.072019822218</v>
      </c>
      <c r="J8" s="32">
        <v>3.9893974753025296</v>
      </c>
      <c r="K8" s="32">
        <v>23.292130073677438</v>
      </c>
      <c r="L8" s="244">
        <v>1.239898192349381</v>
      </c>
      <c r="M8" s="32">
        <v>3.5827344164654216</v>
      </c>
      <c r="N8" s="32">
        <v>4.08374215491858E-2</v>
      </c>
      <c r="O8" s="32">
        <v>13.621817349628856</v>
      </c>
      <c r="P8" s="32">
        <v>12.248223448806188</v>
      </c>
      <c r="Q8" s="32">
        <v>14.094556472167636</v>
      </c>
      <c r="R8" s="32">
        <v>13.112461325046512</v>
      </c>
      <c r="S8" s="32">
        <v>13.387046415006848</v>
      </c>
      <c r="T8" s="32">
        <v>13.251363807204285</v>
      </c>
      <c r="U8" s="32">
        <v>12.589021819900807</v>
      </c>
      <c r="V8" s="32">
        <v>13.117282683020578</v>
      </c>
      <c r="W8" s="32">
        <v>12.255734980250864</v>
      </c>
      <c r="X8" s="32">
        <v>13.973866708971983</v>
      </c>
      <c r="Y8" s="32">
        <v>12.36611229104092</v>
      </c>
      <c r="Z8" s="32">
        <v>13.463463598208302</v>
      </c>
      <c r="AA8" s="32"/>
      <c r="AB8" s="32">
        <v>5.7832744019679856</v>
      </c>
      <c r="AC8" s="32">
        <v>4.9688196241154587</v>
      </c>
      <c r="AD8" s="32">
        <v>4.7661441294166771</v>
      </c>
      <c r="AE8" s="32">
        <v>4.976649074242018</v>
      </c>
      <c r="AF8" s="32">
        <v>4.882759996350849</v>
      </c>
      <c r="AG8" s="32">
        <v>4.2844864915705001</v>
      </c>
      <c r="AH8" s="32">
        <v>5.030531767301631</v>
      </c>
      <c r="AI8" s="32">
        <v>4.1255448871079992</v>
      </c>
      <c r="AJ8" s="32">
        <v>5.0789932581588708</v>
      </c>
      <c r="AK8" s="32">
        <v>4.561728231617094</v>
      </c>
      <c r="AL8" s="32">
        <v>5.473136490958149</v>
      </c>
      <c r="AM8" s="42">
        <v>5.8230581999606903</v>
      </c>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row>
    <row r="9" spans="1:131">
      <c r="A9" s="18" t="s">
        <v>491</v>
      </c>
      <c r="B9" s="18"/>
      <c r="C9" s="32">
        <v>66.375882359202151</v>
      </c>
      <c r="D9" s="32">
        <v>13.653514106582991</v>
      </c>
      <c r="E9" s="32">
        <v>2.7307028213165982</v>
      </c>
      <c r="F9" s="32">
        <v>16.38421692789959</v>
      </c>
      <c r="G9" s="32">
        <v>50.099256503607542</v>
      </c>
      <c r="H9" s="32">
        <v>60.383984289753442</v>
      </c>
      <c r="I9" s="32">
        <v>2162.3176248217878</v>
      </c>
      <c r="J9" s="32">
        <v>2.3470322523209357</v>
      </c>
      <c r="K9" s="32">
        <v>26.894991456271843</v>
      </c>
      <c r="L9" s="244">
        <v>1.2052870342577902</v>
      </c>
      <c r="M9" s="32">
        <v>0.92241192222620594</v>
      </c>
      <c r="N9" s="32">
        <v>1.2477761154569573E-2</v>
      </c>
      <c r="O9" s="32">
        <v>4.1621085987303124</v>
      </c>
      <c r="P9" s="32">
        <v>3.742410783157025</v>
      </c>
      <c r="Q9" s="32">
        <v>4.3065527295223385</v>
      </c>
      <c r="R9" s="32">
        <v>4.0064762748402103</v>
      </c>
      <c r="S9" s="32">
        <v>4.0903749892829042</v>
      </c>
      <c r="T9" s="32">
        <v>4.048917543911374</v>
      </c>
      <c r="U9" s="32">
        <v>3.8465407824338724</v>
      </c>
      <c r="V9" s="32">
        <v>4.0079494274281764</v>
      </c>
      <c r="W9" s="32">
        <v>3.7447059108050529</v>
      </c>
      <c r="X9" s="32">
        <v>4.2696763063342802</v>
      </c>
      <c r="Y9" s="32">
        <v>3.7784313926958037</v>
      </c>
      <c r="Z9" s="32">
        <v>4.113724048158824</v>
      </c>
      <c r="AA9" s="32"/>
      <c r="AB9" s="32">
        <v>1.7670634908273597</v>
      </c>
      <c r="AC9" s="32">
        <v>1.5182090871035165</v>
      </c>
      <c r="AD9" s="32">
        <v>1.4562821505144938</v>
      </c>
      <c r="AE9" s="32">
        <v>1.5206013539250922</v>
      </c>
      <c r="AF9" s="32">
        <v>1.4919138059725909</v>
      </c>
      <c r="AG9" s="32">
        <v>1.3091129920484008</v>
      </c>
      <c r="AH9" s="32">
        <v>1.5370650616925641</v>
      </c>
      <c r="AI9" s="32">
        <v>1.2605488246065732</v>
      </c>
      <c r="AJ9" s="32">
        <v>1.5518723361279172</v>
      </c>
      <c r="AK9" s="32">
        <v>1.3938234385738284</v>
      </c>
      <c r="AL9" s="32">
        <v>1.6723017102899436</v>
      </c>
      <c r="AM9" s="42">
        <v>1.7792193202196911</v>
      </c>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row>
    <row r="10" spans="1:131">
      <c r="A10" s="18" t="s">
        <v>497</v>
      </c>
      <c r="B10" s="18"/>
      <c r="C10" s="32">
        <v>116.81796682580887</v>
      </c>
      <c r="D10" s="32">
        <v>19.913031082870759</v>
      </c>
      <c r="E10" s="32">
        <v>3.982606216574152</v>
      </c>
      <c r="F10" s="32">
        <v>23.89563729944491</v>
      </c>
      <c r="G10" s="32">
        <v>73.06749340845883</v>
      </c>
      <c r="H10" s="32">
        <v>83.4808660471369</v>
      </c>
      <c r="I10" s="32">
        <v>1791.8971578684468</v>
      </c>
      <c r="J10" s="32">
        <v>0.11657986014661867</v>
      </c>
      <c r="K10" s="32">
        <v>31.737029906803112</v>
      </c>
      <c r="L10" s="244">
        <v>1.1425171735461852</v>
      </c>
      <c r="M10" s="32">
        <v>1.2130713465050922</v>
      </c>
      <c r="N10" s="32">
        <v>2.1960185489162003E-2</v>
      </c>
      <c r="O10" s="32">
        <v>7.3250862652296629</v>
      </c>
      <c r="P10" s="32">
        <v>6.586440785065923</v>
      </c>
      <c r="Q10" s="32">
        <v>7.5793001314609478</v>
      </c>
      <c r="R10" s="32">
        <v>7.0511817836164399</v>
      </c>
      <c r="S10" s="32">
        <v>7.1988389881934856</v>
      </c>
      <c r="T10" s="32">
        <v>7.125876124183848</v>
      </c>
      <c r="U10" s="32">
        <v>6.7697039579043006</v>
      </c>
      <c r="V10" s="32">
        <v>7.0537744525804333</v>
      </c>
      <c r="W10" s="32">
        <v>6.590480085726325</v>
      </c>
      <c r="X10" s="32">
        <v>7.5143996189928082</v>
      </c>
      <c r="Y10" s="32">
        <v>6.6498351117488452</v>
      </c>
      <c r="Z10" s="32">
        <v>7.2399320703226291</v>
      </c>
      <c r="AA10" s="32"/>
      <c r="AB10" s="32">
        <v>3.1099362737428144</v>
      </c>
      <c r="AC10" s="32">
        <v>2.6719659681829051</v>
      </c>
      <c r="AD10" s="32">
        <v>2.5629779055469659</v>
      </c>
      <c r="AE10" s="32">
        <v>2.6761762285405597</v>
      </c>
      <c r="AF10" s="32">
        <v>2.6256876940621252</v>
      </c>
      <c r="AG10" s="32">
        <v>2.3039681378358958</v>
      </c>
      <c r="AH10" s="32">
        <v>2.7051514647174946</v>
      </c>
      <c r="AI10" s="32">
        <v>2.2184978269413258</v>
      </c>
      <c r="AJ10" s="32">
        <v>2.7312114677229378</v>
      </c>
      <c r="AK10" s="32">
        <v>2.4530539470226569</v>
      </c>
      <c r="AL10" s="32">
        <v>2.9431606597439184</v>
      </c>
      <c r="AM10" s="42">
        <v>3.1313298767236217</v>
      </c>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row>
    <row r="11" spans="1:131">
      <c r="A11" s="18" t="s">
        <v>503</v>
      </c>
      <c r="B11" s="18"/>
      <c r="C11" s="32">
        <v>175.0491992019071</v>
      </c>
      <c r="D11" s="32">
        <v>42.297440439819695</v>
      </c>
      <c r="E11" s="32">
        <v>8.4594880879639387</v>
      </c>
      <c r="F11" s="32">
        <v>50.756928527783636</v>
      </c>
      <c r="G11" s="32">
        <v>155.20329063262093</v>
      </c>
      <c r="H11" s="32">
        <v>167.19174985738709</v>
      </c>
      <c r="I11" s="32">
        <v>2540.0327218323005</v>
      </c>
      <c r="J11" s="32">
        <v>4.621408580974431</v>
      </c>
      <c r="K11" s="32">
        <v>33.256908653882199</v>
      </c>
      <c r="L11" s="244">
        <v>1.0772435892041996</v>
      </c>
      <c r="M11" s="32">
        <v>2.5756515086063296</v>
      </c>
      <c r="N11" s="32">
        <v>3.290686346163884E-2</v>
      </c>
      <c r="O11" s="32">
        <v>10.976483495260165</v>
      </c>
      <c r="P11" s="32">
        <v>9.8696392031524862</v>
      </c>
      <c r="Q11" s="32">
        <v>11.357417481007088</v>
      </c>
      <c r="R11" s="32">
        <v>10.566043547818664</v>
      </c>
      <c r="S11" s="32">
        <v>10.787304678447189</v>
      </c>
      <c r="T11" s="32">
        <v>10.677971403237823</v>
      </c>
      <c r="U11" s="32">
        <v>10.144255107882229</v>
      </c>
      <c r="V11" s="32">
        <v>10.569928606241392</v>
      </c>
      <c r="W11" s="32">
        <v>9.8756920079149033</v>
      </c>
      <c r="X11" s="32">
        <v>11.260165465379377</v>
      </c>
      <c r="Y11" s="32">
        <v>9.964634231925217</v>
      </c>
      <c r="Z11" s="32">
        <v>10.848881774119219</v>
      </c>
      <c r="AA11" s="32"/>
      <c r="AB11" s="32">
        <v>4.6601723097903527</v>
      </c>
      <c r="AC11" s="32">
        <v>4.0038832701360638</v>
      </c>
      <c r="AD11" s="32">
        <v>3.8405670131818859</v>
      </c>
      <c r="AE11" s="32">
        <v>4.010192254310887</v>
      </c>
      <c r="AF11" s="32">
        <v>3.9345362763010443</v>
      </c>
      <c r="AG11" s="32">
        <v>3.4524464726925799</v>
      </c>
      <c r="AH11" s="32">
        <v>4.053611019653907</v>
      </c>
      <c r="AI11" s="32">
        <v>3.324371058574628</v>
      </c>
      <c r="AJ11" s="32">
        <v>4.0926613710789095</v>
      </c>
      <c r="AK11" s="32">
        <v>3.675848336460894</v>
      </c>
      <c r="AL11" s="32">
        <v>4.4102626557347806</v>
      </c>
      <c r="AM11" s="42">
        <v>4.6922301616053739</v>
      </c>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row>
    <row r="12" spans="1:131">
      <c r="A12" s="18" t="s">
        <v>471</v>
      </c>
      <c r="B12" s="18"/>
      <c r="C12" s="32">
        <v>725.50864856337955</v>
      </c>
      <c r="D12" s="32">
        <v>158.12338805804768</v>
      </c>
      <c r="E12" s="32">
        <v>31.624677611609538</v>
      </c>
      <c r="F12" s="32">
        <v>189.74806566965722</v>
      </c>
      <c r="G12" s="32">
        <v>580.20697936805198</v>
      </c>
      <c r="H12" s="32">
        <v>571.66650519773998</v>
      </c>
      <c r="I12" s="32">
        <v>2291.0726957667548</v>
      </c>
      <c r="J12" s="32">
        <v>3.1223189376269889</v>
      </c>
      <c r="K12" s="32">
        <v>39.162427820666892</v>
      </c>
      <c r="L12" s="245">
        <v>0.98528029742142353</v>
      </c>
      <c r="M12" s="32">
        <v>8.4916792611080467</v>
      </c>
      <c r="N12" s="32">
        <v>0.13638573696630285</v>
      </c>
      <c r="O12" s="32">
        <v>45.49311703756532</v>
      </c>
      <c r="P12" s="32">
        <v>40.905691843972178</v>
      </c>
      <c r="Q12" s="32">
        <v>47.071935463762948</v>
      </c>
      <c r="R12" s="32">
        <v>43.792008246766201</v>
      </c>
      <c r="S12" s="32">
        <v>44.709046797035434</v>
      </c>
      <c r="T12" s="32">
        <v>44.255904268524567</v>
      </c>
      <c r="U12" s="32">
        <v>42.043864510987241</v>
      </c>
      <c r="V12" s="32">
        <v>43.808110254080241</v>
      </c>
      <c r="W12" s="32">
        <v>40.930778289515608</v>
      </c>
      <c r="X12" s="32">
        <v>46.668864905600934</v>
      </c>
      <c r="Y12" s="32">
        <v>41.299408097798903</v>
      </c>
      <c r="Z12" s="32">
        <v>44.964259135436045</v>
      </c>
      <c r="AA12" s="32"/>
      <c r="AB12" s="32">
        <v>19.314543168225171</v>
      </c>
      <c r="AC12" s="32">
        <v>16.594488598439092</v>
      </c>
      <c r="AD12" s="32">
        <v>15.917608284724611</v>
      </c>
      <c r="AE12" s="32">
        <v>16.62063680479109</v>
      </c>
      <c r="AF12" s="32">
        <v>16.307073151761461</v>
      </c>
      <c r="AG12" s="32">
        <v>14.309004474516398</v>
      </c>
      <c r="AH12" s="32">
        <v>16.800590154534618</v>
      </c>
      <c r="AI12" s="32">
        <v>13.778183305184831</v>
      </c>
      <c r="AJ12" s="32">
        <v>16.962438182503028</v>
      </c>
      <c r="AK12" s="32">
        <v>15.234915504147224</v>
      </c>
      <c r="AL12" s="32">
        <v>18.278767990712538</v>
      </c>
      <c r="AM12" s="42">
        <v>19.447410092793817</v>
      </c>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row>
    <row r="13" spans="1:131">
      <c r="A13" s="18" t="s">
        <v>487</v>
      </c>
      <c r="B13" s="18"/>
      <c r="C13" s="32">
        <v>876.35543835313615</v>
      </c>
      <c r="D13" s="32">
        <v>216.82180597992453</v>
      </c>
      <c r="E13" s="32">
        <v>43.364361195984912</v>
      </c>
      <c r="F13" s="32">
        <v>260.18616717590942</v>
      </c>
      <c r="G13" s="32">
        <v>795.59087781850258</v>
      </c>
      <c r="H13" s="32">
        <v>757.5472656503689</v>
      </c>
      <c r="I13" s="32">
        <v>2600.8063905487261</v>
      </c>
      <c r="J13" s="32">
        <v>4.9873515751201429</v>
      </c>
      <c r="K13" s="32">
        <v>41.490514765217398</v>
      </c>
      <c r="L13" s="245">
        <v>0.95218194020468327</v>
      </c>
      <c r="M13" s="32">
        <v>11.46384521071518</v>
      </c>
      <c r="N13" s="32">
        <v>0.16474287734666271</v>
      </c>
      <c r="O13" s="32">
        <v>54.951985207138776</v>
      </c>
      <c r="P13" s="32">
        <v>49.410748690655907</v>
      </c>
      <c r="Q13" s="32">
        <v>56.859069453081531</v>
      </c>
      <c r="R13" s="32">
        <v>52.89718414722158</v>
      </c>
      <c r="S13" s="32">
        <v>54.004892128786331</v>
      </c>
      <c r="T13" s="32">
        <v>53.457532810608747</v>
      </c>
      <c r="U13" s="32">
        <v>50.785568699347237</v>
      </c>
      <c r="V13" s="32">
        <v>52.916634062403141</v>
      </c>
      <c r="W13" s="32">
        <v>49.44105107647097</v>
      </c>
      <c r="X13" s="32">
        <v>56.372193002490931</v>
      </c>
      <c r="Y13" s="32">
        <v>49.886325902440078</v>
      </c>
      <c r="Z13" s="32">
        <v>54.313167875926034</v>
      </c>
      <c r="AA13" s="32"/>
      <c r="AB13" s="32">
        <v>23.330397202428209</v>
      </c>
      <c r="AC13" s="32">
        <v>20.044792517260777</v>
      </c>
      <c r="AD13" s="32">
        <v>19.227176152228513</v>
      </c>
      <c r="AE13" s="32">
        <v>20.076377423774474</v>
      </c>
      <c r="AF13" s="32">
        <v>19.697618034556267</v>
      </c>
      <c r="AG13" s="32">
        <v>17.284113584989665</v>
      </c>
      <c r="AH13" s="32">
        <v>20.293746433792315</v>
      </c>
      <c r="AI13" s="32">
        <v>16.642924786678535</v>
      </c>
      <c r="AJ13" s="32">
        <v>20.489245687698808</v>
      </c>
      <c r="AK13" s="32">
        <v>18.40253879998177</v>
      </c>
      <c r="AL13" s="32">
        <v>22.079265032574984</v>
      </c>
      <c r="AM13" s="42">
        <v>23.490889640600454</v>
      </c>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row>
    <row r="14" spans="1:131">
      <c r="A14" s="18" t="s">
        <v>477</v>
      </c>
      <c r="B14" s="18"/>
      <c r="C14" s="32">
        <v>33.48225909205005</v>
      </c>
      <c r="D14" s="32">
        <v>9.8287573310080454</v>
      </c>
      <c r="E14" s="32">
        <v>1.9657514662016091</v>
      </c>
      <c r="F14" s="32">
        <v>11.794508797209655</v>
      </c>
      <c r="G14" s="32">
        <v>36.064959598970191</v>
      </c>
      <c r="H14" s="32">
        <v>32.336976626098462</v>
      </c>
      <c r="I14" s="32">
        <v>3085.8102130894927</v>
      </c>
      <c r="J14" s="32">
        <v>7.9077569865630482</v>
      </c>
      <c r="K14" s="32">
        <v>46.488987183778313</v>
      </c>
      <c r="L14" s="245">
        <v>0.89663143909418996</v>
      </c>
      <c r="M14" s="32">
        <v>0.49909232477071264</v>
      </c>
      <c r="N14" s="32">
        <v>6.2942083331581616E-3</v>
      </c>
      <c r="O14" s="32">
        <v>2.0995095435084292</v>
      </c>
      <c r="P14" s="32">
        <v>1.8877996497650118</v>
      </c>
      <c r="Q14" s="32">
        <v>2.172372089957638</v>
      </c>
      <c r="R14" s="32">
        <v>2.0210032908399276</v>
      </c>
      <c r="S14" s="32">
        <v>2.0633246641251559</v>
      </c>
      <c r="T14" s="32">
        <v>2.0424121145983225</v>
      </c>
      <c r="U14" s="32">
        <v>1.9403263731940832</v>
      </c>
      <c r="V14" s="32">
        <v>2.0217463992533942</v>
      </c>
      <c r="W14" s="32">
        <v>1.888957390435708</v>
      </c>
      <c r="X14" s="32">
        <v>2.153770364275275</v>
      </c>
      <c r="Y14" s="32">
        <v>1.9059696738515355</v>
      </c>
      <c r="Z14" s="32">
        <v>2.0751027258405301</v>
      </c>
      <c r="AA14" s="32"/>
      <c r="AB14" s="32">
        <v>0.89136709794384483</v>
      </c>
      <c r="AC14" s="32">
        <v>0.76583644847408006</v>
      </c>
      <c r="AD14" s="32">
        <v>0.73459838937861166</v>
      </c>
      <c r="AE14" s="32">
        <v>0.76704318945725614</v>
      </c>
      <c r="AF14" s="32">
        <v>0.7525722117599164</v>
      </c>
      <c r="AG14" s="32">
        <v>0.66036124602201496</v>
      </c>
      <c r="AH14" s="32">
        <v>0.77534804521952172</v>
      </c>
      <c r="AI14" s="32">
        <v>0.63586382347812398</v>
      </c>
      <c r="AJ14" s="32">
        <v>0.78281733950940546</v>
      </c>
      <c r="AK14" s="32">
        <v>0.70309208465732853</v>
      </c>
      <c r="AL14" s="32">
        <v>0.8435660235896465</v>
      </c>
      <c r="AM14" s="42">
        <v>0.89749891291528627</v>
      </c>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row>
    <row r="15" spans="1:131">
      <c r="A15" s="18" t="s">
        <v>495</v>
      </c>
      <c r="B15" s="18"/>
      <c r="C15" s="32">
        <v>49.258523536046013</v>
      </c>
      <c r="D15" s="32">
        <v>13.12021635203703</v>
      </c>
      <c r="E15" s="32">
        <v>2.6240432704074061</v>
      </c>
      <c r="F15" s="32">
        <v>15.744259622444435</v>
      </c>
      <c r="G15" s="32">
        <v>48.142410757579853</v>
      </c>
      <c r="H15" s="32">
        <v>41.803519424346412</v>
      </c>
      <c r="I15" s="32">
        <v>2799.9157179708695</v>
      </c>
      <c r="J15" s="32">
        <v>6.1862698727661556</v>
      </c>
      <c r="K15" s="32">
        <v>47.765199650670738</v>
      </c>
      <c r="L15" s="245">
        <v>0.86833041317451254</v>
      </c>
      <c r="M15" s="32">
        <v>0.63037591976152396</v>
      </c>
      <c r="N15" s="32">
        <v>9.2599310120404718E-3</v>
      </c>
      <c r="O15" s="32">
        <v>3.0887623197330401</v>
      </c>
      <c r="P15" s="32">
        <v>2.7772983663867725</v>
      </c>
      <c r="Q15" s="32">
        <v>3.1959564445170749</v>
      </c>
      <c r="R15" s="32">
        <v>2.9732652714554235</v>
      </c>
      <c r="S15" s="32">
        <v>3.0355277477213454</v>
      </c>
      <c r="T15" s="32">
        <v>3.0047615646440859</v>
      </c>
      <c r="U15" s="32">
        <v>2.8545747782080002</v>
      </c>
      <c r="V15" s="32">
        <v>2.9743585197686264</v>
      </c>
      <c r="W15" s="32">
        <v>2.7790016145433363</v>
      </c>
      <c r="X15" s="32">
        <v>3.1685899057236013</v>
      </c>
      <c r="Y15" s="32">
        <v>2.8040297932195895</v>
      </c>
      <c r="Z15" s="32">
        <v>3.0528554294832224</v>
      </c>
      <c r="AA15" s="32"/>
      <c r="AB15" s="32">
        <v>1.311363939112137</v>
      </c>
      <c r="AC15" s="32">
        <v>1.1266854072842254</v>
      </c>
      <c r="AD15" s="32">
        <v>1.08072851217317</v>
      </c>
      <c r="AE15" s="32">
        <v>1.1284607438574914</v>
      </c>
      <c r="AF15" s="32">
        <v>1.1071712904327893</v>
      </c>
      <c r="AG15" s="32">
        <v>0.9715121040680188</v>
      </c>
      <c r="AH15" s="32">
        <v>1.1406787047753721</v>
      </c>
      <c r="AI15" s="32">
        <v>0.93547191748343927</v>
      </c>
      <c r="AJ15" s="32">
        <v>1.1516674020303688</v>
      </c>
      <c r="AK15" s="32">
        <v>1.0343769787124049</v>
      </c>
      <c r="AL15" s="32">
        <v>1.2410398209081881</v>
      </c>
      <c r="AM15" s="42">
        <v>1.3203849598042905</v>
      </c>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row>
    <row r="16" spans="1:131">
      <c r="A16" s="18" t="s">
        <v>473</v>
      </c>
      <c r="B16" s="18"/>
      <c r="C16" s="32">
        <v>90.211161063706868</v>
      </c>
      <c r="D16" s="32">
        <v>23.581332777662279</v>
      </c>
      <c r="E16" s="32">
        <v>4.7162665555324557</v>
      </c>
      <c r="F16" s="32">
        <v>28.297599333194736</v>
      </c>
      <c r="G16" s="32">
        <v>86.527704904587139</v>
      </c>
      <c r="H16" s="32">
        <v>72.64521255746952</v>
      </c>
      <c r="I16" s="32">
        <v>2747.8525632069936</v>
      </c>
      <c r="J16" s="32">
        <v>5.8727764282965875</v>
      </c>
      <c r="K16" s="32">
        <v>49.619656481615465</v>
      </c>
      <c r="L16" s="245">
        <v>0.83956014593908801</v>
      </c>
      <c r="M16" s="32">
        <v>1.0840125177375983</v>
      </c>
      <c r="N16" s="32">
        <v>1.6958468666944754E-2</v>
      </c>
      <c r="O16" s="32">
        <v>5.6567029441928875</v>
      </c>
      <c r="P16" s="32">
        <v>5.0862935440756054</v>
      </c>
      <c r="Q16" s="32">
        <v>5.85301630809019</v>
      </c>
      <c r="R16" s="32">
        <v>5.4451837577330986</v>
      </c>
      <c r="S16" s="32">
        <v>5.5592101205115148</v>
      </c>
      <c r="T16" s="32">
        <v>5.5028654942892699</v>
      </c>
      <c r="U16" s="32">
        <v>5.2278161544341701</v>
      </c>
      <c r="V16" s="32">
        <v>5.447185912742734</v>
      </c>
      <c r="W16" s="32">
        <v>5.0894128416662197</v>
      </c>
      <c r="X16" s="32">
        <v>5.8028977283676832</v>
      </c>
      <c r="Y16" s="32">
        <v>5.1352489913437971</v>
      </c>
      <c r="Z16" s="32">
        <v>5.5909437206698192</v>
      </c>
      <c r="AA16" s="32"/>
      <c r="AB16" s="32">
        <v>2.4016079864394162</v>
      </c>
      <c r="AC16" s="32">
        <v>2.0633910935285829</v>
      </c>
      <c r="AD16" s="32">
        <v>1.9792264745095511</v>
      </c>
      <c r="AE16" s="32">
        <v>2.0666424125299732</v>
      </c>
      <c r="AF16" s="32">
        <v>2.0276532960484639</v>
      </c>
      <c r="AG16" s="32">
        <v>1.7792095378434836</v>
      </c>
      <c r="AH16" s="32">
        <v>2.0890181631841003</v>
      </c>
      <c r="AI16" s="32">
        <v>1.7132061978455155</v>
      </c>
      <c r="AJ16" s="32">
        <v>2.1091426627993881</v>
      </c>
      <c r="AK16" s="32">
        <v>1.8943391220187884</v>
      </c>
      <c r="AL16" s="32">
        <v>2.2728176797361059</v>
      </c>
      <c r="AM16" s="42">
        <v>2.4181289191064983</v>
      </c>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row>
    <row r="17" spans="1:131">
      <c r="A17" s="18" t="s">
        <v>489</v>
      </c>
      <c r="B17" s="18"/>
      <c r="C17" s="32">
        <v>29.02532048555036</v>
      </c>
      <c r="D17" s="32">
        <v>14.592559195953807</v>
      </c>
      <c r="E17" s="32">
        <v>2.9185118391907618</v>
      </c>
      <c r="F17" s="32">
        <v>17.511071035144568</v>
      </c>
      <c r="G17" s="32">
        <v>53.544923343191265</v>
      </c>
      <c r="H17" s="32">
        <v>40.529783254753092</v>
      </c>
      <c r="I17" s="32">
        <v>5284.9367277178508</v>
      </c>
      <c r="J17" s="32">
        <v>21.149592772771506</v>
      </c>
      <c r="K17" s="32">
        <v>71.290774467423859</v>
      </c>
      <c r="L17" s="245">
        <v>0.75693045622609578</v>
      </c>
      <c r="M17" s="32">
        <v>0.65764799613854685</v>
      </c>
      <c r="N17" s="32">
        <v>5.4563646249340203E-3</v>
      </c>
      <c r="O17" s="32">
        <v>1.8200366108890449</v>
      </c>
      <c r="P17" s="32">
        <v>1.6365081488766495</v>
      </c>
      <c r="Q17" s="32">
        <v>1.8832001733077988</v>
      </c>
      <c r="R17" s="32">
        <v>1.7519805953866772</v>
      </c>
      <c r="S17" s="32">
        <v>1.7886684251897753</v>
      </c>
      <c r="T17" s="32">
        <v>1.7705396170195284</v>
      </c>
      <c r="U17" s="32">
        <v>1.682042859583988</v>
      </c>
      <c r="V17" s="32">
        <v>1.7526247860847148</v>
      </c>
      <c r="W17" s="32">
        <v>1.6375117787068147</v>
      </c>
      <c r="X17" s="32">
        <v>1.8670745872763868</v>
      </c>
      <c r="Y17" s="32">
        <v>1.6522594985956636</v>
      </c>
      <c r="Z17" s="32">
        <v>1.7988786686219007</v>
      </c>
      <c r="AA17" s="32"/>
      <c r="AB17" s="32">
        <v>0.77271415936919541</v>
      </c>
      <c r="AC17" s="32">
        <v>0.66389332617504804</v>
      </c>
      <c r="AD17" s="32">
        <v>0.63681347250986275</v>
      </c>
      <c r="AE17" s="32">
        <v>0.6649394337176554</v>
      </c>
      <c r="AF17" s="32">
        <v>0.65239473760710331</v>
      </c>
      <c r="AG17" s="32">
        <v>0.5724582905033837</v>
      </c>
      <c r="AH17" s="32">
        <v>0.67213880158059813</v>
      </c>
      <c r="AI17" s="32">
        <v>0.55122180408675459</v>
      </c>
      <c r="AJ17" s="32">
        <v>0.67861383243107742</v>
      </c>
      <c r="AK17" s="32">
        <v>0.60950108031623729</v>
      </c>
      <c r="AL17" s="32">
        <v>0.73127605034346166</v>
      </c>
      <c r="AM17" s="42">
        <v>0.77802974737103481</v>
      </c>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row>
    <row r="18" spans="1:131">
      <c r="A18" s="18" t="s">
        <v>485</v>
      </c>
      <c r="B18" s="18"/>
      <c r="C18" s="32">
        <v>199.16136222239018</v>
      </c>
      <c r="D18" s="32">
        <v>82.302349885604954</v>
      </c>
      <c r="E18" s="32">
        <v>16.46046997712099</v>
      </c>
      <c r="F18" s="32">
        <v>98.762819862725948</v>
      </c>
      <c r="G18" s="32">
        <v>301.9945272390022</v>
      </c>
      <c r="H18" s="32">
        <v>202.66650947278561</v>
      </c>
      <c r="I18" s="32">
        <v>4344.026835041479</v>
      </c>
      <c r="J18" s="32">
        <v>15.483991359864566</v>
      </c>
      <c r="K18" s="32">
        <v>74.993771804073788</v>
      </c>
      <c r="L18" s="245">
        <v>0.67109331856332888</v>
      </c>
      <c r="M18" s="32">
        <v>3.1544835028211939</v>
      </c>
      <c r="N18" s="32">
        <v>3.7439621451377587E-2</v>
      </c>
      <c r="O18" s="32">
        <v>12.488439908862953</v>
      </c>
      <c r="P18" s="32">
        <v>11.229133279702202</v>
      </c>
      <c r="Q18" s="32">
        <v>12.92184567058057</v>
      </c>
      <c r="R18" s="32">
        <v>12.021463884890116</v>
      </c>
      <c r="S18" s="32">
        <v>12.273202643957591</v>
      </c>
      <c r="T18" s="32">
        <v>12.148809249836335</v>
      </c>
      <c r="U18" s="32">
        <v>11.541576169605545</v>
      </c>
      <c r="V18" s="32">
        <v>12.025884090931115</v>
      </c>
      <c r="W18" s="32">
        <v>11.236019828439616</v>
      </c>
      <c r="X18" s="32">
        <v>12.8111976699065</v>
      </c>
      <c r="Y18" s="32">
        <v>11.337213404724139</v>
      </c>
      <c r="Z18" s="32">
        <v>12.343261680569316</v>
      </c>
      <c r="AA18" s="32"/>
      <c r="AB18" s="32">
        <v>5.3020880394795737</v>
      </c>
      <c r="AC18" s="32">
        <v>4.5553984245307486</v>
      </c>
      <c r="AD18" s="32">
        <v>4.3695861594284153</v>
      </c>
      <c r="AE18" s="32">
        <v>4.5625764401299396</v>
      </c>
      <c r="AF18" s="32">
        <v>4.4764992246419224</v>
      </c>
      <c r="AG18" s="32">
        <v>3.9280039305306871</v>
      </c>
      <c r="AH18" s="32">
        <v>4.6119759260525015</v>
      </c>
      <c r="AI18" s="32">
        <v>3.782286760390956</v>
      </c>
      <c r="AJ18" s="32">
        <v>4.6564052706054913</v>
      </c>
      <c r="AK18" s="32">
        <v>4.182178298159748</v>
      </c>
      <c r="AL18" s="32">
        <v>5.0177545643128312</v>
      </c>
      <c r="AM18" s="42">
        <v>5.338561702121349</v>
      </c>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row>
    <row r="19" spans="1:131">
      <c r="A19" s="18" t="s">
        <v>481</v>
      </c>
      <c r="B19" s="18"/>
      <c r="C19" s="32">
        <v>37.459341284727984</v>
      </c>
      <c r="D19" s="32">
        <v>15.378181835946435</v>
      </c>
      <c r="E19" s="32">
        <v>3.0756363671892872</v>
      </c>
      <c r="F19" s="32">
        <v>18.453818203135722</v>
      </c>
      <c r="G19" s="32">
        <v>56.427632501345293</v>
      </c>
      <c r="H19" s="32">
        <v>31.18768580655545</v>
      </c>
      <c r="I19" s="32">
        <v>4315.4909273691683</v>
      </c>
      <c r="J19" s="32">
        <v>15.31216504569227</v>
      </c>
      <c r="K19" s="32">
        <v>87.875319189015713</v>
      </c>
      <c r="L19" s="245">
        <v>0.55270236272648698</v>
      </c>
      <c r="M19" s="32">
        <v>0.46853328841395991</v>
      </c>
      <c r="N19" s="32">
        <v>7.0418455762124117E-3</v>
      </c>
      <c r="O19" s="32">
        <v>2.3488930153909262</v>
      </c>
      <c r="P19" s="32">
        <v>2.1120358445146885</v>
      </c>
      <c r="Q19" s="32">
        <v>2.4304103044965264</v>
      </c>
      <c r="R19" s="32">
        <v>2.261061650619224</v>
      </c>
      <c r="S19" s="32">
        <v>2.3084100317774761</v>
      </c>
      <c r="T19" s="32">
        <v>2.285013452481385</v>
      </c>
      <c r="U19" s="32">
        <v>2.1708017854295085</v>
      </c>
      <c r="V19" s="32">
        <v>2.2618930267696529</v>
      </c>
      <c r="W19" s="32">
        <v>2.1133311036781635</v>
      </c>
      <c r="X19" s="32">
        <v>2.4095990328047079</v>
      </c>
      <c r="Y19" s="32">
        <v>2.1323641363284995</v>
      </c>
      <c r="Z19" s="32">
        <v>2.3215871125788592</v>
      </c>
      <c r="AA19" s="32"/>
      <c r="AB19" s="32">
        <v>0.99724526472540465</v>
      </c>
      <c r="AC19" s="32">
        <v>0.85680386179456192</v>
      </c>
      <c r="AD19" s="32">
        <v>0.82185529056725504</v>
      </c>
      <c r="AE19" s="32">
        <v>0.85815394161464753</v>
      </c>
      <c r="AF19" s="32">
        <v>0.84196407548888652</v>
      </c>
      <c r="AG19" s="32">
        <v>0.73880012749260104</v>
      </c>
      <c r="AH19" s="32">
        <v>0.8674452628921</v>
      </c>
      <c r="AI19" s="32">
        <v>0.71139285759647597</v>
      </c>
      <c r="AJ19" s="32">
        <v>0.87580177322169317</v>
      </c>
      <c r="AK19" s="32">
        <v>0.7866066110223493</v>
      </c>
      <c r="AL19" s="32">
        <v>0.94376629387436872</v>
      </c>
      <c r="AM19" s="42">
        <v>1.0041054275680177</v>
      </c>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row>
    <row r="20" spans="1:131">
      <c r="A20" s="18" t="s">
        <v>479</v>
      </c>
      <c r="B20" s="18"/>
      <c r="C20" s="32">
        <v>236.73046392719183</v>
      </c>
      <c r="D20" s="32">
        <v>143.75452147683055</v>
      </c>
      <c r="E20" s="32">
        <v>28.750904295366112</v>
      </c>
      <c r="F20" s="32">
        <v>172.50542577219665</v>
      </c>
      <c r="G20" s="32">
        <v>527.48285817119267</v>
      </c>
      <c r="H20" s="32">
        <v>228.57088631281783</v>
      </c>
      <c r="I20" s="32">
        <v>6383.4096579526285</v>
      </c>
      <c r="J20" s="32">
        <v>27.763945362768958</v>
      </c>
      <c r="K20" s="32">
        <v>131.20556367350659</v>
      </c>
      <c r="L20" s="245">
        <v>0.43332381853181656</v>
      </c>
      <c r="M20" s="32">
        <v>3.5276278521088864</v>
      </c>
      <c r="N20" s="32">
        <v>4.4502100490486855E-2</v>
      </c>
      <c r="O20" s="32">
        <v>14.844215466104197</v>
      </c>
      <c r="P20" s="32">
        <v>13.347357645785983</v>
      </c>
      <c r="Q20" s="32">
        <v>15.359377372486231</v>
      </c>
      <c r="R20" s="32">
        <v>14.289150720792177</v>
      </c>
      <c r="S20" s="32">
        <v>14.588376597526009</v>
      </c>
      <c r="T20" s="32">
        <v>14.440518069289391</v>
      </c>
      <c r="U20" s="32">
        <v>13.718738667949205</v>
      </c>
      <c r="V20" s="32">
        <v>14.294404739016713</v>
      </c>
      <c r="W20" s="32">
        <v>13.355543248953554</v>
      </c>
      <c r="X20" s="32">
        <v>15.22785712056638</v>
      </c>
      <c r="Y20" s="32">
        <v>13.475825626985982</v>
      </c>
      <c r="Z20" s="32">
        <v>14.671651325386462</v>
      </c>
      <c r="AA20" s="32"/>
      <c r="AB20" s="32">
        <v>6.3022553539639627</v>
      </c>
      <c r="AC20" s="32">
        <v>5.4147128257145773</v>
      </c>
      <c r="AD20" s="32">
        <v>5.1938495858261096</v>
      </c>
      <c r="AE20" s="32">
        <v>5.4232448770317196</v>
      </c>
      <c r="AF20" s="32">
        <v>5.3209303571436433</v>
      </c>
      <c r="AG20" s="32">
        <v>4.6689688321373781</v>
      </c>
      <c r="AH20" s="32">
        <v>5.4819629089316733</v>
      </c>
      <c r="AI20" s="32">
        <v>4.4957640854716221</v>
      </c>
      <c r="AJ20" s="32">
        <v>5.5347732494045703</v>
      </c>
      <c r="AK20" s="32">
        <v>4.9710897620998855</v>
      </c>
      <c r="AL20" s="32">
        <v>5.9642862080656087</v>
      </c>
      <c r="AM20" s="42">
        <v>6.3456092805587705</v>
      </c>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row>
    <row r="21" spans="1:131">
      <c r="A21" s="18" t="s">
        <v>475</v>
      </c>
      <c r="B21" s="18"/>
      <c r="C21" s="32">
        <v>24.700676711430738</v>
      </c>
      <c r="D21" s="32">
        <v>16.176643769731875</v>
      </c>
      <c r="E21" s="32">
        <v>3.2353287539463751</v>
      </c>
      <c r="F21" s="32">
        <v>19.411972523678251</v>
      </c>
      <c r="G21" s="32">
        <v>59.357453272526556</v>
      </c>
      <c r="H21" s="32">
        <v>18.917428496047027</v>
      </c>
      <c r="I21" s="32">
        <v>6884.3813995074843</v>
      </c>
      <c r="J21" s="32">
        <v>30.780500113517938</v>
      </c>
      <c r="K21" s="32">
        <v>158.76451573600036</v>
      </c>
      <c r="L21" s="245">
        <v>0.31870350651992863</v>
      </c>
      <c r="M21" s="32">
        <v>0.27928640198987775</v>
      </c>
      <c r="N21" s="32">
        <v>4.6433905419675766E-3</v>
      </c>
      <c r="O21" s="32">
        <v>1.5488592434636106</v>
      </c>
      <c r="P21" s="32">
        <v>1.3926757067556841</v>
      </c>
      <c r="Q21" s="32">
        <v>1.6026117157584336</v>
      </c>
      <c r="R21" s="32">
        <v>1.4909432718543059</v>
      </c>
      <c r="S21" s="32">
        <v>1.5221647780444427</v>
      </c>
      <c r="T21" s="32">
        <v>1.5067370817335703</v>
      </c>
      <c r="U21" s="32">
        <v>1.43142594790773</v>
      </c>
      <c r="V21" s="32">
        <v>1.4914914810008908</v>
      </c>
      <c r="W21" s="32">
        <v>1.39352980020093</v>
      </c>
      <c r="X21" s="32">
        <v>1.5888887703893186</v>
      </c>
      <c r="Y21" s="32">
        <v>1.4060801753599754</v>
      </c>
      <c r="Z21" s="32">
        <v>1.5308537405758809</v>
      </c>
      <c r="AA21" s="32"/>
      <c r="AB21" s="32">
        <v>0.65758318329078591</v>
      </c>
      <c r="AC21" s="32">
        <v>0.56497617068138839</v>
      </c>
      <c r="AD21" s="32">
        <v>0.54193109487905278</v>
      </c>
      <c r="AE21" s="32">
        <v>0.56586641284867811</v>
      </c>
      <c r="AF21" s="32">
        <v>0.55519082071441905</v>
      </c>
      <c r="AG21" s="32">
        <v>0.48716454901994061</v>
      </c>
      <c r="AH21" s="32">
        <v>0.5719931068914792</v>
      </c>
      <c r="AI21" s="32">
        <v>0.46909220471197721</v>
      </c>
      <c r="AJ21" s="32">
        <v>0.5775033869179772</v>
      </c>
      <c r="AK21" s="32">
        <v>0.51868812775569584</v>
      </c>
      <c r="AL21" s="32">
        <v>0.62231916837363044</v>
      </c>
      <c r="AM21" s="42">
        <v>0.66210677230093873</v>
      </c>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row>
    <row r="22" spans="1:131">
      <c r="A22" s="18"/>
      <c r="B22" s="18"/>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4"/>
  <dimension ref="A1:EA220"/>
  <sheetViews>
    <sheetView workbookViewId="0">
      <selection activeCell="A64" sqref="A64:EA220"/>
    </sheetView>
  </sheetViews>
  <sheetFormatPr defaultRowHeight="12.75"/>
  <cols>
    <col min="1" max="1" width="38.28515625" customWidth="1"/>
    <col min="2" max="2" width="43.8554687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s>
  <sheetData>
    <row r="1" spans="1:23">
      <c r="A1" s="74" t="s">
        <v>199</v>
      </c>
      <c r="B1" s="75"/>
      <c r="C1" s="75"/>
      <c r="D1" s="75"/>
      <c r="E1" s="75"/>
      <c r="F1" s="75"/>
      <c r="G1" s="75"/>
      <c r="H1" s="76"/>
      <c r="I1" s="77"/>
      <c r="J1" s="77"/>
      <c r="K1" s="77"/>
      <c r="L1" s="77"/>
      <c r="M1" s="77"/>
      <c r="N1" s="78"/>
      <c r="O1" s="79"/>
      <c r="P1" s="78"/>
      <c r="Q1" s="78"/>
      <c r="R1" s="78"/>
      <c r="S1" s="76"/>
      <c r="T1" s="76"/>
      <c r="U1" s="76"/>
      <c r="V1" s="78"/>
      <c r="W1" s="76"/>
    </row>
    <row r="2" spans="1:23">
      <c r="A2" s="80" t="s">
        <v>179</v>
      </c>
      <c r="B2" s="84" t="str">
        <f>'7PSourceSummary'!B3</f>
        <v>Commercial EM</v>
      </c>
      <c r="C2" s="76"/>
      <c r="D2" s="76"/>
      <c r="E2" s="76"/>
      <c r="F2" s="76"/>
      <c r="G2" s="76"/>
      <c r="H2" s="76"/>
      <c r="I2" s="77"/>
      <c r="J2" s="77"/>
      <c r="K2" s="77"/>
      <c r="L2" s="77"/>
      <c r="M2" s="77"/>
      <c r="N2" s="78"/>
      <c r="O2" s="78"/>
      <c r="P2" s="78"/>
      <c r="Q2" s="78"/>
      <c r="R2" s="78"/>
      <c r="S2" s="76"/>
      <c r="T2" s="76"/>
      <c r="U2" s="76"/>
      <c r="V2" s="78"/>
      <c r="W2" s="76"/>
    </row>
    <row r="3" spans="1:23">
      <c r="A3" s="80" t="s">
        <v>200</v>
      </c>
      <c r="B3" s="18"/>
      <c r="C3" s="80">
        <v>2012</v>
      </c>
      <c r="D3" s="18"/>
      <c r="E3" s="18"/>
      <c r="F3" s="18"/>
      <c r="G3" s="18"/>
      <c r="H3" s="18"/>
      <c r="I3" s="18"/>
      <c r="J3" s="81"/>
      <c r="K3" s="82"/>
      <c r="L3" s="18"/>
      <c r="M3" s="18"/>
      <c r="N3" s="18"/>
      <c r="O3" s="18"/>
      <c r="P3" s="18"/>
      <c r="Q3" s="18"/>
      <c r="R3" s="18"/>
      <c r="S3" s="18"/>
      <c r="T3" s="18"/>
      <c r="U3" s="18"/>
      <c r="V3" s="18"/>
      <c r="W3" s="18"/>
    </row>
    <row r="4" spans="1:23">
      <c r="A4" s="18"/>
      <c r="B4" s="189" t="s">
        <v>441</v>
      </c>
      <c r="C4" s="18">
        <v>1000</v>
      </c>
      <c r="D4" s="18"/>
      <c r="E4" s="18"/>
      <c r="F4" s="18"/>
      <c r="G4" s="18"/>
      <c r="H4" s="18"/>
      <c r="I4" s="18"/>
      <c r="J4" s="18"/>
      <c r="K4" s="18"/>
      <c r="L4" s="18"/>
      <c r="M4" s="18"/>
      <c r="N4" s="18"/>
      <c r="O4" s="18"/>
      <c r="P4" s="18"/>
      <c r="Q4" s="18"/>
      <c r="R4" s="18"/>
      <c r="S4" s="18"/>
      <c r="T4" s="18"/>
      <c r="U4" s="18"/>
      <c r="V4" s="18"/>
      <c r="W4" s="18"/>
    </row>
    <row r="5" spans="1:23">
      <c r="A5" s="84">
        <v>1</v>
      </c>
      <c r="B5" s="84">
        <v>2</v>
      </c>
      <c r="C5" s="84">
        <v>3</v>
      </c>
      <c r="D5" s="84">
        <v>4</v>
      </c>
      <c r="E5" s="84">
        <v>5</v>
      </c>
      <c r="F5" s="84">
        <v>6</v>
      </c>
      <c r="G5" s="84">
        <v>7</v>
      </c>
      <c r="H5" s="84">
        <v>8</v>
      </c>
      <c r="I5" s="84">
        <v>9</v>
      </c>
      <c r="J5" s="84">
        <v>10</v>
      </c>
      <c r="K5" s="84">
        <v>11</v>
      </c>
      <c r="L5" s="84">
        <v>12</v>
      </c>
      <c r="M5" s="84">
        <v>13</v>
      </c>
      <c r="N5" s="84">
        <v>14</v>
      </c>
      <c r="O5" s="84">
        <v>15</v>
      </c>
      <c r="P5" s="84">
        <v>16</v>
      </c>
      <c r="Q5" s="84">
        <v>17</v>
      </c>
      <c r="R5" s="84">
        <v>18</v>
      </c>
      <c r="S5" s="84">
        <v>19</v>
      </c>
      <c r="T5" s="84">
        <v>20</v>
      </c>
      <c r="U5" s="84">
        <v>21</v>
      </c>
      <c r="V5" s="84">
        <v>22</v>
      </c>
      <c r="W5" s="84">
        <v>23</v>
      </c>
    </row>
    <row r="6" spans="1:23">
      <c r="A6" s="85" t="s">
        <v>201</v>
      </c>
      <c r="B6" s="86"/>
      <c r="C6" s="86"/>
      <c r="D6" s="86"/>
      <c r="E6" s="86"/>
      <c r="F6" s="86"/>
      <c r="G6" s="87"/>
      <c r="H6" s="88"/>
      <c r="I6" s="449" t="s">
        <v>202</v>
      </c>
      <c r="J6" s="450"/>
      <c r="K6" s="450"/>
      <c r="L6" s="450"/>
      <c r="M6" s="450"/>
      <c r="N6" s="451"/>
      <c r="O6" s="452" t="s">
        <v>203</v>
      </c>
      <c r="P6" s="453"/>
      <c r="Q6" s="89" t="s">
        <v>204</v>
      </c>
      <c r="R6" s="454" t="s">
        <v>205</v>
      </c>
      <c r="S6" s="454"/>
      <c r="T6" s="454"/>
      <c r="U6" s="90"/>
      <c r="V6" s="90"/>
      <c r="W6" s="90"/>
    </row>
    <row r="7" spans="1:23" ht="25.5">
      <c r="A7" s="91" t="s">
        <v>206</v>
      </c>
      <c r="B7" s="91" t="s">
        <v>178</v>
      </c>
      <c r="C7" s="91" t="s">
        <v>207</v>
      </c>
      <c r="D7" s="91" t="s">
        <v>208</v>
      </c>
      <c r="E7" s="91" t="s">
        <v>209</v>
      </c>
      <c r="F7" s="92" t="s">
        <v>210</v>
      </c>
      <c r="G7" s="91" t="s">
        <v>184</v>
      </c>
      <c r="H7" s="93" t="s">
        <v>211</v>
      </c>
      <c r="I7" s="93" t="s">
        <v>212</v>
      </c>
      <c r="J7" s="93" t="s">
        <v>213</v>
      </c>
      <c r="K7" s="93" t="s">
        <v>214</v>
      </c>
      <c r="L7" s="93" t="s">
        <v>215</v>
      </c>
      <c r="M7" s="93" t="s">
        <v>216</v>
      </c>
      <c r="N7" s="93" t="s">
        <v>217</v>
      </c>
      <c r="O7" s="94" t="s">
        <v>218</v>
      </c>
      <c r="P7" s="93" t="s">
        <v>184</v>
      </c>
      <c r="Q7" s="95" t="s">
        <v>219</v>
      </c>
      <c r="R7" s="96" t="s">
        <v>220</v>
      </c>
      <c r="S7" s="96" t="s">
        <v>221</v>
      </c>
      <c r="T7" s="96" t="s">
        <v>222</v>
      </c>
      <c r="U7" s="97"/>
      <c r="V7" s="97"/>
      <c r="W7" s="97"/>
    </row>
    <row r="8" spans="1:23" ht="15">
      <c r="A8" s="42" t="str">
        <f>MMap!B11</f>
        <v>Commercial EM-Retro-Large Off</v>
      </c>
      <c r="B8" s="42" t="str">
        <f>MMap!C11</f>
        <v>Commercial EM-Retro-Large Off-GasHt</v>
      </c>
      <c r="C8" s="101">
        <f>MMap!V11</f>
        <v>325.59543417936857</v>
      </c>
      <c r="D8" s="376">
        <f>MMap!H11</f>
        <v>5</v>
      </c>
      <c r="E8" s="102">
        <f>MMap!W11</f>
        <v>85.445230374050041</v>
      </c>
      <c r="F8" s="98"/>
      <c r="G8" t="s">
        <v>920</v>
      </c>
      <c r="H8" s="11"/>
      <c r="I8" s="11"/>
      <c r="J8" s="11"/>
      <c r="K8" s="11"/>
      <c r="L8" s="11"/>
      <c r="M8" s="11"/>
      <c r="N8" s="11"/>
      <c r="O8" s="263">
        <f>MMap!U11*'Measure InputOutput'!$C$4*MMap!J11*MMap!L11</f>
        <v>13.533738787981717</v>
      </c>
      <c r="P8" s="262" t="s">
        <v>785</v>
      </c>
      <c r="Q8" s="99" t="s">
        <v>223</v>
      </c>
      <c r="R8" s="11"/>
      <c r="S8" s="11"/>
      <c r="T8" s="11"/>
      <c r="U8" s="97"/>
      <c r="V8" s="97"/>
      <c r="W8" s="97"/>
    </row>
    <row r="9" spans="1:23" ht="15">
      <c r="A9" s="42" t="str">
        <f>MMap!B12</f>
        <v>Commercial EM-Retro-Medium Off</v>
      </c>
      <c r="B9" s="42" t="str">
        <f>MMap!C12</f>
        <v>Commercial EM-Retro-Medium Off-GasHt</v>
      </c>
      <c r="C9" s="101">
        <f>MMap!V12</f>
        <v>37.292591652604941</v>
      </c>
      <c r="D9" s="376">
        <f>MMap!H12</f>
        <v>5</v>
      </c>
      <c r="E9" s="102">
        <f>MMap!W12</f>
        <v>12.127898750660252</v>
      </c>
      <c r="F9" s="98"/>
      <c r="G9" t="s">
        <v>920</v>
      </c>
      <c r="H9" s="18"/>
      <c r="I9" s="18"/>
      <c r="J9" s="18"/>
      <c r="K9" s="18"/>
      <c r="L9" s="18"/>
      <c r="M9" s="18"/>
      <c r="N9" s="18"/>
      <c r="O9" s="263">
        <f>MMap!U12*'Measure InputOutput'!$C$4*MMap!J12*MMap!L12</f>
        <v>1.9209476411965321</v>
      </c>
      <c r="P9" s="262" t="s">
        <v>785</v>
      </c>
      <c r="Q9" s="100" t="s">
        <v>223</v>
      </c>
      <c r="R9" s="18"/>
      <c r="S9" s="18"/>
      <c r="T9" s="18"/>
      <c r="U9" s="18"/>
      <c r="V9" s="18"/>
      <c r="W9" s="18"/>
    </row>
    <row r="10" spans="1:23" ht="15">
      <c r="A10" s="42" t="str">
        <f>MMap!B13</f>
        <v>Commercial EM-Retro-Small Off</v>
      </c>
      <c r="B10" s="42" t="str">
        <f>MMap!C13</f>
        <v>Commercial EM-Retro-Small Off-GasHt</v>
      </c>
      <c r="C10" s="101">
        <f>MMap!V13</f>
        <v>5.9285057879990815</v>
      </c>
      <c r="D10" s="376">
        <f>MMap!H13</f>
        <v>5</v>
      </c>
      <c r="E10" s="102">
        <f>MMap!W13</f>
        <v>5.2985289648660432</v>
      </c>
      <c r="F10" s="98"/>
      <c r="G10" t="s">
        <v>920</v>
      </c>
      <c r="H10" s="18"/>
      <c r="I10" s="18"/>
      <c r="J10" s="18"/>
      <c r="K10" s="18"/>
      <c r="L10" s="18"/>
      <c r="M10" s="18"/>
      <c r="N10" s="18"/>
      <c r="O10" s="263">
        <f>MMap!U13*'Measure InputOutput'!$C$4*MMap!J13*MMap!L13</f>
        <v>0.37765721966821081</v>
      </c>
      <c r="P10" s="262" t="s">
        <v>785</v>
      </c>
      <c r="Q10" s="100" t="s">
        <v>223</v>
      </c>
      <c r="R10" s="18"/>
      <c r="S10" s="18"/>
      <c r="T10" s="18"/>
      <c r="U10" s="18"/>
      <c r="V10" s="18"/>
      <c r="W10" s="18"/>
    </row>
    <row r="11" spans="1:23" ht="15">
      <c r="A11" s="42" t="str">
        <f>MMap!B14</f>
        <v>Commercial EM-Retro-Xlarge Ret</v>
      </c>
      <c r="B11" s="42" t="str">
        <f>MMap!C14</f>
        <v>Commercial EM-Retro-Xlarge Ret-GasHt</v>
      </c>
      <c r="C11" s="101">
        <f>MMap!V14</f>
        <v>27.686177351277713</v>
      </c>
      <c r="D11" s="376">
        <f>MMap!H14</f>
        <v>5</v>
      </c>
      <c r="E11" s="102">
        <f>MMap!W14</f>
        <v>9.0038031906442928</v>
      </c>
      <c r="F11" s="18"/>
      <c r="G11" t="s">
        <v>920</v>
      </c>
      <c r="H11" s="18"/>
      <c r="I11" s="18"/>
      <c r="J11" s="18"/>
      <c r="K11" s="18"/>
      <c r="L11" s="18"/>
      <c r="M11" s="18"/>
      <c r="N11" s="18"/>
      <c r="O11" s="263">
        <f>MMap!U14*'Measure InputOutput'!$C$4*MMap!J14*MMap!L14</f>
        <v>1.5317581230503501</v>
      </c>
      <c r="P11" s="262" t="s">
        <v>785</v>
      </c>
      <c r="Q11" s="100" t="s">
        <v>223</v>
      </c>
      <c r="R11" s="18"/>
      <c r="S11" s="18"/>
      <c r="T11" s="18"/>
      <c r="U11" s="18"/>
      <c r="V11" s="18"/>
      <c r="W11" s="18"/>
    </row>
    <row r="12" spans="1:23" ht="15">
      <c r="A12" s="42" t="str">
        <f>MMap!B15</f>
        <v>Commercial EM-Retro-Large Ret</v>
      </c>
      <c r="B12" s="42" t="str">
        <f>MMap!C15</f>
        <v>Commercial EM-Retro-Large Ret-GasHt</v>
      </c>
      <c r="C12" s="101">
        <f>MMap!V15</f>
        <v>215.23090947322603</v>
      </c>
      <c r="D12" s="376">
        <f>MMap!H15</f>
        <v>5</v>
      </c>
      <c r="E12" s="102">
        <f>MMap!W15</f>
        <v>141.34276210877621</v>
      </c>
      <c r="F12" s="18"/>
      <c r="G12" t="s">
        <v>920</v>
      </c>
      <c r="H12" s="18"/>
      <c r="I12" s="18"/>
      <c r="J12" s="18"/>
      <c r="K12" s="18"/>
      <c r="L12" s="18"/>
      <c r="M12" s="18"/>
      <c r="N12" s="18"/>
      <c r="O12" s="263">
        <f>MMap!U15*'Measure InputOutput'!$C$4*MMap!J15*MMap!L15</f>
        <v>10.820573676994087</v>
      </c>
      <c r="P12" s="262" t="s">
        <v>785</v>
      </c>
      <c r="Q12" s="100" t="s">
        <v>223</v>
      </c>
      <c r="R12" s="18"/>
      <c r="S12" s="18"/>
      <c r="T12" s="18"/>
      <c r="U12" s="18"/>
      <c r="V12" s="18"/>
      <c r="W12" s="18"/>
    </row>
    <row r="13" spans="1:23" ht="15">
      <c r="A13" s="42" t="str">
        <f>MMap!B16</f>
        <v>Commercial EM-Retro-Medium Ret</v>
      </c>
      <c r="B13" s="42" t="str">
        <f>MMap!C16</f>
        <v>Commercial EM-Retro-Medium Ret-GasHt</v>
      </c>
      <c r="C13" s="101">
        <f>MMap!V16</f>
        <v>26.385348524881717</v>
      </c>
      <c r="D13" s="376">
        <f>MMap!H16</f>
        <v>5</v>
      </c>
      <c r="E13" s="102">
        <f>MMap!W16</f>
        <v>12.454021927434404</v>
      </c>
      <c r="F13" s="18"/>
      <c r="G13" t="s">
        <v>920</v>
      </c>
      <c r="H13" s="18"/>
      <c r="I13" s="18"/>
      <c r="J13" s="18"/>
      <c r="K13" s="18"/>
      <c r="L13" s="18"/>
      <c r="M13" s="18"/>
      <c r="N13" s="18"/>
      <c r="O13" s="263">
        <f>MMap!U16*'Measure InputOutput'!$C$4*MMap!J16*MMap!L16</f>
        <v>0.95342456755581151</v>
      </c>
      <c r="P13" s="262" t="s">
        <v>785</v>
      </c>
      <c r="Q13" s="100" t="s">
        <v>223</v>
      </c>
      <c r="R13" s="18"/>
      <c r="S13" s="18"/>
      <c r="T13" s="18"/>
      <c r="U13" s="18"/>
      <c r="V13" s="18"/>
      <c r="W13" s="18"/>
    </row>
    <row r="14" spans="1:23" ht="15">
      <c r="A14" s="42" t="str">
        <f>MMap!B17</f>
        <v>Commercial EM-Retro-Small Ret</v>
      </c>
      <c r="B14" s="42" t="str">
        <f>MMap!C17</f>
        <v>Commercial EM-Retro-Small Ret-GasHt</v>
      </c>
      <c r="C14" s="101">
        <f>MMap!V17</f>
        <v>71.182578010221945</v>
      </c>
      <c r="D14" s="376">
        <f>MMap!H17</f>
        <v>5</v>
      </c>
      <c r="E14" s="102">
        <f>MMap!W17</f>
        <v>14.442360743678432</v>
      </c>
      <c r="G14" t="s">
        <v>920</v>
      </c>
      <c r="O14" s="263">
        <f>MMap!U17*'Measure InputOutput'!$C$4*MMap!J17*MMap!L17</f>
        <v>2.4569843339245527</v>
      </c>
      <c r="P14" s="262" t="s">
        <v>785</v>
      </c>
      <c r="Q14" s="100" t="s">
        <v>223</v>
      </c>
    </row>
    <row r="15" spans="1:23" ht="15">
      <c r="A15" s="42" t="str">
        <f>MMap!B18</f>
        <v>Commercial EM-Retro-School K-12</v>
      </c>
      <c r="B15" s="42" t="str">
        <f>MMap!C18</f>
        <v>Commercial EM-Retro-School K-12-GasHt</v>
      </c>
      <c r="C15" s="101">
        <f>MMap!V18</f>
        <v>143.20533950347667</v>
      </c>
      <c r="D15" s="376">
        <f>MMap!H18</f>
        <v>5</v>
      </c>
      <c r="E15" s="102">
        <f>MMap!W18</f>
        <v>69.774106948938581</v>
      </c>
      <c r="G15" t="s">
        <v>920</v>
      </c>
      <c r="O15" s="263">
        <f>MMap!U18*'Measure InputOutput'!$C$4*MMap!J18*MMap!L18</f>
        <v>10.683191041737485</v>
      </c>
      <c r="P15" s="262" t="s">
        <v>785</v>
      </c>
      <c r="Q15" s="100" t="s">
        <v>223</v>
      </c>
    </row>
    <row r="16" spans="1:23" ht="15">
      <c r="A16" s="42" t="str">
        <f>MMap!B19</f>
        <v>Commercial EM-Retro-University</v>
      </c>
      <c r="B16" s="42" t="str">
        <f>MMap!C19</f>
        <v>Commercial EM-Retro-University-GasHt</v>
      </c>
      <c r="C16" s="101">
        <f>MMap!V19</f>
        <v>585.68803424977136</v>
      </c>
      <c r="D16" s="376">
        <f>MMap!H19</f>
        <v>5</v>
      </c>
      <c r="E16" s="102">
        <f>MMap!W19</f>
        <v>173.45744478393965</v>
      </c>
      <c r="G16" t="s">
        <v>920</v>
      </c>
      <c r="O16" s="263">
        <f>MMap!U19*'Measure InputOutput'!$C$4*MMap!J19*MMap!L19</f>
        <v>26.558262101363205</v>
      </c>
      <c r="P16" s="262" t="s">
        <v>785</v>
      </c>
      <c r="Q16" s="100" t="s">
        <v>223</v>
      </c>
    </row>
    <row r="17" spans="1:17" ht="15">
      <c r="A17" s="42" t="str">
        <f>MMap!B20</f>
        <v>Commercial EM-Retro-Warehouse</v>
      </c>
      <c r="B17" s="42" t="str">
        <f>MMap!C20</f>
        <v>Commercial EM-Retro-Warehouse-GasHt</v>
      </c>
      <c r="C17" s="101">
        <f>MMap!V20</f>
        <v>26.223232369502409</v>
      </c>
      <c r="D17" s="376">
        <f>MMap!H20</f>
        <v>5</v>
      </c>
      <c r="E17" s="102">
        <f>MMap!W20</f>
        <v>14.402911718097915</v>
      </c>
      <c r="G17" t="s">
        <v>920</v>
      </c>
      <c r="O17" s="263">
        <f>MMap!U20*'Measure InputOutput'!$C$4*MMap!J20*MMap!L20</f>
        <v>3.2318257654038489</v>
      </c>
      <c r="P17" s="262" t="s">
        <v>785</v>
      </c>
      <c r="Q17" s="100" t="s">
        <v>223</v>
      </c>
    </row>
    <row r="18" spans="1:17" ht="15">
      <c r="A18" s="42" t="str">
        <f>MMap!B21</f>
        <v>Commercial EM-Retro-Supermarket</v>
      </c>
      <c r="B18" s="42" t="str">
        <f>MMap!C21</f>
        <v>Commercial EM-Retro-Supermarket-GasHt</v>
      </c>
      <c r="C18" s="101">
        <f>MMap!V21</f>
        <v>47.072619515296196</v>
      </c>
      <c r="D18" s="376">
        <f>MMap!H21</f>
        <v>5</v>
      </c>
      <c r="E18" s="102">
        <f>MMap!W21</f>
        <v>11.226200377825572</v>
      </c>
      <c r="G18" t="s">
        <v>920</v>
      </c>
      <c r="O18" s="263">
        <f>MMap!U21*'Measure InputOutput'!$C$4*MMap!J21*MMap!L21</f>
        <v>2.4696207089150133</v>
      </c>
      <c r="P18" s="262" t="s">
        <v>785</v>
      </c>
      <c r="Q18" s="100" t="s">
        <v>223</v>
      </c>
    </row>
    <row r="19" spans="1:17" ht="15">
      <c r="A19" s="42" t="str">
        <f>MMap!B22</f>
        <v>Commercial EM-Retro-MiniMart</v>
      </c>
      <c r="B19" s="42" t="str">
        <f>MMap!C22</f>
        <v>Commercial EM-Retro-MiniMart-GasHt</v>
      </c>
      <c r="C19" s="101">
        <f>MMap!V22</f>
        <v>0</v>
      </c>
      <c r="D19" s="376">
        <f>MMap!H22</f>
        <v>5</v>
      </c>
      <c r="E19" s="102">
        <f>MMap!W22</f>
        <v>0</v>
      </c>
      <c r="G19" t="s">
        <v>920</v>
      </c>
      <c r="O19" s="263">
        <f>MMap!U22*'Measure InputOutput'!$C$4*MMap!J22*MMap!L22</f>
        <v>0</v>
      </c>
      <c r="P19" s="262" t="s">
        <v>785</v>
      </c>
      <c r="Q19" s="100" t="s">
        <v>223</v>
      </c>
    </row>
    <row r="20" spans="1:17" ht="15">
      <c r="A20" s="42" t="str">
        <f>MMap!B23</f>
        <v>Commercial EM-Retro-Restaurant</v>
      </c>
      <c r="B20" s="42" t="str">
        <f>MMap!C23</f>
        <v>Commercial EM-Retro-Restaurant-GasHt</v>
      </c>
      <c r="C20" s="101">
        <f>MMap!V23</f>
        <v>34.814982833395625</v>
      </c>
      <c r="D20" s="376">
        <f>MMap!H23</f>
        <v>5</v>
      </c>
      <c r="E20" s="102">
        <f>MMap!W23</f>
        <v>10.412897093321714</v>
      </c>
      <c r="G20" t="s">
        <v>920</v>
      </c>
      <c r="O20" s="263">
        <f>MMap!U23*'Measure InputOutput'!$C$4*MMap!J23*MMap!L23</f>
        <v>1.3744226240035751</v>
      </c>
      <c r="P20" s="262" t="s">
        <v>785</v>
      </c>
      <c r="Q20" s="100" t="s">
        <v>223</v>
      </c>
    </row>
    <row r="21" spans="1:17" ht="15">
      <c r="A21" s="42" t="str">
        <f>MMap!B24</f>
        <v>Commercial EM-Retro-Lodging</v>
      </c>
      <c r="B21" s="42" t="str">
        <f>MMap!C24</f>
        <v>Commercial EM-Retro-Lodging-GasHt</v>
      </c>
      <c r="C21" s="101">
        <f>MMap!V24</f>
        <v>18.633531218739755</v>
      </c>
      <c r="D21" s="376">
        <f>MMap!H24</f>
        <v>5</v>
      </c>
      <c r="E21" s="102">
        <f>MMap!W24</f>
        <v>4.9666581373479124</v>
      </c>
      <c r="G21" t="s">
        <v>920</v>
      </c>
      <c r="O21" s="263">
        <f>MMap!U24*'Measure InputOutput'!$C$4*MMap!J24*MMap!L24</f>
        <v>0.87408108726250633</v>
      </c>
      <c r="P21" s="262" t="s">
        <v>785</v>
      </c>
      <c r="Q21" s="100" t="s">
        <v>223</v>
      </c>
    </row>
    <row r="22" spans="1:17" ht="15">
      <c r="A22" s="42" t="str">
        <f>MMap!B25</f>
        <v>Commercial EM-Retro-Hospital</v>
      </c>
      <c r="B22" s="42" t="str">
        <f>MMap!C25</f>
        <v>Commercial EM-Retro-Hospital-GasHt</v>
      </c>
      <c r="C22" s="101">
        <f>MMap!V25</f>
        <v>1319.0103536007191</v>
      </c>
      <c r="D22" s="376">
        <f>MMap!H25</f>
        <v>5</v>
      </c>
      <c r="E22" s="102">
        <f>MMap!W25</f>
        <v>216.54948060700215</v>
      </c>
      <c r="G22" t="s">
        <v>920</v>
      </c>
      <c r="O22" s="263">
        <f>MMap!U25*'Measure InputOutput'!$C$4*MMap!J25*MMap!L25</f>
        <v>57.165744114262253</v>
      </c>
      <c r="P22" s="262" t="s">
        <v>785</v>
      </c>
      <c r="Q22" s="100" t="s">
        <v>223</v>
      </c>
    </row>
    <row r="23" spans="1:17" ht="15">
      <c r="A23" s="42" t="str">
        <f>MMap!B26</f>
        <v>Commercial EM-Retro-Residential Care</v>
      </c>
      <c r="B23" s="42" t="str">
        <f>MMap!C26</f>
        <v>Commercial EM-Retro-Residential Care-GasHt</v>
      </c>
      <c r="C23" s="101">
        <f>MMap!V26</f>
        <v>44.518388512041774</v>
      </c>
      <c r="D23" s="376">
        <f>MMap!H26</f>
        <v>5</v>
      </c>
      <c r="E23" s="102">
        <f>MMap!W26</f>
        <v>8.6206815361192</v>
      </c>
      <c r="G23" t="s">
        <v>920</v>
      </c>
      <c r="O23" s="263">
        <f>MMap!U26*'Measure InputOutput'!$C$4*MMap!J26*MMap!L26</f>
        <v>2.2757278078107777</v>
      </c>
      <c r="P23" s="262" t="s">
        <v>785</v>
      </c>
      <c r="Q23" s="100" t="s">
        <v>223</v>
      </c>
    </row>
    <row r="24" spans="1:17" ht="15">
      <c r="A24" s="42" t="str">
        <f>MMap!B27</f>
        <v>Commercial EM-Retro-Assembly</v>
      </c>
      <c r="B24" s="42" t="str">
        <f>MMap!C27</f>
        <v>Commercial EM-Retro-Assembly-GasHt</v>
      </c>
      <c r="C24" s="101">
        <f>MMap!V27</f>
        <v>111.37767278760515</v>
      </c>
      <c r="D24" s="376">
        <f>MMap!H27</f>
        <v>5</v>
      </c>
      <c r="E24" s="102">
        <f>MMap!W27</f>
        <v>32.913918249054518</v>
      </c>
      <c r="G24" t="s">
        <v>920</v>
      </c>
      <c r="O24" s="263">
        <f>MMap!U27*'Measure InputOutput'!$C$4*MMap!J27*MMap!L27</f>
        <v>7.7233511021195609</v>
      </c>
      <c r="P24" s="262" t="s">
        <v>785</v>
      </c>
      <c r="Q24" s="100" t="s">
        <v>223</v>
      </c>
    </row>
    <row r="25" spans="1:17" ht="15">
      <c r="A25" s="42" t="str">
        <f>MMap!B28</f>
        <v>Commercial EM-Retro-Other</v>
      </c>
      <c r="B25" s="42" t="str">
        <f>MMap!C28</f>
        <v>Commercial EM-Retro-Other-GasHt</v>
      </c>
      <c r="C25" s="101">
        <f>MMap!V28</f>
        <v>123.5787185971591</v>
      </c>
      <c r="D25" s="376">
        <f>MMap!H28</f>
        <v>5</v>
      </c>
      <c r="E25" s="102">
        <f>MMap!W28</f>
        <v>36.519526215872432</v>
      </c>
      <c r="G25" t="s">
        <v>920</v>
      </c>
      <c r="O25" s="263">
        <f>MMap!U28*'Measure InputOutput'!$C$4*MMap!J28*MMap!L28</f>
        <v>12.854126979686386</v>
      </c>
      <c r="P25" s="262" t="s">
        <v>785</v>
      </c>
      <c r="Q25" s="100" t="s">
        <v>223</v>
      </c>
    </row>
    <row r="26" spans="1:17" ht="15">
      <c r="A26" s="42" t="str">
        <f>MMap!B29</f>
        <v>Commercial EM-Retro-Large Off</v>
      </c>
      <c r="B26" s="42" t="str">
        <f>MMap!C29</f>
        <v>Commercial EM-Retro-Large Off-ElecHt</v>
      </c>
      <c r="C26" s="101">
        <f>MMap!V29</f>
        <v>172.47843210350865</v>
      </c>
      <c r="D26" s="376">
        <f>MMap!H29</f>
        <v>5</v>
      </c>
      <c r="E26" s="102">
        <f>MMap!W29</f>
        <v>33.11622438428067</v>
      </c>
      <c r="G26" t="s">
        <v>920</v>
      </c>
      <c r="O26" s="263">
        <f>MMap!U29*'Measure InputOutput'!$C$4*MMap!J29*MMap!L29</f>
        <v>0</v>
      </c>
      <c r="P26" s="262" t="s">
        <v>785</v>
      </c>
      <c r="Q26" s="100" t="s">
        <v>223</v>
      </c>
    </row>
    <row r="27" spans="1:17" ht="15">
      <c r="A27" s="42" t="str">
        <f>MMap!B30</f>
        <v>Commercial EM-Retro-Medium Off</v>
      </c>
      <c r="B27" s="42" t="str">
        <f>MMap!C30</f>
        <v>Commercial EM-Retro-Medium Off-ElecHt</v>
      </c>
      <c r="C27" s="101">
        <f>MMap!V30</f>
        <v>23.341938793250719</v>
      </c>
      <c r="D27" s="376">
        <f>MMap!H30</f>
        <v>5</v>
      </c>
      <c r="E27" s="102">
        <f>MMap!W30</f>
        <v>5.2188236919531583</v>
      </c>
      <c r="G27" t="s">
        <v>920</v>
      </c>
      <c r="O27" s="263">
        <f>MMap!U30*'Measure InputOutput'!$C$4*MMap!J30*MMap!L30</f>
        <v>0</v>
      </c>
      <c r="P27" s="262" t="s">
        <v>785</v>
      </c>
      <c r="Q27" s="100" t="s">
        <v>223</v>
      </c>
    </row>
    <row r="28" spans="1:17" ht="15">
      <c r="A28" s="42" t="str">
        <f>MMap!B31</f>
        <v>Commercial EM-Retro-Small Off</v>
      </c>
      <c r="B28" s="42" t="str">
        <f>MMap!C31</f>
        <v>Commercial EM-Retro-Small Off-ElecHt</v>
      </c>
      <c r="C28" s="101">
        <f>MMap!V31</f>
        <v>8.6635862292325676</v>
      </c>
      <c r="D28" s="376">
        <f>MMap!H31</f>
        <v>5</v>
      </c>
      <c r="E28" s="102">
        <f>MMap!W31</f>
        <v>4.9566761491426865</v>
      </c>
      <c r="G28" t="s">
        <v>920</v>
      </c>
      <c r="O28" s="263">
        <f>MMap!U31*'Measure InputOutput'!$C$4*MMap!J31*MMap!L31</f>
        <v>0</v>
      </c>
      <c r="P28" s="262" t="s">
        <v>785</v>
      </c>
      <c r="Q28" s="100" t="s">
        <v>223</v>
      </c>
    </row>
    <row r="29" spans="1:17" ht="15">
      <c r="A29" s="42" t="str">
        <f>MMap!B32</f>
        <v>Commercial EM-Retro-Xlarge Ret</v>
      </c>
      <c r="B29" s="42" t="str">
        <f>MMap!C32</f>
        <v>Commercial EM-Retro-Xlarge Ret-ElecHt</v>
      </c>
      <c r="C29" s="101">
        <f>MMap!V32</f>
        <v>2.3297270153302292</v>
      </c>
      <c r="D29" s="376">
        <f>MMap!H32</f>
        <v>5</v>
      </c>
      <c r="E29" s="102">
        <f>MMap!W32</f>
        <v>0.52088366142508724</v>
      </c>
      <c r="G29" t="s">
        <v>920</v>
      </c>
      <c r="O29" s="263">
        <f>MMap!U32*'Measure InputOutput'!$C$4*MMap!J32*MMap!L32</f>
        <v>0</v>
      </c>
      <c r="P29" s="262" t="s">
        <v>785</v>
      </c>
      <c r="Q29" s="100" t="s">
        <v>223</v>
      </c>
    </row>
    <row r="30" spans="1:17" ht="15">
      <c r="A30" s="42" t="str">
        <f>MMap!B33</f>
        <v>Commercial EM-Retro-Large Ret</v>
      </c>
      <c r="B30" s="42" t="str">
        <f>MMap!C33</f>
        <v>Commercial EM-Retro-Large Ret-ElecHt</v>
      </c>
      <c r="C30" s="101">
        <f>MMap!V33</f>
        <v>3.3774812018680551</v>
      </c>
      <c r="D30" s="376">
        <f>MMap!H33</f>
        <v>5</v>
      </c>
      <c r="E30" s="102">
        <f>MMap!W33</f>
        <v>1.5228071339268288</v>
      </c>
      <c r="G30" t="s">
        <v>920</v>
      </c>
      <c r="O30" s="263">
        <f>MMap!U33*'Measure InputOutput'!$C$4*MMap!J33*MMap!L33</f>
        <v>0</v>
      </c>
      <c r="P30" s="262" t="s">
        <v>785</v>
      </c>
      <c r="Q30" s="100" t="s">
        <v>223</v>
      </c>
    </row>
    <row r="31" spans="1:17" ht="15">
      <c r="A31" s="42" t="str">
        <f>MMap!B34</f>
        <v>Commercial EM-Retro-Medium Ret</v>
      </c>
      <c r="B31" s="42" t="str">
        <f>MMap!C34</f>
        <v>Commercial EM-Retro-Medium Ret-ElecHt</v>
      </c>
      <c r="C31" s="101">
        <f>MMap!V34</f>
        <v>5.6841853465297474</v>
      </c>
      <c r="D31" s="376">
        <f>MMap!H34</f>
        <v>5</v>
      </c>
      <c r="E31" s="102">
        <f>MMap!W34</f>
        <v>1.8463415664131124</v>
      </c>
      <c r="G31" t="s">
        <v>920</v>
      </c>
      <c r="O31" s="263">
        <f>MMap!U34*'Measure InputOutput'!$C$4*MMap!J34*MMap!L34</f>
        <v>0</v>
      </c>
      <c r="P31" s="262" t="s">
        <v>785</v>
      </c>
      <c r="Q31" s="100" t="s">
        <v>223</v>
      </c>
    </row>
    <row r="32" spans="1:17" ht="15">
      <c r="A32" s="42" t="str">
        <f>MMap!B35</f>
        <v>Commercial EM-Retro-Small Ret</v>
      </c>
      <c r="B32" s="42" t="str">
        <f>MMap!C35</f>
        <v>Commercial EM-Retro-Small Ret-ElecHt</v>
      </c>
      <c r="C32" s="101">
        <f>MMap!V35</f>
        <v>49.145302900758175</v>
      </c>
      <c r="D32" s="376">
        <f>MMap!H35</f>
        <v>5</v>
      </c>
      <c r="E32" s="102">
        <f>MMap!W35</f>
        <v>6.9590516802831406</v>
      </c>
      <c r="G32" t="s">
        <v>920</v>
      </c>
      <c r="O32" s="263">
        <f>MMap!U35*'Measure InputOutput'!$C$4*MMap!J35*MMap!L35</f>
        <v>0</v>
      </c>
      <c r="P32" s="262" t="s">
        <v>785</v>
      </c>
      <c r="Q32" s="100" t="s">
        <v>223</v>
      </c>
    </row>
    <row r="33" spans="1:17" ht="15">
      <c r="A33" s="42" t="str">
        <f>MMap!B36</f>
        <v>Commercial EM-Retro-School K-12</v>
      </c>
      <c r="B33" s="42" t="str">
        <f>MMap!C36</f>
        <v>Commercial EM-Retro-School K-12-ElecHt</v>
      </c>
      <c r="C33" s="101">
        <f>MMap!V36</f>
        <v>19.083214337242858</v>
      </c>
      <c r="D33" s="376">
        <f>MMap!H36</f>
        <v>5</v>
      </c>
      <c r="E33" s="102">
        <f>MMap!W36</f>
        <v>4.8039341647573179</v>
      </c>
      <c r="G33" t="s">
        <v>920</v>
      </c>
      <c r="O33" s="263">
        <f>MMap!U36*'Measure InputOutput'!$C$4*MMap!J36*MMap!L36</f>
        <v>0</v>
      </c>
      <c r="P33" s="262" t="s">
        <v>785</v>
      </c>
      <c r="Q33" s="100" t="s">
        <v>223</v>
      </c>
    </row>
    <row r="34" spans="1:17" ht="15">
      <c r="A34" s="42" t="str">
        <f>MMap!B37</f>
        <v>Commercial EM-Retro-University</v>
      </c>
      <c r="B34" s="42" t="str">
        <f>MMap!C37</f>
        <v>Commercial EM-Retro-University-ElecHt</v>
      </c>
      <c r="C34" s="101">
        <f>MMap!V37</f>
        <v>129.1958899080378</v>
      </c>
      <c r="D34" s="376">
        <f>MMap!H37</f>
        <v>5</v>
      </c>
      <c r="E34" s="102">
        <f>MMap!W37</f>
        <v>21.682180597992456</v>
      </c>
      <c r="G34" t="s">
        <v>920</v>
      </c>
      <c r="O34" s="263">
        <f>MMap!U37*'Measure InputOutput'!$C$4*MMap!J37*MMap!L37</f>
        <v>0</v>
      </c>
      <c r="P34" s="262" t="s">
        <v>785</v>
      </c>
      <c r="Q34" s="100" t="s">
        <v>223</v>
      </c>
    </row>
    <row r="35" spans="1:17" ht="15">
      <c r="A35" s="42" t="str">
        <f>MMap!B38</f>
        <v>Commercial EM-Retro-Warehouse</v>
      </c>
      <c r="B35" s="42" t="str">
        <f>MMap!C38</f>
        <v>Commercial EM-Retro-Warehouse-ElecHt</v>
      </c>
      <c r="C35" s="101">
        <f>MMap!V38</f>
        <v>0.46322799703184703</v>
      </c>
      <c r="D35" s="376">
        <f>MMap!H38</f>
        <v>5</v>
      </c>
      <c r="E35" s="102">
        <f>MMap!W38</f>
        <v>9.3288971624469197E-2</v>
      </c>
      <c r="G35" t="s">
        <v>920</v>
      </c>
      <c r="O35" s="263">
        <f>MMap!U38*'Measure InputOutput'!$C$4*MMap!J38*MMap!L38</f>
        <v>0</v>
      </c>
      <c r="P35" s="262" t="s">
        <v>785</v>
      </c>
      <c r="Q35" s="100" t="s">
        <v>223</v>
      </c>
    </row>
    <row r="36" spans="1:17" ht="15">
      <c r="A36" s="42" t="str">
        <f>MMap!B39</f>
        <v>Commercial EM-Retro-Supermarket</v>
      </c>
      <c r="B36" s="42" t="str">
        <f>MMap!C39</f>
        <v>Commercial EM-Retro-Supermarket-ElecHt</v>
      </c>
      <c r="C36" s="101">
        <f>MMap!V39</f>
        <v>6.460353654440504</v>
      </c>
      <c r="D36" s="376">
        <f>MMap!H39</f>
        <v>5</v>
      </c>
      <c r="E36" s="102">
        <f>MMap!W39</f>
        <v>0.93675127989387297</v>
      </c>
      <c r="G36" t="s">
        <v>920</v>
      </c>
      <c r="O36" s="263">
        <f>MMap!U39*'Measure InputOutput'!$C$4*MMap!J39*MMap!L39</f>
        <v>0</v>
      </c>
      <c r="P36" s="262" t="s">
        <v>785</v>
      </c>
      <c r="Q36" s="100" t="s">
        <v>223</v>
      </c>
    </row>
    <row r="37" spans="1:17" ht="15">
      <c r="A37" s="42" t="str">
        <f>MMap!B40</f>
        <v>Commercial EM-Retro-MiniMart</v>
      </c>
      <c r="B37" s="42" t="str">
        <f>MMap!C40</f>
        <v>Commercial EM-Retro-MiniMart-ElecHt</v>
      </c>
      <c r="C37" s="101">
        <f>MMap!V40</f>
        <v>0</v>
      </c>
      <c r="D37" s="376">
        <f>MMap!H40</f>
        <v>5</v>
      </c>
      <c r="E37" s="102">
        <f>MMap!W40</f>
        <v>0</v>
      </c>
      <c r="G37" t="s">
        <v>920</v>
      </c>
      <c r="O37" s="263">
        <f>MMap!U40*'Measure InputOutput'!$C$4*MMap!J40*MMap!L40</f>
        <v>0</v>
      </c>
      <c r="P37" s="262" t="s">
        <v>785</v>
      </c>
      <c r="Q37" s="100" t="s">
        <v>223</v>
      </c>
    </row>
    <row r="38" spans="1:17" ht="15">
      <c r="A38" s="42" t="str">
        <f>MMap!B41</f>
        <v>Commercial EM-Retro-Restaurant</v>
      </c>
      <c r="B38" s="42" t="str">
        <f>MMap!C41</f>
        <v>Commercial EM-Retro-Restaurant-ElecHt</v>
      </c>
      <c r="C38" s="101">
        <f>MMap!V41</f>
        <v>1.8272365692862691</v>
      </c>
      <c r="D38" s="376">
        <f>MMap!H41</f>
        <v>5</v>
      </c>
      <c r="E38" s="102">
        <f>MMap!W41</f>
        <v>0.39426979545611474</v>
      </c>
      <c r="G38" t="s">
        <v>920</v>
      </c>
      <c r="O38" s="263">
        <f>MMap!U41*'Measure InputOutput'!$C$4*MMap!J41*MMap!L41</f>
        <v>0</v>
      </c>
      <c r="P38" s="262" t="s">
        <v>785</v>
      </c>
      <c r="Q38" s="100" t="s">
        <v>223</v>
      </c>
    </row>
    <row r="39" spans="1:17" ht="15">
      <c r="A39" s="42" t="str">
        <f>MMap!B42</f>
        <v>Commercial EM-Retro-Lodging</v>
      </c>
      <c r="B39" s="42" t="str">
        <f>MMap!C42</f>
        <v>Commercial EM-Retro-Lodging-ElecHt</v>
      </c>
      <c r="C39" s="101">
        <f>MMap!V42</f>
        <v>58.904143014325136</v>
      </c>
      <c r="D39" s="376">
        <f>MMap!H42</f>
        <v>5</v>
      </c>
      <c r="E39" s="102">
        <f>MMap!W42</f>
        <v>8.8969799344553575</v>
      </c>
      <c r="G39" t="s">
        <v>920</v>
      </c>
      <c r="O39" s="263">
        <f>MMap!U42*'Measure InputOutput'!$C$4*MMap!J42*MMap!L42</f>
        <v>0</v>
      </c>
      <c r="P39" s="262" t="s">
        <v>785</v>
      </c>
      <c r="Q39" s="100" t="s">
        <v>223</v>
      </c>
    </row>
    <row r="40" spans="1:17" ht="15">
      <c r="A40" s="42" t="str">
        <f>MMap!B43</f>
        <v>Commercial EM-Retro-Hospital</v>
      </c>
      <c r="B40" s="42" t="str">
        <f>MMap!C43</f>
        <v>Commercial EM-Retro-Hospital-ElecHt</v>
      </c>
      <c r="C40" s="101">
        <f>MMap!V43</f>
        <v>189.06025135222922</v>
      </c>
      <c r="D40" s="376">
        <f>MMap!H43</f>
        <v>5</v>
      </c>
      <c r="E40" s="102">
        <f>MMap!W43</f>
        <v>19.037316976439751</v>
      </c>
      <c r="G40" t="s">
        <v>920</v>
      </c>
      <c r="O40" s="263">
        <f>MMap!U43*'Measure InputOutput'!$C$4*MMap!J43*MMap!L43</f>
        <v>0</v>
      </c>
      <c r="P40" s="262" t="s">
        <v>785</v>
      </c>
      <c r="Q40" s="100" t="s">
        <v>223</v>
      </c>
    </row>
    <row r="41" spans="1:17" ht="15">
      <c r="A41" s="42" t="str">
        <f>MMap!B44</f>
        <v>Commercial EM-Retro-Residential Care</v>
      </c>
      <c r="B41" s="42" t="str">
        <f>MMap!C44</f>
        <v>Commercial EM-Retro-Residential Care-ElecHt</v>
      </c>
      <c r="C41" s="101">
        <f>MMap!V44</f>
        <v>60.741133563872978</v>
      </c>
      <c r="D41" s="376">
        <f>MMap!H44</f>
        <v>5</v>
      </c>
      <c r="E41" s="102">
        <f>MMap!W44</f>
        <v>7.2239701170944741</v>
      </c>
      <c r="G41" t="s">
        <v>920</v>
      </c>
      <c r="O41" s="263">
        <f>MMap!U44*'Measure InputOutput'!$C$4*MMap!J44*MMap!L44</f>
        <v>0</v>
      </c>
      <c r="P41" s="262" t="s">
        <v>785</v>
      </c>
      <c r="Q41" s="100" t="s">
        <v>223</v>
      </c>
    </row>
    <row r="42" spans="1:17" ht="15">
      <c r="A42" s="42" t="str">
        <f>MMap!B45</f>
        <v>Commercial EM-Retro-Assembly</v>
      </c>
      <c r="B42" s="42" t="str">
        <f>MMap!C45</f>
        <v>Commercial EM-Retro-Assembly-ElecHt</v>
      </c>
      <c r="C42" s="101">
        <f>MMap!V45</f>
        <v>28.141235998868684</v>
      </c>
      <c r="D42" s="376">
        <f>MMap!H45</f>
        <v>5</v>
      </c>
      <c r="E42" s="102">
        <f>MMap!W45</f>
        <v>4.5005285512896611</v>
      </c>
      <c r="G42" t="s">
        <v>920</v>
      </c>
      <c r="O42" s="263">
        <f>MMap!U45*'Measure InputOutput'!$C$4*MMap!J45*MMap!L45</f>
        <v>0</v>
      </c>
      <c r="P42" s="262" t="s">
        <v>785</v>
      </c>
      <c r="Q42" s="100" t="s">
        <v>223</v>
      </c>
    </row>
    <row r="43" spans="1:17" ht="15">
      <c r="A43" s="42" t="str">
        <f>MMap!B46</f>
        <v>Commercial EM-Retro-Other</v>
      </c>
      <c r="B43" s="42" t="str">
        <f>MMap!C46</f>
        <v>Commercial EM-Retro-Other-ElecHt</v>
      </c>
      <c r="C43" s="101">
        <f>MMap!V46</f>
        <v>53.301446766421194</v>
      </c>
      <c r="D43" s="376">
        <f>MMap!H46</f>
        <v>5</v>
      </c>
      <c r="E43" s="102">
        <f>MMap!W46</f>
        <v>8.5243122586004478</v>
      </c>
      <c r="G43" t="s">
        <v>920</v>
      </c>
      <c r="O43" s="263">
        <f>MMap!U46*'Measure InputOutput'!$C$4*MMap!J46*MMap!L46</f>
        <v>0</v>
      </c>
      <c r="P43" s="262" t="s">
        <v>785</v>
      </c>
      <c r="Q43" s="100" t="s">
        <v>223</v>
      </c>
    </row>
    <row r="44" spans="1:17" ht="15">
      <c r="A44" s="42" t="str">
        <f>MMap!B47</f>
        <v>Commercial EM-Retro-Large Off</v>
      </c>
      <c r="B44" s="42" t="str">
        <f>MMap!C47</f>
        <v>Commercial EM-Retro-Large Off-HtPmpHt</v>
      </c>
      <c r="C44" s="101">
        <f>MMap!V47</f>
        <v>176.94643086880305</v>
      </c>
      <c r="D44" s="376">
        <f>MMap!H47</f>
        <v>5</v>
      </c>
      <c r="E44" s="102">
        <f>MMap!W47</f>
        <v>39.561933299716969</v>
      </c>
      <c r="G44" t="s">
        <v>920</v>
      </c>
      <c r="O44" s="263">
        <f>MMap!U47*'Measure InputOutput'!$C$4*MMap!J47*MMap!L47</f>
        <v>0</v>
      </c>
      <c r="P44" s="262" t="s">
        <v>785</v>
      </c>
      <c r="Q44" s="100" t="s">
        <v>223</v>
      </c>
    </row>
    <row r="45" spans="1:17" ht="15">
      <c r="A45" s="42" t="str">
        <f>MMap!B48</f>
        <v>Commercial EM-Retro-Medium Off</v>
      </c>
      <c r="B45" s="42" t="str">
        <f>MMap!C48</f>
        <v>Commercial EM-Retro-Medium Off-HtPmpHt</v>
      </c>
      <c r="C45" s="101">
        <f>MMap!V48</f>
        <v>23.298810484265367</v>
      </c>
      <c r="D45" s="376">
        <f>MMap!H48</f>
        <v>5</v>
      </c>
      <c r="E45" s="102">
        <f>MMap!W48</f>
        <v>6.234610335048866</v>
      </c>
      <c r="G45" t="s">
        <v>920</v>
      </c>
      <c r="O45" s="263">
        <f>MMap!U48*'Measure InputOutput'!$C$4*MMap!J48*MMap!L48</f>
        <v>0</v>
      </c>
      <c r="P45" s="262" t="s">
        <v>785</v>
      </c>
      <c r="Q45" s="100" t="s">
        <v>223</v>
      </c>
    </row>
    <row r="46" spans="1:17" ht="15">
      <c r="A46" s="42" t="str">
        <f>MMap!B49</f>
        <v>Commercial EM-Retro-Small Off</v>
      </c>
      <c r="B46" s="42" t="str">
        <f>MMap!C49</f>
        <v>Commercial EM-Retro-Small Off-HtPmpHt</v>
      </c>
      <c r="C46" s="101">
        <f>MMap!V49</f>
        <v>8.3896576374604308</v>
      </c>
      <c r="D46" s="376">
        <f>MMap!H49</f>
        <v>5</v>
      </c>
      <c r="E46" s="102">
        <f>MMap!W49</f>
        <v>5.9214386557231435</v>
      </c>
      <c r="G46" t="s">
        <v>920</v>
      </c>
      <c r="O46" s="263">
        <f>MMap!U49*'Measure InputOutput'!$C$4*MMap!J49*MMap!L49</f>
        <v>0</v>
      </c>
      <c r="P46" s="262" t="s">
        <v>785</v>
      </c>
      <c r="Q46" s="100" t="s">
        <v>223</v>
      </c>
    </row>
    <row r="47" spans="1:17" ht="15">
      <c r="A47" s="42" t="str">
        <f>MMap!B50</f>
        <v>Commercial EM-Retro-Xlarge Ret</v>
      </c>
      <c r="B47" s="42" t="str">
        <f>MMap!C50</f>
        <v>Commercial EM-Retro-Xlarge Ret-HtPmpHt</v>
      </c>
      <c r="C47" s="101">
        <f>MMap!V50</f>
        <v>1.1363148748567709</v>
      </c>
      <c r="D47" s="376">
        <f>MMap!H50</f>
        <v>5</v>
      </c>
      <c r="E47" s="102">
        <f>MMap!W50</f>
        <v>0.30407047893866596</v>
      </c>
      <c r="G47" t="s">
        <v>920</v>
      </c>
      <c r="O47" s="263">
        <f>MMap!U50*'Measure InputOutput'!$C$4*MMap!J50*MMap!L50</f>
        <v>0</v>
      </c>
      <c r="P47" s="262" t="s">
        <v>785</v>
      </c>
      <c r="Q47" s="100" t="s">
        <v>223</v>
      </c>
    </row>
    <row r="48" spans="1:17" ht="15">
      <c r="A48" s="42" t="str">
        <f>MMap!B51</f>
        <v>Commercial EM-Retro-Large Ret</v>
      </c>
      <c r="B48" s="42" t="str">
        <f>MMap!C51</f>
        <v>Commercial EM-Retro-Large Ret-HtPmpHt</v>
      </c>
      <c r="C48" s="101">
        <f>MMap!V51</f>
        <v>1.6479335209205117</v>
      </c>
      <c r="D48" s="376">
        <f>MMap!H51</f>
        <v>5</v>
      </c>
      <c r="E48" s="102">
        <f>MMap!W51</f>
        <v>0.88895223412750846</v>
      </c>
      <c r="G48" t="s">
        <v>920</v>
      </c>
      <c r="O48" s="263">
        <f>MMap!U51*'Measure InputOutput'!$C$4*MMap!J51*MMap!L51</f>
        <v>0</v>
      </c>
      <c r="P48" s="262" t="s">
        <v>785</v>
      </c>
      <c r="Q48" s="100" t="s">
        <v>223</v>
      </c>
    </row>
    <row r="49" spans="1:131" ht="15">
      <c r="A49" s="42" t="str">
        <f>MMap!B52</f>
        <v>Commercial EM-Retro-Medium Ret</v>
      </c>
      <c r="B49" s="42" t="str">
        <f>MMap!C52</f>
        <v>Commercial EM-Retro-Medium Ret-HtPmpHt</v>
      </c>
      <c r="C49" s="101">
        <f>MMap!V52</f>
        <v>2.7830012915988616</v>
      </c>
      <c r="D49" s="376">
        <f>MMap!H52</f>
        <v>5</v>
      </c>
      <c r="E49" s="102">
        <f>MMap!W52</f>
        <v>1.0778183420989182</v>
      </c>
      <c r="G49" t="s">
        <v>920</v>
      </c>
      <c r="O49" s="263">
        <f>MMap!U52*'Measure InputOutput'!$C$4*MMap!J52*MMap!L52</f>
        <v>0</v>
      </c>
      <c r="P49" s="262" t="s">
        <v>785</v>
      </c>
      <c r="Q49" s="100" t="s">
        <v>223</v>
      </c>
    </row>
    <row r="50" spans="1:131" ht="15">
      <c r="A50" s="42" t="str">
        <f>MMap!B53</f>
        <v>Commercial EM-Retro-Small Ret</v>
      </c>
      <c r="B50" s="42" t="str">
        <f>MMap!C53</f>
        <v>Commercial EM-Retro-Small Ret-HtPmpHt</v>
      </c>
      <c r="C50" s="101">
        <f>MMap!V53</f>
        <v>24.206350922658835</v>
      </c>
      <c r="D50" s="376">
        <f>MMap!H53</f>
        <v>5</v>
      </c>
      <c r="E50" s="102">
        <f>MMap!W53</f>
        <v>4.062408430307328</v>
      </c>
      <c r="G50" t="s">
        <v>920</v>
      </c>
      <c r="O50" s="263">
        <f>MMap!U53*'Measure InputOutput'!$C$4*MMap!J53*MMap!L53</f>
        <v>0</v>
      </c>
      <c r="P50" s="262" t="s">
        <v>785</v>
      </c>
      <c r="Q50" s="100" t="s">
        <v>223</v>
      </c>
    </row>
    <row r="51" spans="1:131" ht="15">
      <c r="A51" s="42" t="str">
        <f>MMap!B54</f>
        <v>Commercial EM-Retro-School K-12</v>
      </c>
      <c r="B51" s="42" t="str">
        <f>MMap!C54</f>
        <v>Commercial EM-Retro-School K-12-HtPmpHt</v>
      </c>
      <c r="C51" s="101">
        <f>MMap!V54</f>
        <v>23.013113030791118</v>
      </c>
      <c r="D51" s="376">
        <f>MMap!H54</f>
        <v>5</v>
      </c>
      <c r="E51" s="102">
        <f>MMap!W54</f>
        <v>7.7243087719090573</v>
      </c>
      <c r="G51" t="s">
        <v>920</v>
      </c>
      <c r="O51" s="263">
        <f>MMap!U54*'Measure InputOutput'!$C$4*MMap!J54*MMap!L54</f>
        <v>0</v>
      </c>
      <c r="P51" s="262" t="s">
        <v>785</v>
      </c>
      <c r="Q51" s="100" t="s">
        <v>223</v>
      </c>
    </row>
    <row r="52" spans="1:131" ht="15">
      <c r="A52" s="42" t="str">
        <f>MMap!B55</f>
        <v>Commercial EM-Retro-University</v>
      </c>
      <c r="B52" s="42" t="str">
        <f>MMap!C55</f>
        <v>Commercial EM-Retro-University-HtPmpHt</v>
      </c>
      <c r="C52" s="101">
        <f>MMap!V55</f>
        <v>100.48569215069605</v>
      </c>
      <c r="D52" s="376">
        <f>MMap!H55</f>
        <v>5</v>
      </c>
      <c r="E52" s="102">
        <f>MMap!W55</f>
        <v>21.682180597992456</v>
      </c>
      <c r="G52" t="s">
        <v>920</v>
      </c>
      <c r="O52" s="263">
        <f>MMap!U55*'Measure InputOutput'!$C$4*MMap!J55*MMap!L55</f>
        <v>0</v>
      </c>
      <c r="P52" s="262" t="s">
        <v>785</v>
      </c>
      <c r="Q52" s="100" t="s">
        <v>223</v>
      </c>
    </row>
    <row r="53" spans="1:131" ht="15">
      <c r="A53" s="42" t="str">
        <f>MMap!B56</f>
        <v>Commercial EM-Retro-Warehouse</v>
      </c>
      <c r="B53" s="42" t="str">
        <f>MMap!C56</f>
        <v>Commercial EM-Retro-Warehouse-HtPmpHt</v>
      </c>
      <c r="C53" s="101">
        <f>MMap!V56</f>
        <v>0.31897988269712574</v>
      </c>
      <c r="D53" s="376">
        <f>MMap!H56</f>
        <v>5</v>
      </c>
      <c r="E53" s="102">
        <f>MMap!W56</f>
        <v>9.6358506231423419E-2</v>
      </c>
      <c r="G53" t="s">
        <v>920</v>
      </c>
      <c r="O53" s="263">
        <f>MMap!U56*'Measure InputOutput'!$C$4*MMap!J56*MMap!L56</f>
        <v>0</v>
      </c>
      <c r="P53" s="262" t="s">
        <v>785</v>
      </c>
      <c r="Q53" s="100" t="s">
        <v>223</v>
      </c>
    </row>
    <row r="54" spans="1:131" ht="15">
      <c r="A54" s="42" t="str">
        <f>MMap!B57</f>
        <v>Commercial EM-Retro-Supermarket</v>
      </c>
      <c r="B54" s="42" t="str">
        <f>MMap!C57</f>
        <v>Commercial EM-Retro-Supermarket-HtPmpHt</v>
      </c>
      <c r="C54" s="101">
        <f>MMap!V57</f>
        <v>8.2237928213161151</v>
      </c>
      <c r="D54" s="376">
        <f>MMap!H57</f>
        <v>5</v>
      </c>
      <c r="E54" s="102">
        <f>MMap!W57</f>
        <v>1.4905624488635456</v>
      </c>
      <c r="G54" t="s">
        <v>920</v>
      </c>
      <c r="O54" s="263">
        <f>MMap!U57*'Measure InputOutput'!$C$4*MMap!J57*MMap!L57</f>
        <v>0</v>
      </c>
      <c r="P54" s="262" t="s">
        <v>785</v>
      </c>
      <c r="Q54" s="100" t="s">
        <v>223</v>
      </c>
    </row>
    <row r="55" spans="1:131" ht="15">
      <c r="A55" s="42" t="str">
        <f>MMap!B58</f>
        <v>Commercial EM-Retro-MiniMart</v>
      </c>
      <c r="B55" s="42" t="str">
        <f>MMap!C58</f>
        <v>Commercial EM-Retro-MiniMart-HtPmpHt</v>
      </c>
      <c r="C55" s="101">
        <f>MMap!V58</f>
        <v>0</v>
      </c>
      <c r="D55" s="376">
        <f>MMap!H58</f>
        <v>5</v>
      </c>
      <c r="E55" s="102">
        <f>MMap!W58</f>
        <v>0</v>
      </c>
      <c r="G55" t="s">
        <v>920</v>
      </c>
      <c r="O55" s="263">
        <f>MMap!U58*'Measure InputOutput'!$C$4*MMap!J58*MMap!L58</f>
        <v>0</v>
      </c>
      <c r="P55" s="262" t="s">
        <v>785</v>
      </c>
      <c r="Q55" s="100" t="s">
        <v>223</v>
      </c>
    </row>
    <row r="56" spans="1:131" ht="15">
      <c r="A56" s="42" t="str">
        <f>MMap!B59</f>
        <v>Commercial EM-Retro-Restaurant</v>
      </c>
      <c r="B56" s="42" t="str">
        <f>MMap!C59</f>
        <v>Commercial EM-Retro-Restaurant-HtPmpHt</v>
      </c>
      <c r="C56" s="101">
        <f>MMap!V59</f>
        <v>9.1883895919813803</v>
      </c>
      <c r="D56" s="376">
        <f>MMap!H59</f>
        <v>5</v>
      </c>
      <c r="E56" s="102">
        <f>MMap!W59</f>
        <v>2.3130494632592016</v>
      </c>
      <c r="G56" t="s">
        <v>920</v>
      </c>
      <c r="O56" s="263">
        <f>MMap!U59*'Measure InputOutput'!$C$4*MMap!J59*MMap!L59</f>
        <v>0</v>
      </c>
      <c r="P56" s="262" t="s">
        <v>785</v>
      </c>
      <c r="Q56" s="100" t="s">
        <v>223</v>
      </c>
    </row>
    <row r="57" spans="1:131" ht="15">
      <c r="A57" s="42" t="str">
        <f>MMap!B60</f>
        <v>Commercial EM-Retro-Lodging</v>
      </c>
      <c r="B57" s="42" t="str">
        <f>MMap!C60</f>
        <v>Commercial EM-Retro-Lodging-HtPmpHt</v>
      </c>
      <c r="C57" s="101">
        <f>MMap!V60</f>
        <v>31.150897344347538</v>
      </c>
      <c r="D57" s="376">
        <f>MMap!H60</f>
        <v>5</v>
      </c>
      <c r="E57" s="102">
        <f>MMap!W60</f>
        <v>6.0493930110674903</v>
      </c>
      <c r="G57" t="s">
        <v>920</v>
      </c>
      <c r="O57" s="263">
        <f>MMap!U60*'Measure InputOutput'!$C$4*MMap!J60*MMap!L60</f>
        <v>0</v>
      </c>
      <c r="P57" s="262" t="s">
        <v>785</v>
      </c>
      <c r="Q57" s="100" t="s">
        <v>223</v>
      </c>
    </row>
    <row r="58" spans="1:131" ht="15">
      <c r="A58" s="42" t="str">
        <f>MMap!B61</f>
        <v>Commercial EM-Retro-Hospital</v>
      </c>
      <c r="B58" s="42" t="str">
        <f>MMap!C61</f>
        <v>Commercial EM-Retro-Hospital-HtPmpHt</v>
      </c>
      <c r="C58" s="101">
        <f>MMap!V61</f>
        <v>18.906025135222919</v>
      </c>
      <c r="D58" s="376">
        <f>MMap!H61</f>
        <v>5</v>
      </c>
      <c r="E58" s="102">
        <f>MMap!W61</f>
        <v>2.3796646220549689</v>
      </c>
      <c r="G58" t="s">
        <v>920</v>
      </c>
      <c r="O58" s="263">
        <f>MMap!U61*'Measure InputOutput'!$C$4*MMap!J61*MMap!L61</f>
        <v>0</v>
      </c>
      <c r="P58" s="262" t="s">
        <v>785</v>
      </c>
      <c r="Q58" s="100" t="s">
        <v>223</v>
      </c>
    </row>
    <row r="59" spans="1:131" ht="15">
      <c r="A59" s="42" t="str">
        <f>MMap!B62</f>
        <v>Commercial EM-Retro-Residential Care</v>
      </c>
      <c r="B59" s="42" t="str">
        <f>MMap!C62</f>
        <v>Commercial EM-Retro-Residential Care-HtPmpHt</v>
      </c>
      <c r="C59" s="101">
        <f>MMap!V62</f>
        <v>36.542831054262564</v>
      </c>
      <c r="D59" s="376">
        <f>MMap!H62</f>
        <v>5</v>
      </c>
      <c r="E59" s="102">
        <f>MMap!W62</f>
        <v>5.4112648109355312</v>
      </c>
      <c r="G59" t="s">
        <v>920</v>
      </c>
      <c r="O59" s="263">
        <f>MMap!U62*'Measure InputOutput'!$C$4*MMap!J62*MMap!L62</f>
        <v>0</v>
      </c>
      <c r="P59" s="262" t="s">
        <v>785</v>
      </c>
      <c r="Q59" s="100" t="s">
        <v>223</v>
      </c>
    </row>
    <row r="60" spans="1:131" ht="15">
      <c r="A60" s="42" t="str">
        <f>MMap!B63</f>
        <v>Commercial EM-Retro-Assembly</v>
      </c>
      <c r="B60" s="42" t="str">
        <f>MMap!C63</f>
        <v>Commercial EM-Retro-Assembly-HtPmpHt</v>
      </c>
      <c r="C60" s="101">
        <f>MMap!V63</f>
        <v>23.348567287607068</v>
      </c>
      <c r="D60" s="376">
        <f>MMap!H63</f>
        <v>5</v>
      </c>
      <c r="E60" s="102">
        <f>MMap!W63</f>
        <v>4.8829936394755169</v>
      </c>
      <c r="G60" t="s">
        <v>920</v>
      </c>
      <c r="O60" s="263">
        <f>MMap!U63*'Measure InputOutput'!$C$4*MMap!J63*MMap!L63</f>
        <v>0</v>
      </c>
      <c r="P60" s="262" t="s">
        <v>785</v>
      </c>
      <c r="Q60" s="100" t="s">
        <v>223</v>
      </c>
    </row>
    <row r="61" spans="1:131" ht="15">
      <c r="A61" s="42" t="str">
        <f>MMap!B64</f>
        <v>Commercial EM-Retro-Other</v>
      </c>
      <c r="B61" s="42" t="str">
        <f>MMap!C64</f>
        <v>Commercial EM-Retro-Other-HtPmpHt</v>
      </c>
      <c r="C61" s="101">
        <f>MMap!V64</f>
        <v>25.238392208540706</v>
      </c>
      <c r="D61" s="376">
        <f>MMap!H64</f>
        <v>5</v>
      </c>
      <c r="E61" s="102">
        <f>MMap!W64</f>
        <v>5.2782214474592344</v>
      </c>
      <c r="G61" t="s">
        <v>920</v>
      </c>
      <c r="O61" s="263">
        <f>MMap!U64*'Measure InputOutput'!$C$4*MMap!J64*MMap!L64</f>
        <v>0</v>
      </c>
      <c r="P61" s="262" t="s">
        <v>785</v>
      </c>
      <c r="Q61" s="100" t="s">
        <v>223</v>
      </c>
    </row>
    <row r="64" spans="1:13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row>
    <row r="65" spans="1:131">
      <c r="A65" s="220" t="s">
        <v>579</v>
      </c>
      <c r="B65" s="221"/>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row>
    <row r="66" spans="1:131">
      <c r="A66" s="18" t="s">
        <v>580</v>
      </c>
      <c r="B66" s="18" t="s">
        <v>581</v>
      </c>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row>
    <row r="67" spans="1:131">
      <c r="A67" s="18" t="s">
        <v>582</v>
      </c>
      <c r="B67" s="18" t="s">
        <v>992</v>
      </c>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row>
    <row r="68" spans="1:13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row>
    <row r="69" spans="1:131" ht="13.5" thickBot="1">
      <c r="A69" s="222" t="s">
        <v>583</v>
      </c>
      <c r="B69" s="223"/>
      <c r="C69" s="223"/>
      <c r="D69" s="223"/>
      <c r="E69" s="223"/>
      <c r="F69" s="223"/>
      <c r="G69" s="223"/>
      <c r="H69" s="223"/>
      <c r="I69" s="223"/>
      <c r="J69" s="223"/>
      <c r="K69" s="223"/>
      <c r="L69" s="223"/>
      <c r="M69" s="223"/>
      <c r="N69" s="223"/>
      <c r="O69" s="223"/>
      <c r="P69" s="223"/>
      <c r="Q69" s="223"/>
      <c r="R69" s="223"/>
      <c r="S69" s="223"/>
      <c r="T69" s="223"/>
      <c r="U69" s="223"/>
      <c r="V69" s="223"/>
      <c r="W69" s="223"/>
      <c r="X69" s="223"/>
      <c r="Y69" s="223"/>
      <c r="Z69" s="223"/>
      <c r="AA69" s="223"/>
      <c r="AB69" s="223"/>
      <c r="AC69" s="223"/>
      <c r="AD69" s="223"/>
      <c r="AE69" s="223"/>
      <c r="AF69" s="223"/>
      <c r="AG69" s="223"/>
      <c r="AH69" s="223"/>
      <c r="AI69" s="224"/>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row>
    <row r="70" spans="1:131">
      <c r="A70" s="18"/>
      <c r="B70" s="225" t="s">
        <v>584</v>
      </c>
      <c r="C70" s="226"/>
      <c r="D70" s="226" t="s">
        <v>584</v>
      </c>
      <c r="E70" s="227"/>
      <c r="F70" s="18"/>
      <c r="G70" s="225" t="s">
        <v>585</v>
      </c>
      <c r="H70" s="226"/>
      <c r="I70" s="226"/>
      <c r="J70" s="226"/>
      <c r="K70" s="226"/>
      <c r="L70" s="226"/>
      <c r="M70" s="226"/>
      <c r="N70" s="226"/>
      <c r="O70" s="227"/>
      <c r="P70" s="18"/>
      <c r="Q70" s="225" t="s">
        <v>586</v>
      </c>
      <c r="R70" s="226"/>
      <c r="S70" s="226"/>
      <c r="T70" s="226"/>
      <c r="U70" s="227"/>
      <c r="V70" s="18"/>
      <c r="W70" s="225" t="s">
        <v>587</v>
      </c>
      <c r="X70" s="227"/>
      <c r="Y70" s="18"/>
      <c r="Z70" s="225" t="s">
        <v>588</v>
      </c>
      <c r="AA70" s="226"/>
      <c r="AB70" s="227"/>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row>
    <row r="71" spans="1:131">
      <c r="A71" s="18"/>
      <c r="B71" s="228" t="s">
        <v>589</v>
      </c>
      <c r="C71" s="229" t="s">
        <v>590</v>
      </c>
      <c r="D71" s="229" t="s">
        <v>589</v>
      </c>
      <c r="E71" s="230" t="s">
        <v>590</v>
      </c>
      <c r="F71" s="18"/>
      <c r="G71" s="228" t="s">
        <v>591</v>
      </c>
      <c r="H71" s="229" t="s">
        <v>973</v>
      </c>
      <c r="I71" s="229"/>
      <c r="J71" s="229"/>
      <c r="K71" s="229" t="s">
        <v>592</v>
      </c>
      <c r="L71" s="229"/>
      <c r="M71" s="229"/>
      <c r="N71" s="229"/>
      <c r="O71" s="230"/>
      <c r="P71" s="18"/>
      <c r="Q71" s="228"/>
      <c r="R71" s="229" t="s">
        <v>593</v>
      </c>
      <c r="S71" s="229" t="s">
        <v>594</v>
      </c>
      <c r="T71" s="229" t="s">
        <v>595</v>
      </c>
      <c r="U71" s="230" t="s">
        <v>596</v>
      </c>
      <c r="V71" s="18"/>
      <c r="W71" s="228" t="s">
        <v>597</v>
      </c>
      <c r="X71" s="230">
        <v>20</v>
      </c>
      <c r="Y71" s="18"/>
      <c r="Z71" s="228"/>
      <c r="AA71" s="229" t="s">
        <v>590</v>
      </c>
      <c r="AB71" s="230" t="s">
        <v>598</v>
      </c>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row>
    <row r="72" spans="1:131">
      <c r="A72" s="18"/>
      <c r="B72" s="228" t="s">
        <v>599</v>
      </c>
      <c r="C72" s="229" t="s">
        <v>600</v>
      </c>
      <c r="D72" s="229" t="s">
        <v>599</v>
      </c>
      <c r="E72" s="230" t="s">
        <v>600</v>
      </c>
      <c r="F72" s="18"/>
      <c r="G72" s="228" t="s">
        <v>601</v>
      </c>
      <c r="H72" s="229" t="s">
        <v>602</v>
      </c>
      <c r="I72" s="229"/>
      <c r="J72" s="229"/>
      <c r="K72" s="229" t="s">
        <v>603</v>
      </c>
      <c r="L72" s="229"/>
      <c r="M72" s="229"/>
      <c r="N72" s="229"/>
      <c r="O72" s="230"/>
      <c r="P72" s="18"/>
      <c r="Q72" s="228" t="s">
        <v>604</v>
      </c>
      <c r="R72" s="229">
        <v>6.8012888465852586E-2</v>
      </c>
      <c r="S72" s="229">
        <v>4.387844424080023E-2</v>
      </c>
      <c r="T72" s="229">
        <v>5.3289007766645871E-2</v>
      </c>
      <c r="U72" s="230">
        <v>5.447903102274565E-2</v>
      </c>
      <c r="V72" s="18"/>
      <c r="W72" s="228" t="s">
        <v>605</v>
      </c>
      <c r="X72" s="230">
        <v>2016</v>
      </c>
      <c r="Y72" s="18"/>
      <c r="Z72" s="228" t="s">
        <v>606</v>
      </c>
      <c r="AA72" s="229">
        <v>4.03890184699085E-3</v>
      </c>
      <c r="AB72" s="230">
        <v>0.01</v>
      </c>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row>
    <row r="73" spans="1:131">
      <c r="A73" s="18"/>
      <c r="B73" s="228" t="s">
        <v>607</v>
      </c>
      <c r="C73" s="229" t="s">
        <v>608</v>
      </c>
      <c r="D73" s="229" t="s">
        <v>607</v>
      </c>
      <c r="E73" s="230" t="s">
        <v>608</v>
      </c>
      <c r="F73" s="18"/>
      <c r="G73" s="228" t="s">
        <v>609</v>
      </c>
      <c r="H73" s="229" t="s">
        <v>610</v>
      </c>
      <c r="I73" s="229"/>
      <c r="J73" s="229"/>
      <c r="K73" s="229" t="s">
        <v>611</v>
      </c>
      <c r="L73" s="229"/>
      <c r="M73" s="229"/>
      <c r="N73" s="229"/>
      <c r="O73" s="230"/>
      <c r="P73" s="18"/>
      <c r="Q73" s="228" t="s">
        <v>612</v>
      </c>
      <c r="R73" s="229">
        <v>12</v>
      </c>
      <c r="S73" s="229">
        <v>12</v>
      </c>
      <c r="T73" s="229">
        <v>1</v>
      </c>
      <c r="U73" s="230">
        <v>1</v>
      </c>
      <c r="V73" s="18"/>
      <c r="W73" s="228" t="s">
        <v>613</v>
      </c>
      <c r="X73" s="230">
        <v>2016</v>
      </c>
      <c r="Y73" s="18"/>
      <c r="Z73" s="228" t="s">
        <v>614</v>
      </c>
      <c r="AA73" s="229">
        <v>26</v>
      </c>
      <c r="AB73" s="230">
        <v>0</v>
      </c>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row>
    <row r="74" spans="1:131" ht="13.5" thickBot="1">
      <c r="A74" s="18"/>
      <c r="B74" s="231" t="s">
        <v>615</v>
      </c>
      <c r="C74" s="232" t="s">
        <v>608</v>
      </c>
      <c r="D74" s="232" t="s">
        <v>615</v>
      </c>
      <c r="E74" s="233" t="s">
        <v>608</v>
      </c>
      <c r="F74" s="18"/>
      <c r="G74" s="228" t="s">
        <v>616</v>
      </c>
      <c r="H74" s="229" t="s">
        <v>617</v>
      </c>
      <c r="I74" s="229"/>
      <c r="J74" s="229"/>
      <c r="K74" s="229" t="s">
        <v>603</v>
      </c>
      <c r="L74" s="229"/>
      <c r="M74" s="229"/>
      <c r="N74" s="229"/>
      <c r="O74" s="230"/>
      <c r="P74" s="18"/>
      <c r="Q74" s="228"/>
      <c r="R74" s="229" t="s">
        <v>593</v>
      </c>
      <c r="S74" s="229" t="s">
        <v>594</v>
      </c>
      <c r="T74" s="229" t="s">
        <v>595</v>
      </c>
      <c r="U74" s="230" t="s">
        <v>596</v>
      </c>
      <c r="V74" s="18"/>
      <c r="W74" s="228" t="s">
        <v>618</v>
      </c>
      <c r="X74" s="230">
        <v>2012</v>
      </c>
      <c r="Y74" s="18"/>
      <c r="Z74" s="228" t="s">
        <v>619</v>
      </c>
      <c r="AA74" s="229">
        <v>0.9</v>
      </c>
      <c r="AB74" s="230" t="s">
        <v>620</v>
      </c>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row>
    <row r="75" spans="1:131">
      <c r="A75" s="18"/>
      <c r="B75" s="18"/>
      <c r="C75" s="18"/>
      <c r="D75" s="18"/>
      <c r="E75" s="18"/>
      <c r="F75" s="18"/>
      <c r="G75" s="228" t="s">
        <v>621</v>
      </c>
      <c r="H75" s="229" t="s">
        <v>610</v>
      </c>
      <c r="I75" s="229"/>
      <c r="J75" s="229"/>
      <c r="K75" s="229"/>
      <c r="L75" s="229"/>
      <c r="M75" s="229"/>
      <c r="N75" s="229"/>
      <c r="O75" s="230"/>
      <c r="P75" s="18"/>
      <c r="Q75" s="228" t="s">
        <v>622</v>
      </c>
      <c r="R75" s="229">
        <v>0.35</v>
      </c>
      <c r="S75" s="229">
        <v>0.19500000000000001</v>
      </c>
      <c r="T75" s="229">
        <v>0.45499999999999996</v>
      </c>
      <c r="U75" s="230">
        <v>0</v>
      </c>
      <c r="V75" s="18"/>
      <c r="W75" s="228" t="s">
        <v>623</v>
      </c>
      <c r="X75" s="230">
        <v>0.04</v>
      </c>
      <c r="Y75" s="18"/>
      <c r="Z75" s="228" t="s">
        <v>624</v>
      </c>
      <c r="AA75" s="229">
        <v>4.7399348199455904E-2</v>
      </c>
      <c r="AB75" s="230">
        <v>0</v>
      </c>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row>
    <row r="76" spans="1:131">
      <c r="A76" s="18"/>
      <c r="B76" s="18" t="s">
        <v>625</v>
      </c>
      <c r="C76" s="18" t="s">
        <v>590</v>
      </c>
      <c r="D76" s="18"/>
      <c r="E76" s="18"/>
      <c r="F76" s="18"/>
      <c r="G76" s="228" t="s">
        <v>626</v>
      </c>
      <c r="H76" s="229" t="s">
        <v>627</v>
      </c>
      <c r="I76" s="229"/>
      <c r="J76" s="229"/>
      <c r="K76" s="229" t="s">
        <v>628</v>
      </c>
      <c r="L76" s="229"/>
      <c r="M76" s="229"/>
      <c r="N76" s="229"/>
      <c r="O76" s="230"/>
      <c r="P76" s="18"/>
      <c r="Q76" s="228" t="s">
        <v>629</v>
      </c>
      <c r="R76" s="229">
        <v>1</v>
      </c>
      <c r="S76" s="229">
        <v>0</v>
      </c>
      <c r="T76" s="229">
        <v>0</v>
      </c>
      <c r="U76" s="230">
        <v>0</v>
      </c>
      <c r="V76" s="18"/>
      <c r="W76" s="228" t="s">
        <v>630</v>
      </c>
      <c r="X76" s="230">
        <v>0</v>
      </c>
      <c r="Y76" s="18"/>
      <c r="Z76" s="228" t="s">
        <v>631</v>
      </c>
      <c r="AA76" s="229">
        <v>31</v>
      </c>
      <c r="AB76" s="230">
        <v>0</v>
      </c>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row>
    <row r="77" spans="1:131">
      <c r="A77" s="18"/>
      <c r="B77" s="18" t="s">
        <v>632</v>
      </c>
      <c r="C77" s="18" t="s">
        <v>633</v>
      </c>
      <c r="D77" s="18"/>
      <c r="E77" s="18"/>
      <c r="F77" s="18"/>
      <c r="G77" s="228" t="s">
        <v>634</v>
      </c>
      <c r="H77" s="229" t="s">
        <v>628</v>
      </c>
      <c r="I77" s="229"/>
      <c r="J77" s="229"/>
      <c r="K77" s="229" t="s">
        <v>635</v>
      </c>
      <c r="L77" s="229"/>
      <c r="M77" s="229"/>
      <c r="N77" s="229"/>
      <c r="O77" s="230"/>
      <c r="P77" s="18"/>
      <c r="Q77" s="228" t="s">
        <v>636</v>
      </c>
      <c r="R77" s="229">
        <v>1</v>
      </c>
      <c r="S77" s="229">
        <v>0</v>
      </c>
      <c r="T77" s="229">
        <v>0</v>
      </c>
      <c r="U77" s="230">
        <v>0</v>
      </c>
      <c r="V77" s="18"/>
      <c r="W77" s="228" t="s">
        <v>637</v>
      </c>
      <c r="X77" s="230">
        <v>0.2</v>
      </c>
      <c r="Y77" s="18"/>
      <c r="Z77" s="228" t="s">
        <v>638</v>
      </c>
      <c r="AA77" s="229">
        <v>0.7</v>
      </c>
      <c r="AB77" s="230" t="s">
        <v>620</v>
      </c>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row>
    <row r="78" spans="1:131">
      <c r="A78" s="18"/>
      <c r="B78" s="18" t="s">
        <v>639</v>
      </c>
      <c r="C78" s="18" t="s">
        <v>640</v>
      </c>
      <c r="D78" s="18"/>
      <c r="E78" s="18"/>
      <c r="F78" s="18"/>
      <c r="G78" s="228" t="s">
        <v>641</v>
      </c>
      <c r="H78" s="229" t="s">
        <v>635</v>
      </c>
      <c r="I78" s="229"/>
      <c r="J78" s="229"/>
      <c r="K78" s="229" t="s">
        <v>642</v>
      </c>
      <c r="L78" s="229"/>
      <c r="M78" s="229"/>
      <c r="N78" s="229"/>
      <c r="O78" s="230"/>
      <c r="P78" s="18"/>
      <c r="Q78" s="228" t="s">
        <v>643</v>
      </c>
      <c r="R78" s="229"/>
      <c r="S78" s="229">
        <v>0.3</v>
      </c>
      <c r="T78" s="229">
        <v>0.7</v>
      </c>
      <c r="U78" s="230">
        <v>0</v>
      </c>
      <c r="V78" s="18"/>
      <c r="W78" s="228" t="s">
        <v>644</v>
      </c>
      <c r="X78" s="230">
        <v>0</v>
      </c>
      <c r="Y78" s="18"/>
      <c r="Z78" s="228" t="s">
        <v>645</v>
      </c>
      <c r="AA78" s="229">
        <v>0</v>
      </c>
      <c r="AB78" s="230">
        <v>0</v>
      </c>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row>
    <row r="79" spans="1:131" ht="13.5" thickBot="1">
      <c r="A79" s="18"/>
      <c r="B79" s="18" t="s">
        <v>646</v>
      </c>
      <c r="C79" s="18" t="s">
        <v>647</v>
      </c>
      <c r="D79" s="18"/>
      <c r="E79" s="18"/>
      <c r="F79" s="18"/>
      <c r="G79" s="231" t="s">
        <v>648</v>
      </c>
      <c r="H79" s="232" t="s">
        <v>642</v>
      </c>
      <c r="I79" s="232"/>
      <c r="J79" s="232"/>
      <c r="K79" s="232"/>
      <c r="L79" s="232"/>
      <c r="M79" s="232"/>
      <c r="N79" s="232"/>
      <c r="O79" s="233"/>
      <c r="P79" s="18"/>
      <c r="Q79" s="231" t="s">
        <v>649</v>
      </c>
      <c r="R79" s="232"/>
      <c r="S79" s="232">
        <v>20</v>
      </c>
      <c r="T79" s="232"/>
      <c r="U79" s="233"/>
      <c r="V79" s="18"/>
      <c r="W79" s="231" t="s">
        <v>650</v>
      </c>
      <c r="X79" s="233">
        <v>2018</v>
      </c>
      <c r="Y79" s="18"/>
      <c r="Z79" s="231" t="s">
        <v>651</v>
      </c>
      <c r="AA79" s="232">
        <v>0</v>
      </c>
      <c r="AB79" s="233">
        <v>0</v>
      </c>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row>
    <row r="80" spans="1:13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row>
    <row r="81" spans="1:13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row>
    <row r="82" spans="1:13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row>
    <row r="83" spans="1:13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row>
    <row r="84" spans="1:13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row>
    <row r="85" spans="1:13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row>
    <row r="86" spans="1:13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row>
    <row r="87" spans="1:131" ht="13.5" thickBot="1">
      <c r="A87" s="222" t="s">
        <v>652</v>
      </c>
      <c r="B87" s="224"/>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c r="BX87" s="42"/>
      <c r="BY87" s="42"/>
      <c r="BZ87" s="42"/>
      <c r="CA87" s="42"/>
      <c r="CB87" s="42"/>
      <c r="CC87" s="42"/>
      <c r="CD87" s="42"/>
      <c r="CE87" s="42"/>
      <c r="CF87" s="42"/>
      <c r="CG87" s="42"/>
      <c r="CH87" s="42"/>
      <c r="CI87" s="42"/>
      <c r="CJ87" s="42"/>
      <c r="CK87" s="42"/>
      <c r="CL87" s="42"/>
      <c r="CM87" s="42"/>
      <c r="CN87" s="42"/>
      <c r="CO87" s="42"/>
      <c r="CP87" s="42"/>
      <c r="CQ87" s="42"/>
      <c r="CR87" s="42"/>
      <c r="CS87" s="42"/>
      <c r="CT87" s="42"/>
      <c r="CU87" s="42"/>
      <c r="CV87" s="42"/>
      <c r="CW87" s="42"/>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row>
    <row r="88" spans="1:131" ht="26.25" thickBot="1">
      <c r="A88" s="234" t="s">
        <v>653</v>
      </c>
      <c r="B88" s="235"/>
      <c r="C88" s="236" t="s">
        <v>654</v>
      </c>
      <c r="D88" s="237"/>
      <c r="E88" s="237"/>
      <c r="F88" s="237"/>
      <c r="G88" s="237"/>
      <c r="H88" s="237"/>
      <c r="I88" s="237"/>
      <c r="J88" s="237"/>
      <c r="K88" s="238"/>
      <c r="L88" s="236" t="s">
        <v>655</v>
      </c>
      <c r="M88" s="237"/>
      <c r="N88" s="237"/>
      <c r="O88" s="237"/>
      <c r="P88" s="237"/>
      <c r="Q88" s="238"/>
      <c r="R88" s="236" t="s">
        <v>656</v>
      </c>
      <c r="S88" s="237"/>
      <c r="T88" s="237"/>
      <c r="U88" s="238"/>
      <c r="V88" s="236" t="s">
        <v>657</v>
      </c>
      <c r="W88" s="237"/>
      <c r="X88" s="237"/>
      <c r="Y88" s="238"/>
      <c r="Z88" s="236" t="s">
        <v>658</v>
      </c>
      <c r="AA88" s="237"/>
      <c r="AB88" s="237"/>
      <c r="AC88" s="238"/>
      <c r="AD88" s="236" t="s">
        <v>659</v>
      </c>
      <c r="AE88" s="237"/>
      <c r="AF88" s="237"/>
      <c r="AG88" s="238"/>
      <c r="AH88" s="236" t="s">
        <v>660</v>
      </c>
      <c r="AI88" s="237"/>
      <c r="AJ88" s="237"/>
      <c r="AK88" s="237"/>
      <c r="AL88" s="238"/>
      <c r="AM88" s="236" t="s">
        <v>661</v>
      </c>
      <c r="AN88" s="237"/>
      <c r="AO88" s="237"/>
      <c r="AP88" s="237"/>
      <c r="AQ88" s="237"/>
      <c r="AR88" s="237"/>
      <c r="AS88" s="238"/>
      <c r="AT88" s="236" t="s">
        <v>662</v>
      </c>
      <c r="AU88" s="237"/>
      <c r="AV88" s="237"/>
      <c r="AW88" s="237"/>
      <c r="AX88" s="237"/>
      <c r="AY88" s="237"/>
      <c r="AZ88" s="238"/>
      <c r="BA88" s="236" t="s">
        <v>663</v>
      </c>
      <c r="BB88" s="237"/>
      <c r="BC88" s="237"/>
      <c r="BD88" s="237"/>
      <c r="BE88" s="237"/>
      <c r="BF88" s="238"/>
      <c r="BG88" s="236" t="s">
        <v>664</v>
      </c>
      <c r="BH88" s="238"/>
      <c r="BI88" s="236" t="s">
        <v>665</v>
      </c>
      <c r="BJ88" s="237"/>
      <c r="BK88" s="237"/>
      <c r="BL88" s="237"/>
      <c r="BM88" s="238"/>
      <c r="BN88" s="236" t="s">
        <v>666</v>
      </c>
      <c r="BO88" s="237"/>
      <c r="BP88" s="237"/>
      <c r="BQ88" s="237"/>
      <c r="BR88" s="237"/>
      <c r="BS88" s="237"/>
      <c r="BT88" s="237"/>
      <c r="BU88" s="237"/>
      <c r="BV88" s="237"/>
      <c r="BW88" s="237"/>
      <c r="BX88" s="237"/>
      <c r="BY88" s="237"/>
      <c r="BZ88" s="237"/>
      <c r="CA88" s="237"/>
      <c r="CB88" s="237"/>
      <c r="CC88" s="238"/>
      <c r="CD88" s="236" t="s">
        <v>667</v>
      </c>
      <c r="CE88" s="238"/>
      <c r="CF88" s="236" t="s">
        <v>668</v>
      </c>
      <c r="CG88" s="237"/>
      <c r="CH88" s="237"/>
      <c r="CI88" s="237"/>
      <c r="CJ88" s="237"/>
      <c r="CK88" s="238"/>
      <c r="CL88" s="239"/>
      <c r="CM88" s="236" t="s">
        <v>203</v>
      </c>
      <c r="CN88" s="237"/>
      <c r="CO88" s="237"/>
      <c r="CP88" s="238"/>
      <c r="CQ88" s="236" t="s">
        <v>669</v>
      </c>
      <c r="CR88" s="237"/>
      <c r="CS88" s="237"/>
      <c r="CT88" s="237"/>
      <c r="CU88" s="238"/>
      <c r="CV88" s="236" t="s">
        <v>670</v>
      </c>
      <c r="CW88" s="23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row>
    <row r="89" spans="1:131" ht="216.75">
      <c r="A89" s="240" t="s">
        <v>671</v>
      </c>
      <c r="B89" s="241" t="s">
        <v>672</v>
      </c>
      <c r="C89" s="242" t="s">
        <v>21</v>
      </c>
      <c r="D89" s="242" t="s">
        <v>673</v>
      </c>
      <c r="E89" s="242" t="s">
        <v>674</v>
      </c>
      <c r="F89" s="242" t="s">
        <v>675</v>
      </c>
      <c r="G89" s="242" t="s">
        <v>676</v>
      </c>
      <c r="H89" s="242" t="s">
        <v>677</v>
      </c>
      <c r="I89" s="242" t="s">
        <v>678</v>
      </c>
      <c r="J89" s="242" t="s">
        <v>679</v>
      </c>
      <c r="K89" s="242" t="s">
        <v>680</v>
      </c>
      <c r="L89" s="242" t="s">
        <v>681</v>
      </c>
      <c r="M89" s="242" t="s">
        <v>682</v>
      </c>
      <c r="N89" s="242" t="s">
        <v>683</v>
      </c>
      <c r="O89" s="242" t="s">
        <v>684</v>
      </c>
      <c r="P89" s="242" t="s">
        <v>685</v>
      </c>
      <c r="Q89" s="242" t="s">
        <v>686</v>
      </c>
      <c r="R89" s="242" t="s">
        <v>687</v>
      </c>
      <c r="S89" s="242" t="s">
        <v>688</v>
      </c>
      <c r="T89" s="242" t="s">
        <v>689</v>
      </c>
      <c r="U89" s="242" t="s">
        <v>593</v>
      </c>
      <c r="V89" s="242" t="s">
        <v>687</v>
      </c>
      <c r="W89" s="242" t="s">
        <v>688</v>
      </c>
      <c r="X89" s="242" t="s">
        <v>689</v>
      </c>
      <c r="Y89" s="242" t="s">
        <v>593</v>
      </c>
      <c r="Z89" s="242" t="s">
        <v>687</v>
      </c>
      <c r="AA89" s="242" t="s">
        <v>688</v>
      </c>
      <c r="AB89" s="242" t="s">
        <v>689</v>
      </c>
      <c r="AC89" s="242" t="s">
        <v>593</v>
      </c>
      <c r="AD89" s="242" t="s">
        <v>687</v>
      </c>
      <c r="AE89" s="242" t="s">
        <v>688</v>
      </c>
      <c r="AF89" s="242" t="s">
        <v>689</v>
      </c>
      <c r="AG89" s="242" t="s">
        <v>593</v>
      </c>
      <c r="AH89" s="242" t="s">
        <v>687</v>
      </c>
      <c r="AI89" s="242" t="s">
        <v>688</v>
      </c>
      <c r="AJ89" s="242" t="s">
        <v>689</v>
      </c>
      <c r="AK89" s="242" t="s">
        <v>593</v>
      </c>
      <c r="AL89" s="242" t="s">
        <v>27</v>
      </c>
      <c r="AM89" s="242" t="s">
        <v>690</v>
      </c>
      <c r="AN89" s="242" t="s">
        <v>691</v>
      </c>
      <c r="AO89" s="242" t="s">
        <v>692</v>
      </c>
      <c r="AP89" s="242" t="s">
        <v>693</v>
      </c>
      <c r="AQ89" s="242" t="s">
        <v>694</v>
      </c>
      <c r="AR89" s="242" t="s">
        <v>695</v>
      </c>
      <c r="AS89" s="242" t="s">
        <v>696</v>
      </c>
      <c r="AT89" s="242" t="s">
        <v>697</v>
      </c>
      <c r="AU89" s="242" t="s">
        <v>698</v>
      </c>
      <c r="AV89" s="242" t="s">
        <v>699</v>
      </c>
      <c r="AW89" s="242" t="s">
        <v>700</v>
      </c>
      <c r="AX89" s="242" t="s">
        <v>701</v>
      </c>
      <c r="AY89" s="242" t="s">
        <v>702</v>
      </c>
      <c r="AZ89" s="242" t="s">
        <v>703</v>
      </c>
      <c r="BA89" s="242" t="s">
        <v>704</v>
      </c>
      <c r="BB89" s="242" t="s">
        <v>705</v>
      </c>
      <c r="BC89" s="242" t="s">
        <v>706</v>
      </c>
      <c r="BD89" s="242" t="s">
        <v>707</v>
      </c>
      <c r="BE89" s="242" t="s">
        <v>708</v>
      </c>
      <c r="BF89" s="242" t="s">
        <v>709</v>
      </c>
      <c r="BG89" s="242" t="s">
        <v>710</v>
      </c>
      <c r="BH89" s="242" t="s">
        <v>711</v>
      </c>
      <c r="BI89" s="242" t="s">
        <v>712</v>
      </c>
      <c r="BJ89" s="242" t="s">
        <v>713</v>
      </c>
      <c r="BK89" s="242" t="s">
        <v>714</v>
      </c>
      <c r="BL89" s="242" t="s">
        <v>715</v>
      </c>
      <c r="BM89" s="242" t="s">
        <v>716</v>
      </c>
      <c r="BN89" s="242" t="s">
        <v>717</v>
      </c>
      <c r="BO89" s="242" t="s">
        <v>718</v>
      </c>
      <c r="BP89" s="242" t="s">
        <v>719</v>
      </c>
      <c r="BQ89" s="242" t="s">
        <v>720</v>
      </c>
      <c r="BR89" s="242" t="s">
        <v>721</v>
      </c>
      <c r="BS89" s="242" t="s">
        <v>722</v>
      </c>
      <c r="BT89" s="242" t="s">
        <v>723</v>
      </c>
      <c r="BU89" s="242" t="s">
        <v>724</v>
      </c>
      <c r="BV89" s="242" t="s">
        <v>725</v>
      </c>
      <c r="BW89" s="242" t="s">
        <v>726</v>
      </c>
      <c r="BX89" s="242" t="s">
        <v>727</v>
      </c>
      <c r="BY89" s="242" t="s">
        <v>728</v>
      </c>
      <c r="BZ89" s="242" t="s">
        <v>729</v>
      </c>
      <c r="CA89" s="242" t="s">
        <v>730</v>
      </c>
      <c r="CB89" s="242" t="s">
        <v>731</v>
      </c>
      <c r="CC89" s="242" t="s">
        <v>732</v>
      </c>
      <c r="CD89" s="242" t="s">
        <v>733</v>
      </c>
      <c r="CE89" s="242" t="s">
        <v>734</v>
      </c>
      <c r="CF89" s="242" t="s">
        <v>735</v>
      </c>
      <c r="CG89" s="242" t="s">
        <v>736</v>
      </c>
      <c r="CH89" s="242" t="s">
        <v>737</v>
      </c>
      <c r="CI89" s="242" t="s">
        <v>738</v>
      </c>
      <c r="CJ89" s="242" t="s">
        <v>739</v>
      </c>
      <c r="CK89" s="242" t="s">
        <v>740</v>
      </c>
      <c r="CL89" s="242"/>
      <c r="CM89" s="242" t="s">
        <v>741</v>
      </c>
      <c r="CN89" s="242" t="s">
        <v>742</v>
      </c>
      <c r="CO89" s="242" t="s">
        <v>743</v>
      </c>
      <c r="CP89" s="242" t="s">
        <v>744</v>
      </c>
      <c r="CQ89" s="242" t="s">
        <v>745</v>
      </c>
      <c r="CR89" s="242" t="s">
        <v>746</v>
      </c>
      <c r="CS89" s="242" t="s">
        <v>747</v>
      </c>
      <c r="CT89" s="242" t="s">
        <v>748</v>
      </c>
      <c r="CU89" s="242" t="s">
        <v>749</v>
      </c>
      <c r="CV89" s="242" t="s">
        <v>750</v>
      </c>
      <c r="CW89" s="243" t="s">
        <v>751</v>
      </c>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row>
    <row r="90" spans="1:131">
      <c r="A90" s="18" t="s">
        <v>471</v>
      </c>
      <c r="B90" s="18" t="s">
        <v>472</v>
      </c>
      <c r="C90" s="42">
        <v>5</v>
      </c>
      <c r="D90" s="42">
        <v>325.59543417936857</v>
      </c>
      <c r="E90" s="42">
        <v>13.533738787981717</v>
      </c>
      <c r="F90" s="42">
        <v>85.445230374050041</v>
      </c>
      <c r="G90" s="42">
        <v>0</v>
      </c>
      <c r="H90" s="42">
        <v>0</v>
      </c>
      <c r="I90" s="42" t="s">
        <v>920</v>
      </c>
      <c r="J90" s="42"/>
      <c r="K90" s="42"/>
      <c r="L90" s="42">
        <v>349.94844514549499</v>
      </c>
      <c r="M90" s="42">
        <v>6.578553775463461E-2</v>
      </c>
      <c r="N90" s="42">
        <v>6.5310727244223585E-2</v>
      </c>
      <c r="O90" s="42">
        <v>13.669075870333872</v>
      </c>
      <c r="P90" s="42">
        <v>0</v>
      </c>
      <c r="Q90" s="42">
        <v>0</v>
      </c>
      <c r="R90" s="42">
        <v>17.038920356881139</v>
      </c>
      <c r="S90" s="42">
        <v>39.374353339595601</v>
      </c>
      <c r="T90" s="42">
        <v>0</v>
      </c>
      <c r="U90" s="42">
        <v>240.02447487679783</v>
      </c>
      <c r="V90" s="42" t="s">
        <v>752</v>
      </c>
      <c r="W90" s="42" t="s">
        <v>752</v>
      </c>
      <c r="X90" s="42" t="s">
        <v>752</v>
      </c>
      <c r="Y90" s="42" t="s">
        <v>752</v>
      </c>
      <c r="Z90" s="42">
        <v>0</v>
      </c>
      <c r="AA90" s="42">
        <v>0</v>
      </c>
      <c r="AB90" s="42">
        <v>0</v>
      </c>
      <c r="AC90" s="42">
        <v>0</v>
      </c>
      <c r="AD90" s="42">
        <v>0</v>
      </c>
      <c r="AE90" s="42">
        <v>0</v>
      </c>
      <c r="AF90" s="42">
        <v>0</v>
      </c>
      <c r="AG90" s="42">
        <v>0</v>
      </c>
      <c r="AH90" s="42">
        <v>17.038920356881139</v>
      </c>
      <c r="AI90" s="42">
        <v>39.374353339595601</v>
      </c>
      <c r="AJ90" s="42">
        <v>0</v>
      </c>
      <c r="AK90" s="42">
        <v>240.02447487679783</v>
      </c>
      <c r="AL90" s="42">
        <v>296.43774857327458</v>
      </c>
      <c r="AM90" s="42">
        <v>182.13363199431237</v>
      </c>
      <c r="AN90" s="42">
        <v>23.245220098481607</v>
      </c>
      <c r="AO90" s="42">
        <v>0</v>
      </c>
      <c r="AP90" s="42">
        <v>0</v>
      </c>
      <c r="AQ90" s="42">
        <v>205.37885209279398</v>
      </c>
      <c r="AR90" s="42">
        <v>17.038920356881139</v>
      </c>
      <c r="AS90" s="244">
        <v>12.053513238580992</v>
      </c>
      <c r="AT90" s="42">
        <v>182.13363199431237</v>
      </c>
      <c r="AU90" s="42">
        <v>27.515417009361286</v>
      </c>
      <c r="AV90" s="42">
        <v>0</v>
      </c>
      <c r="AW90" s="42">
        <v>0</v>
      </c>
      <c r="AX90" s="42">
        <v>209.64904900367367</v>
      </c>
      <c r="AY90" s="42">
        <v>39.374353339595601</v>
      </c>
      <c r="AZ90" s="244">
        <v>5.3245077371936569</v>
      </c>
      <c r="BA90" s="42">
        <v>182.13363199431237</v>
      </c>
      <c r="BB90" s="42">
        <v>50.760637107842896</v>
      </c>
      <c r="BC90" s="42">
        <v>0</v>
      </c>
      <c r="BD90" s="42">
        <v>0</v>
      </c>
      <c r="BE90" s="42">
        <v>232.89426910215528</v>
      </c>
      <c r="BF90" s="42">
        <v>56.413273696476736</v>
      </c>
      <c r="BG90" s="42">
        <v>1.1885490561056773</v>
      </c>
      <c r="BH90" s="244">
        <v>4.1283594062491105</v>
      </c>
      <c r="BI90" s="42">
        <v>3.5826808233085803</v>
      </c>
      <c r="BJ90" s="42">
        <v>8.2790304599889843</v>
      </c>
      <c r="BK90" s="42">
        <v>0</v>
      </c>
      <c r="BL90" s="42">
        <v>50.468636818208608</v>
      </c>
      <c r="BM90" s="42">
        <v>62.330348101506175</v>
      </c>
      <c r="BN90" s="42">
        <v>182.13363199431237</v>
      </c>
      <c r="BO90" s="42">
        <v>88.833079936453885</v>
      </c>
      <c r="BP90" s="42">
        <v>50.760637107842896</v>
      </c>
      <c r="BQ90" s="42">
        <v>0</v>
      </c>
      <c r="BR90" s="42">
        <v>0</v>
      </c>
      <c r="BS90" s="42">
        <v>0</v>
      </c>
      <c r="BT90" s="42">
        <v>0</v>
      </c>
      <c r="BU90" s="42">
        <v>0</v>
      </c>
      <c r="BV90" s="42">
        <v>0</v>
      </c>
      <c r="BW90" s="42">
        <v>0</v>
      </c>
      <c r="BX90" s="42">
        <v>296.43774857327458</v>
      </c>
      <c r="BY90" s="42"/>
      <c r="BZ90" s="42">
        <v>0</v>
      </c>
      <c r="CA90" s="42">
        <v>0</v>
      </c>
      <c r="CB90" s="42">
        <v>321.72734903860913</v>
      </c>
      <c r="CC90" s="42">
        <v>296.43774857327458</v>
      </c>
      <c r="CD90" s="244">
        <v>1.0853116736550958</v>
      </c>
      <c r="CE90" s="42">
        <v>32.978738807376601</v>
      </c>
      <c r="CF90" s="42">
        <v>3.3245416891024107</v>
      </c>
      <c r="CG90" s="42">
        <v>1.5992818768290644</v>
      </c>
      <c r="CH90" s="42">
        <v>4.9238235659314746</v>
      </c>
      <c r="CI90" s="42">
        <v>0.1662255114441101</v>
      </c>
      <c r="CJ90" s="42">
        <v>7.9964093841453157E-2</v>
      </c>
      <c r="CK90" s="42">
        <v>0.24618960528556327</v>
      </c>
      <c r="CL90" s="42"/>
      <c r="CM90" s="42">
        <v>13.533738787981717</v>
      </c>
      <c r="CN90" s="42" t="s">
        <v>785</v>
      </c>
      <c r="CO90" s="42">
        <v>0</v>
      </c>
      <c r="CP90" s="42">
        <v>0</v>
      </c>
      <c r="CQ90" s="42">
        <v>88.833079936453885</v>
      </c>
      <c r="CR90" s="42">
        <v>0</v>
      </c>
      <c r="CS90" s="42">
        <v>0</v>
      </c>
      <c r="CT90" s="42">
        <v>88.833079936453885</v>
      </c>
      <c r="CU90" s="42">
        <v>0</v>
      </c>
      <c r="CV90" s="42">
        <v>0</v>
      </c>
      <c r="CW90" s="244">
        <v>9999</v>
      </c>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row>
    <row r="91" spans="1:131">
      <c r="A91" s="18" t="s">
        <v>473</v>
      </c>
      <c r="B91" s="18" t="s">
        <v>474</v>
      </c>
      <c r="C91" s="42">
        <v>5</v>
      </c>
      <c r="D91" s="42">
        <v>37.292591652604941</v>
      </c>
      <c r="E91" s="42">
        <v>1.9209476411965321</v>
      </c>
      <c r="F91" s="42">
        <v>12.127898750660252</v>
      </c>
      <c r="G91" s="42">
        <v>0</v>
      </c>
      <c r="H91" s="42">
        <v>0</v>
      </c>
      <c r="I91" s="42" t="s">
        <v>920</v>
      </c>
      <c r="J91" s="42"/>
      <c r="K91" s="42"/>
      <c r="L91" s="42">
        <v>40.081902552372803</v>
      </c>
      <c r="M91" s="42">
        <v>7.5348513480047704E-3</v>
      </c>
      <c r="N91" s="42">
        <v>7.4804681699305693E-3</v>
      </c>
      <c r="O91" s="42">
        <v>1.9401570742426064</v>
      </c>
      <c r="P91" s="42">
        <v>0</v>
      </c>
      <c r="Q91" s="42">
        <v>0</v>
      </c>
      <c r="R91" s="42">
        <v>2.4184650214434598</v>
      </c>
      <c r="S91" s="42">
        <v>5.5887048181025607</v>
      </c>
      <c r="T91" s="42">
        <v>0</v>
      </c>
      <c r="U91" s="42">
        <v>34.06851987223709</v>
      </c>
      <c r="V91" s="42" t="s">
        <v>752</v>
      </c>
      <c r="W91" s="42" t="s">
        <v>752</v>
      </c>
      <c r="X91" s="42" t="s">
        <v>752</v>
      </c>
      <c r="Y91" s="42" t="s">
        <v>752</v>
      </c>
      <c r="Z91" s="42">
        <v>0</v>
      </c>
      <c r="AA91" s="42">
        <v>0</v>
      </c>
      <c r="AB91" s="42">
        <v>0</v>
      </c>
      <c r="AC91" s="42">
        <v>0</v>
      </c>
      <c r="AD91" s="42">
        <v>0</v>
      </c>
      <c r="AE91" s="42">
        <v>0</v>
      </c>
      <c r="AF91" s="42">
        <v>0</v>
      </c>
      <c r="AG91" s="42">
        <v>0</v>
      </c>
      <c r="AH91" s="42">
        <v>2.4184650214434598</v>
      </c>
      <c r="AI91" s="42">
        <v>5.5887048181025607</v>
      </c>
      <c r="AJ91" s="42">
        <v>0</v>
      </c>
      <c r="AK91" s="42">
        <v>34.06851987223709</v>
      </c>
      <c r="AL91" s="42">
        <v>42.075689711783113</v>
      </c>
      <c r="AM91" s="42">
        <v>20.860965637582943</v>
      </c>
      <c r="AN91" s="42">
        <v>2.6624283082853175</v>
      </c>
      <c r="AO91" s="42">
        <v>0</v>
      </c>
      <c r="AP91" s="42">
        <v>0</v>
      </c>
      <c r="AQ91" s="42">
        <v>23.523393945868261</v>
      </c>
      <c r="AR91" s="42">
        <v>2.4184650214434598</v>
      </c>
      <c r="AS91" s="244">
        <v>9.7265801809398642</v>
      </c>
      <c r="AT91" s="42">
        <v>20.860965637582943</v>
      </c>
      <c r="AU91" s="42">
        <v>3.1515221129174886</v>
      </c>
      <c r="AV91" s="42">
        <v>0</v>
      </c>
      <c r="AW91" s="42">
        <v>0</v>
      </c>
      <c r="AX91" s="42">
        <v>24.012487750500433</v>
      </c>
      <c r="AY91" s="42">
        <v>5.5887048181025607</v>
      </c>
      <c r="AZ91" s="244">
        <v>4.2966104906311715</v>
      </c>
      <c r="BA91" s="42">
        <v>20.860965637582943</v>
      </c>
      <c r="BB91" s="42">
        <v>5.8139504212028061</v>
      </c>
      <c r="BC91" s="42">
        <v>0</v>
      </c>
      <c r="BD91" s="42">
        <v>0</v>
      </c>
      <c r="BE91" s="42">
        <v>26.674916058785751</v>
      </c>
      <c r="BF91" s="42">
        <v>8.0071698395460196</v>
      </c>
      <c r="BG91" s="42">
        <v>4.0262790281864298</v>
      </c>
      <c r="BH91" s="244">
        <v>3.3313788258921373</v>
      </c>
      <c r="BI91" s="42">
        <v>4.4397814987412545</v>
      </c>
      <c r="BJ91" s="42">
        <v>10.259659756637065</v>
      </c>
      <c r="BK91" s="42">
        <v>0</v>
      </c>
      <c r="BL91" s="42">
        <v>62.542473377588678</v>
      </c>
      <c r="BM91" s="42">
        <v>77.241914632966996</v>
      </c>
      <c r="BN91" s="42">
        <v>20.860965637582943</v>
      </c>
      <c r="BO91" s="42">
        <v>12.608762296763834</v>
      </c>
      <c r="BP91" s="42">
        <v>5.8139504212028061</v>
      </c>
      <c r="BQ91" s="42">
        <v>0</v>
      </c>
      <c r="BR91" s="42">
        <v>0</v>
      </c>
      <c r="BS91" s="42">
        <v>0</v>
      </c>
      <c r="BT91" s="42">
        <v>0</v>
      </c>
      <c r="BU91" s="42">
        <v>0</v>
      </c>
      <c r="BV91" s="42">
        <v>0</v>
      </c>
      <c r="BW91" s="42">
        <v>0</v>
      </c>
      <c r="BX91" s="42">
        <v>42.075689711783113</v>
      </c>
      <c r="BY91" s="42"/>
      <c r="BZ91" s="42">
        <v>0</v>
      </c>
      <c r="CA91" s="42">
        <v>0</v>
      </c>
      <c r="CB91" s="42">
        <v>39.283678355549583</v>
      </c>
      <c r="CC91" s="42">
        <v>42.075689711783113</v>
      </c>
      <c r="CD91" s="245">
        <v>0.93364312325338683</v>
      </c>
      <c r="CE91" s="42">
        <v>43.421777332392978</v>
      </c>
      <c r="CF91" s="42">
        <v>0.38078167759397202</v>
      </c>
      <c r="CG91" s="42">
        <v>0.22699837768638495</v>
      </c>
      <c r="CH91" s="42">
        <v>0.60778005528035695</v>
      </c>
      <c r="CI91" s="42">
        <v>1.9038903712377084E-2</v>
      </c>
      <c r="CJ91" s="42">
        <v>1.1349918884319249E-2</v>
      </c>
      <c r="CK91" s="42">
        <v>3.0388822596696334E-2</v>
      </c>
      <c r="CL91" s="42"/>
      <c r="CM91" s="42">
        <v>1.9209476411965321</v>
      </c>
      <c r="CN91" s="42" t="s">
        <v>785</v>
      </c>
      <c r="CO91" s="42">
        <v>0</v>
      </c>
      <c r="CP91" s="42">
        <v>0</v>
      </c>
      <c r="CQ91" s="42">
        <v>12.608762296763834</v>
      </c>
      <c r="CR91" s="42">
        <v>0</v>
      </c>
      <c r="CS91" s="42">
        <v>0</v>
      </c>
      <c r="CT91" s="42">
        <v>12.608762296763834</v>
      </c>
      <c r="CU91" s="42">
        <v>0</v>
      </c>
      <c r="CV91" s="42">
        <v>0</v>
      </c>
      <c r="CW91" s="244">
        <v>9999</v>
      </c>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row>
    <row r="92" spans="1:131">
      <c r="A92" s="18" t="s">
        <v>475</v>
      </c>
      <c r="B92" s="18" t="s">
        <v>476</v>
      </c>
      <c r="C92" s="42">
        <v>5</v>
      </c>
      <c r="D92" s="42">
        <v>5.9285057879990815</v>
      </c>
      <c r="E92" s="42">
        <v>0.37765721966821081</v>
      </c>
      <c r="F92" s="42">
        <v>5.2985289648660432</v>
      </c>
      <c r="G92" s="42">
        <v>0</v>
      </c>
      <c r="H92" s="42">
        <v>0</v>
      </c>
      <c r="I92" s="42" t="s">
        <v>920</v>
      </c>
      <c r="J92" s="42"/>
      <c r="K92" s="42"/>
      <c r="L92" s="42">
        <v>6.3719302077295774</v>
      </c>
      <c r="M92" s="42">
        <v>1.197836027178837E-3</v>
      </c>
      <c r="N92" s="42">
        <v>1.1891905838965339E-3</v>
      </c>
      <c r="O92" s="42">
        <v>0.38143378333918326</v>
      </c>
      <c r="P92" s="42">
        <v>0</v>
      </c>
      <c r="Q92" s="42">
        <v>0</v>
      </c>
      <c r="R92" s="42">
        <v>1.0565974560049758</v>
      </c>
      <c r="S92" s="42">
        <v>2.4416360132616322</v>
      </c>
      <c r="T92" s="42">
        <v>0</v>
      </c>
      <c r="U92" s="42">
        <v>14.88411496866556</v>
      </c>
      <c r="V92" s="42" t="s">
        <v>752</v>
      </c>
      <c r="W92" s="42" t="s">
        <v>752</v>
      </c>
      <c r="X92" s="42" t="s">
        <v>752</v>
      </c>
      <c r="Y92" s="42" t="s">
        <v>752</v>
      </c>
      <c r="Z92" s="42">
        <v>0</v>
      </c>
      <c r="AA92" s="42">
        <v>0</v>
      </c>
      <c r="AB92" s="42">
        <v>0</v>
      </c>
      <c r="AC92" s="42">
        <v>0</v>
      </c>
      <c r="AD92" s="42">
        <v>0</v>
      </c>
      <c r="AE92" s="42">
        <v>0</v>
      </c>
      <c r="AF92" s="42">
        <v>0</v>
      </c>
      <c r="AG92" s="42">
        <v>0</v>
      </c>
      <c r="AH92" s="42">
        <v>1.0565974560049758</v>
      </c>
      <c r="AI92" s="42">
        <v>2.4416360132616322</v>
      </c>
      <c r="AJ92" s="42">
        <v>0</v>
      </c>
      <c r="AK92" s="42">
        <v>14.88411496866556</v>
      </c>
      <c r="AL92" s="42">
        <v>18.382348437932169</v>
      </c>
      <c r="AM92" s="42">
        <v>3.3163250405800531</v>
      </c>
      <c r="AN92" s="42">
        <v>0.42325354544511939</v>
      </c>
      <c r="AO92" s="42">
        <v>0</v>
      </c>
      <c r="AP92" s="42">
        <v>0</v>
      </c>
      <c r="AQ92" s="42">
        <v>3.7395785860251722</v>
      </c>
      <c r="AR92" s="42">
        <v>1.0565974560049758</v>
      </c>
      <c r="AS92" s="244">
        <v>3.539265180672138</v>
      </c>
      <c r="AT92" s="42">
        <v>3.3163250405800531</v>
      </c>
      <c r="AU92" s="42">
        <v>0.50100613176701358</v>
      </c>
      <c r="AV92" s="42">
        <v>0</v>
      </c>
      <c r="AW92" s="42">
        <v>0</v>
      </c>
      <c r="AX92" s="42">
        <v>3.8173311723470666</v>
      </c>
      <c r="AY92" s="42">
        <v>2.4416360132616322</v>
      </c>
      <c r="AZ92" s="244">
        <v>1.563431712021534</v>
      </c>
      <c r="BA92" s="42">
        <v>3.3163250405800531</v>
      </c>
      <c r="BB92" s="42">
        <v>0.92425967721213298</v>
      </c>
      <c r="BC92" s="42">
        <v>0</v>
      </c>
      <c r="BD92" s="42">
        <v>0</v>
      </c>
      <c r="BE92" s="42">
        <v>4.2405847177921858</v>
      </c>
      <c r="BF92" s="42">
        <v>3.4982334692666077</v>
      </c>
      <c r="BG92" s="42">
        <v>29.723724326050299</v>
      </c>
      <c r="BH92" s="244">
        <v>1.2122074627229524</v>
      </c>
      <c r="BI92" s="42">
        <v>12.201371903181093</v>
      </c>
      <c r="BJ92" s="42">
        <v>28.195514650061092</v>
      </c>
      <c r="BK92" s="42">
        <v>0</v>
      </c>
      <c r="BL92" s="42">
        <v>171.87872368068417</v>
      </c>
      <c r="BM92" s="42">
        <v>212.27561023392639</v>
      </c>
      <c r="BN92" s="42">
        <v>3.3163250405800531</v>
      </c>
      <c r="BO92" s="42">
        <v>2.478875535351468</v>
      </c>
      <c r="BP92" s="42">
        <v>0.92425967721213298</v>
      </c>
      <c r="BQ92" s="42">
        <v>0</v>
      </c>
      <c r="BR92" s="42">
        <v>0</v>
      </c>
      <c r="BS92" s="42">
        <v>0</v>
      </c>
      <c r="BT92" s="42">
        <v>0</v>
      </c>
      <c r="BU92" s="42">
        <v>0</v>
      </c>
      <c r="BV92" s="42">
        <v>0</v>
      </c>
      <c r="BW92" s="42">
        <v>0</v>
      </c>
      <c r="BX92" s="42">
        <v>18.382348437932169</v>
      </c>
      <c r="BY92" s="42"/>
      <c r="BZ92" s="42">
        <v>0</v>
      </c>
      <c r="CA92" s="42">
        <v>0</v>
      </c>
      <c r="CB92" s="42">
        <v>6.7194602531436534</v>
      </c>
      <c r="CC92" s="42">
        <v>18.382348437932169</v>
      </c>
      <c r="CD92" s="245">
        <v>0.36553872731940912</v>
      </c>
      <c r="CE92" s="42">
        <v>172.97689895148676</v>
      </c>
      <c r="CF92" s="42">
        <v>6.0533909807316398E-2</v>
      </c>
      <c r="CG92" s="42">
        <v>4.4627752650684402E-2</v>
      </c>
      <c r="CH92" s="42">
        <v>0.10516166245800079</v>
      </c>
      <c r="CI92" s="42">
        <v>3.0266668486715496E-3</v>
      </c>
      <c r="CJ92" s="42">
        <v>2.2313876325342225E-3</v>
      </c>
      <c r="CK92" s="42">
        <v>5.2580544812057721E-3</v>
      </c>
      <c r="CL92" s="42"/>
      <c r="CM92" s="42">
        <v>0.37765721966821081</v>
      </c>
      <c r="CN92" s="42" t="s">
        <v>785</v>
      </c>
      <c r="CO92" s="42">
        <v>0</v>
      </c>
      <c r="CP92" s="42">
        <v>0</v>
      </c>
      <c r="CQ92" s="42">
        <v>2.478875535351468</v>
      </c>
      <c r="CR92" s="42">
        <v>0</v>
      </c>
      <c r="CS92" s="42">
        <v>0</v>
      </c>
      <c r="CT92" s="42">
        <v>2.478875535351468</v>
      </c>
      <c r="CU92" s="42">
        <v>0</v>
      </c>
      <c r="CV92" s="42">
        <v>0</v>
      </c>
      <c r="CW92" s="244">
        <v>9999</v>
      </c>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row>
    <row r="93" spans="1:131">
      <c r="A93" s="18" t="s">
        <v>477</v>
      </c>
      <c r="B93" s="18" t="s">
        <v>478</v>
      </c>
      <c r="C93" s="42">
        <v>5</v>
      </c>
      <c r="D93" s="42">
        <v>27.686177351277713</v>
      </c>
      <c r="E93" s="42">
        <v>1.5317581230503501</v>
      </c>
      <c r="F93" s="42">
        <v>9.0038031906442928</v>
      </c>
      <c r="G93" s="42">
        <v>0</v>
      </c>
      <c r="H93" s="42">
        <v>0</v>
      </c>
      <c r="I93" s="42" t="s">
        <v>920</v>
      </c>
      <c r="J93" s="42"/>
      <c r="K93" s="42"/>
      <c r="L93" s="42">
        <v>29.756973529194479</v>
      </c>
      <c r="M93" s="42">
        <v>5.59390542442502E-3</v>
      </c>
      <c r="N93" s="42">
        <v>5.5535311236224842E-3</v>
      </c>
      <c r="O93" s="42">
        <v>1.5470756697010168</v>
      </c>
      <c r="P93" s="42">
        <v>0</v>
      </c>
      <c r="Q93" s="42">
        <v>0</v>
      </c>
      <c r="R93" s="42">
        <v>1.7954786335389525</v>
      </c>
      <c r="S93" s="42">
        <v>4.1490780313499505</v>
      </c>
      <c r="T93" s="42">
        <v>0</v>
      </c>
      <c r="U93" s="42">
        <v>25.292612861686138</v>
      </c>
      <c r="V93" s="42" t="s">
        <v>752</v>
      </c>
      <c r="W93" s="42" t="s">
        <v>752</v>
      </c>
      <c r="X93" s="42" t="s">
        <v>752</v>
      </c>
      <c r="Y93" s="42" t="s">
        <v>752</v>
      </c>
      <c r="Z93" s="42">
        <v>0</v>
      </c>
      <c r="AA93" s="42">
        <v>0</v>
      </c>
      <c r="AB93" s="42">
        <v>0</v>
      </c>
      <c r="AC93" s="42">
        <v>0</v>
      </c>
      <c r="AD93" s="42">
        <v>0</v>
      </c>
      <c r="AE93" s="42">
        <v>0</v>
      </c>
      <c r="AF93" s="42">
        <v>0</v>
      </c>
      <c r="AG93" s="42">
        <v>0</v>
      </c>
      <c r="AH93" s="42">
        <v>1.7954786335389525</v>
      </c>
      <c r="AI93" s="42">
        <v>4.1490780313499505</v>
      </c>
      <c r="AJ93" s="42">
        <v>0</v>
      </c>
      <c r="AK93" s="42">
        <v>25.292612861686138</v>
      </c>
      <c r="AL93" s="42">
        <v>31.237169526575041</v>
      </c>
      <c r="AM93" s="42">
        <v>15.487268885499621</v>
      </c>
      <c r="AN93" s="42">
        <v>1.9765980067813462</v>
      </c>
      <c r="AO93" s="42">
        <v>0</v>
      </c>
      <c r="AP93" s="42">
        <v>0</v>
      </c>
      <c r="AQ93" s="42">
        <v>17.463866892280969</v>
      </c>
      <c r="AR93" s="42">
        <v>1.7954786335389525</v>
      </c>
      <c r="AS93" s="244">
        <v>9.726580180939866</v>
      </c>
      <c r="AT93" s="42">
        <v>15.487268885499621</v>
      </c>
      <c r="AU93" s="42">
        <v>2.3397033104459033</v>
      </c>
      <c r="AV93" s="42">
        <v>0</v>
      </c>
      <c r="AW93" s="42">
        <v>0</v>
      </c>
      <c r="AX93" s="42">
        <v>17.826972195945523</v>
      </c>
      <c r="AY93" s="42">
        <v>4.1490780313499505</v>
      </c>
      <c r="AZ93" s="244">
        <v>4.2966104906311706</v>
      </c>
      <c r="BA93" s="42">
        <v>15.487268885499621</v>
      </c>
      <c r="BB93" s="42">
        <v>4.31630131722725</v>
      </c>
      <c r="BC93" s="42">
        <v>0</v>
      </c>
      <c r="BD93" s="42">
        <v>0</v>
      </c>
      <c r="BE93" s="42">
        <v>19.803570202726867</v>
      </c>
      <c r="BF93" s="42">
        <v>5.9445566648889034</v>
      </c>
      <c r="BG93" s="42">
        <v>4.0262790281864413</v>
      </c>
      <c r="BH93" s="244">
        <v>3.331378825892136</v>
      </c>
      <c r="BI93" s="42">
        <v>4.4397814987412545</v>
      </c>
      <c r="BJ93" s="42">
        <v>10.259659756637063</v>
      </c>
      <c r="BK93" s="42">
        <v>0</v>
      </c>
      <c r="BL93" s="42">
        <v>62.542473377588664</v>
      </c>
      <c r="BM93" s="42">
        <v>77.241914632966981</v>
      </c>
      <c r="BN93" s="42">
        <v>15.487268885499621</v>
      </c>
      <c r="BO93" s="42">
        <v>10.054190783486849</v>
      </c>
      <c r="BP93" s="42">
        <v>4.31630131722725</v>
      </c>
      <c r="BQ93" s="42">
        <v>0</v>
      </c>
      <c r="BR93" s="42">
        <v>0</v>
      </c>
      <c r="BS93" s="42">
        <v>0</v>
      </c>
      <c r="BT93" s="42">
        <v>0</v>
      </c>
      <c r="BU93" s="42">
        <v>0</v>
      </c>
      <c r="BV93" s="42">
        <v>0</v>
      </c>
      <c r="BW93" s="42">
        <v>0</v>
      </c>
      <c r="BX93" s="42">
        <v>31.237169526575041</v>
      </c>
      <c r="BY93" s="42"/>
      <c r="BZ93" s="42">
        <v>0</v>
      </c>
      <c r="CA93" s="42">
        <v>0</v>
      </c>
      <c r="CB93" s="42">
        <v>29.857760986213719</v>
      </c>
      <c r="CC93" s="42">
        <v>31.237169526575041</v>
      </c>
      <c r="CD93" s="245">
        <v>0.95584079603666428</v>
      </c>
      <c r="CE93" s="42">
        <v>41.70718658621653</v>
      </c>
      <c r="CF93" s="42">
        <v>0.28269392366693741</v>
      </c>
      <c r="CG93" s="42">
        <v>0.18100785335501887</v>
      </c>
      <c r="CH93" s="42">
        <v>0.46370177702195625</v>
      </c>
      <c r="CI93" s="42">
        <v>1.4134562426367377E-2</v>
      </c>
      <c r="CJ93" s="42">
        <v>9.0503926677509474E-3</v>
      </c>
      <c r="CK93" s="42">
        <v>2.3184955094118324E-2</v>
      </c>
      <c r="CL93" s="42"/>
      <c r="CM93" s="42">
        <v>1.5317581230503501</v>
      </c>
      <c r="CN93" s="42" t="s">
        <v>785</v>
      </c>
      <c r="CO93" s="42">
        <v>0</v>
      </c>
      <c r="CP93" s="42">
        <v>0</v>
      </c>
      <c r="CQ93" s="42">
        <v>10.054190783486849</v>
      </c>
      <c r="CR93" s="42">
        <v>0</v>
      </c>
      <c r="CS93" s="42">
        <v>0</v>
      </c>
      <c r="CT93" s="42">
        <v>10.054190783486849</v>
      </c>
      <c r="CU93" s="42">
        <v>0</v>
      </c>
      <c r="CV93" s="42">
        <v>0</v>
      </c>
      <c r="CW93" s="244">
        <v>9999</v>
      </c>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row>
    <row r="94" spans="1:131">
      <c r="A94" s="18" t="s">
        <v>479</v>
      </c>
      <c r="B94" s="18" t="s">
        <v>480</v>
      </c>
      <c r="C94" s="42">
        <v>5</v>
      </c>
      <c r="D94" s="42">
        <v>215.23090947322603</v>
      </c>
      <c r="E94" s="42">
        <v>10.820573676994087</v>
      </c>
      <c r="F94" s="42">
        <v>141.34276210877621</v>
      </c>
      <c r="G94" s="42">
        <v>0</v>
      </c>
      <c r="H94" s="42">
        <v>0</v>
      </c>
      <c r="I94" s="42" t="s">
        <v>920</v>
      </c>
      <c r="J94" s="42"/>
      <c r="K94" s="42"/>
      <c r="L94" s="42">
        <v>231.32917175955561</v>
      </c>
      <c r="M94" s="42">
        <v>4.3486731184673499E-2</v>
      </c>
      <c r="N94" s="42">
        <v>4.3172863460327851E-2</v>
      </c>
      <c r="O94" s="42">
        <v>10.928779169486772</v>
      </c>
      <c r="P94" s="42">
        <v>0</v>
      </c>
      <c r="Q94" s="42">
        <v>0</v>
      </c>
      <c r="R94" s="42">
        <v>28.185634892084636</v>
      </c>
      <c r="S94" s="42">
        <v>65.132715224740622</v>
      </c>
      <c r="T94" s="42">
        <v>0</v>
      </c>
      <c r="U94" s="42">
        <v>397.04641329047797</v>
      </c>
      <c r="V94" s="42" t="s">
        <v>752</v>
      </c>
      <c r="W94" s="42" t="s">
        <v>752</v>
      </c>
      <c r="X94" s="42" t="s">
        <v>752</v>
      </c>
      <c r="Y94" s="42" t="s">
        <v>752</v>
      </c>
      <c r="Z94" s="42">
        <v>0</v>
      </c>
      <c r="AA94" s="42">
        <v>0</v>
      </c>
      <c r="AB94" s="42">
        <v>0</v>
      </c>
      <c r="AC94" s="42">
        <v>0</v>
      </c>
      <c r="AD94" s="42">
        <v>0</v>
      </c>
      <c r="AE94" s="42">
        <v>0</v>
      </c>
      <c r="AF94" s="42">
        <v>0</v>
      </c>
      <c r="AG94" s="42">
        <v>0</v>
      </c>
      <c r="AH94" s="42">
        <v>28.185634892084636</v>
      </c>
      <c r="AI94" s="42">
        <v>65.132715224740622</v>
      </c>
      <c r="AJ94" s="42">
        <v>0</v>
      </c>
      <c r="AK94" s="42">
        <v>397.04641329047797</v>
      </c>
      <c r="AL94" s="42">
        <v>490.36476340730326</v>
      </c>
      <c r="AM94" s="42">
        <v>120.39722657229331</v>
      </c>
      <c r="AN94" s="42">
        <v>15.365970580365495</v>
      </c>
      <c r="AO94" s="42">
        <v>0</v>
      </c>
      <c r="AP94" s="42">
        <v>0</v>
      </c>
      <c r="AQ94" s="42">
        <v>135.76319715265879</v>
      </c>
      <c r="AR94" s="42">
        <v>28.185634892084636</v>
      </c>
      <c r="AS94" s="244">
        <v>4.8167514293171072</v>
      </c>
      <c r="AT94" s="42">
        <v>120.39722657229331</v>
      </c>
      <c r="AU94" s="42">
        <v>18.188732413850168</v>
      </c>
      <c r="AV94" s="42">
        <v>0</v>
      </c>
      <c r="AW94" s="42">
        <v>0</v>
      </c>
      <c r="AX94" s="42">
        <v>138.58595898614348</v>
      </c>
      <c r="AY94" s="42">
        <v>65.132715224740622</v>
      </c>
      <c r="AZ94" s="244">
        <v>2.1277473003843341</v>
      </c>
      <c r="BA94" s="42">
        <v>120.39722657229331</v>
      </c>
      <c r="BB94" s="42">
        <v>33.55470299421566</v>
      </c>
      <c r="BC94" s="42">
        <v>0</v>
      </c>
      <c r="BD94" s="42">
        <v>0</v>
      </c>
      <c r="BE94" s="42">
        <v>153.95192956650897</v>
      </c>
      <c r="BF94" s="42">
        <v>93.318350116825258</v>
      </c>
      <c r="BG94" s="42">
        <v>19.009767457581738</v>
      </c>
      <c r="BH94" s="244">
        <v>1.6497498013389276</v>
      </c>
      <c r="BI94" s="42">
        <v>8.9653558766852406</v>
      </c>
      <c r="BJ94" s="42">
        <v>20.717573808088378</v>
      </c>
      <c r="BK94" s="42">
        <v>0</v>
      </c>
      <c r="BL94" s="42">
        <v>126.29349696537234</v>
      </c>
      <c r="BM94" s="42">
        <v>155.97642665014595</v>
      </c>
      <c r="BN94" s="42">
        <v>120.39722657229331</v>
      </c>
      <c r="BO94" s="42">
        <v>71.024341570733995</v>
      </c>
      <c r="BP94" s="42">
        <v>33.55470299421566</v>
      </c>
      <c r="BQ94" s="42">
        <v>0</v>
      </c>
      <c r="BR94" s="42">
        <v>0</v>
      </c>
      <c r="BS94" s="42">
        <v>0</v>
      </c>
      <c r="BT94" s="42">
        <v>0</v>
      </c>
      <c r="BU94" s="42">
        <v>0</v>
      </c>
      <c r="BV94" s="42">
        <v>0</v>
      </c>
      <c r="BW94" s="42">
        <v>0</v>
      </c>
      <c r="BX94" s="42">
        <v>490.36476340730326</v>
      </c>
      <c r="BY94" s="42"/>
      <c r="BZ94" s="42">
        <v>0</v>
      </c>
      <c r="CA94" s="42">
        <v>0</v>
      </c>
      <c r="CB94" s="42">
        <v>224.97627113724297</v>
      </c>
      <c r="CC94" s="42">
        <v>490.36476340730326</v>
      </c>
      <c r="CD94" s="245">
        <v>0.4587937142424216</v>
      </c>
      <c r="CE94" s="42">
        <v>122.71166765648562</v>
      </c>
      <c r="CF94" s="42">
        <v>2.1976479281124623</v>
      </c>
      <c r="CG94" s="42">
        <v>1.278667162829952</v>
      </c>
      <c r="CH94" s="42">
        <v>3.4763150909424141</v>
      </c>
      <c r="CI94" s="42">
        <v>0.10988135658578889</v>
      </c>
      <c r="CJ94" s="42">
        <v>6.3933358141497615E-2</v>
      </c>
      <c r="CK94" s="42">
        <v>0.17381471472728649</v>
      </c>
      <c r="CL94" s="42"/>
      <c r="CM94" s="42">
        <v>10.820573676994087</v>
      </c>
      <c r="CN94" s="42" t="s">
        <v>785</v>
      </c>
      <c r="CO94" s="42">
        <v>0</v>
      </c>
      <c r="CP94" s="42">
        <v>0</v>
      </c>
      <c r="CQ94" s="42">
        <v>71.024341570733995</v>
      </c>
      <c r="CR94" s="42">
        <v>0</v>
      </c>
      <c r="CS94" s="42">
        <v>0</v>
      </c>
      <c r="CT94" s="42">
        <v>71.024341570733995</v>
      </c>
      <c r="CU94" s="42">
        <v>0</v>
      </c>
      <c r="CV94" s="42">
        <v>0</v>
      </c>
      <c r="CW94" s="244">
        <v>9999</v>
      </c>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row>
    <row r="95" spans="1:131">
      <c r="A95" s="18" t="s">
        <v>481</v>
      </c>
      <c r="B95" s="18" t="s">
        <v>482</v>
      </c>
      <c r="C95" s="42">
        <v>5</v>
      </c>
      <c r="D95" s="42">
        <v>26.385348524881717</v>
      </c>
      <c r="E95" s="42">
        <v>0.95342456755581151</v>
      </c>
      <c r="F95" s="42">
        <v>12.454021927434404</v>
      </c>
      <c r="G95" s="42">
        <v>0</v>
      </c>
      <c r="H95" s="42">
        <v>0</v>
      </c>
      <c r="I95" s="42" t="s">
        <v>920</v>
      </c>
      <c r="J95" s="42"/>
      <c r="K95" s="42"/>
      <c r="L95" s="42">
        <v>28.358848809340643</v>
      </c>
      <c r="M95" s="42">
        <v>5.331077034073429E-3</v>
      </c>
      <c r="N95" s="42">
        <v>5.292599710728747E-3</v>
      </c>
      <c r="O95" s="42">
        <v>0.96295879170756282</v>
      </c>
      <c r="P95" s="42">
        <v>0</v>
      </c>
      <c r="Q95" s="42">
        <v>0</v>
      </c>
      <c r="R95" s="42">
        <v>2.4834983394093908</v>
      </c>
      <c r="S95" s="42">
        <v>5.7389869244100025</v>
      </c>
      <c r="T95" s="42">
        <v>0</v>
      </c>
      <c r="U95" s="42">
        <v>34.984633550059669</v>
      </c>
      <c r="V95" s="42" t="s">
        <v>752</v>
      </c>
      <c r="W95" s="42" t="s">
        <v>752</v>
      </c>
      <c r="X95" s="42" t="s">
        <v>752</v>
      </c>
      <c r="Y95" s="42" t="s">
        <v>752</v>
      </c>
      <c r="Z95" s="42">
        <v>0</v>
      </c>
      <c r="AA95" s="42">
        <v>0</v>
      </c>
      <c r="AB95" s="42">
        <v>0</v>
      </c>
      <c r="AC95" s="42">
        <v>0</v>
      </c>
      <c r="AD95" s="42">
        <v>0</v>
      </c>
      <c r="AE95" s="42">
        <v>0</v>
      </c>
      <c r="AF95" s="42">
        <v>0</v>
      </c>
      <c r="AG95" s="42">
        <v>0</v>
      </c>
      <c r="AH95" s="42">
        <v>2.4834983394093908</v>
      </c>
      <c r="AI95" s="42">
        <v>5.7389869244100025</v>
      </c>
      <c r="AJ95" s="42">
        <v>0</v>
      </c>
      <c r="AK95" s="42">
        <v>34.984633550059669</v>
      </c>
      <c r="AL95" s="42">
        <v>43.207118813879063</v>
      </c>
      <c r="AM95" s="42">
        <v>14.759603034313637</v>
      </c>
      <c r="AN95" s="42">
        <v>1.8837279932437281</v>
      </c>
      <c r="AO95" s="42">
        <v>0</v>
      </c>
      <c r="AP95" s="42">
        <v>0</v>
      </c>
      <c r="AQ95" s="42">
        <v>16.643331027557366</v>
      </c>
      <c r="AR95" s="42">
        <v>2.4834983394093908</v>
      </c>
      <c r="AS95" s="244">
        <v>6.7015672060064162</v>
      </c>
      <c r="AT95" s="42">
        <v>14.759603034313637</v>
      </c>
      <c r="AU95" s="42">
        <v>2.2297728757446422</v>
      </c>
      <c r="AV95" s="42">
        <v>0</v>
      </c>
      <c r="AW95" s="42">
        <v>0</v>
      </c>
      <c r="AX95" s="42">
        <v>16.989375910058278</v>
      </c>
      <c r="AY95" s="42">
        <v>5.7389869244100025</v>
      </c>
      <c r="AZ95" s="244">
        <v>2.9603440700999459</v>
      </c>
      <c r="BA95" s="42">
        <v>14.759603034313637</v>
      </c>
      <c r="BB95" s="42">
        <v>4.1135008689883703</v>
      </c>
      <c r="BC95" s="42">
        <v>0</v>
      </c>
      <c r="BD95" s="42">
        <v>0</v>
      </c>
      <c r="BE95" s="42">
        <v>18.873103903302006</v>
      </c>
      <c r="BF95" s="42">
        <v>8.2224852638193937</v>
      </c>
      <c r="BG95" s="42">
        <v>10.661443483739149</v>
      </c>
      <c r="BH95" s="244">
        <v>2.2953040714280752</v>
      </c>
      <c r="BI95" s="42">
        <v>6.4438495363675132</v>
      </c>
      <c r="BJ95" s="42">
        <v>14.890756174563514</v>
      </c>
      <c r="BK95" s="42">
        <v>0</v>
      </c>
      <c r="BL95" s="42">
        <v>90.773450943861306</v>
      </c>
      <c r="BM95" s="42">
        <v>112.10805665479234</v>
      </c>
      <c r="BN95" s="42">
        <v>14.759603034313637</v>
      </c>
      <c r="BO95" s="42">
        <v>6.2581110918348868</v>
      </c>
      <c r="BP95" s="42">
        <v>4.1135008689883703</v>
      </c>
      <c r="BQ95" s="42">
        <v>0</v>
      </c>
      <c r="BR95" s="42">
        <v>0</v>
      </c>
      <c r="BS95" s="42">
        <v>0</v>
      </c>
      <c r="BT95" s="42">
        <v>0</v>
      </c>
      <c r="BU95" s="42">
        <v>0</v>
      </c>
      <c r="BV95" s="42">
        <v>0</v>
      </c>
      <c r="BW95" s="42">
        <v>0</v>
      </c>
      <c r="BX95" s="42">
        <v>43.207118813879063</v>
      </c>
      <c r="BY95" s="42"/>
      <c r="BZ95" s="42">
        <v>0</v>
      </c>
      <c r="CA95" s="42">
        <v>0</v>
      </c>
      <c r="CB95" s="42">
        <v>25.131214995136897</v>
      </c>
      <c r="CC95" s="42">
        <v>43.207118813879063</v>
      </c>
      <c r="CD95" s="245">
        <v>0.58164524006780582</v>
      </c>
      <c r="CE95" s="42">
        <v>85.197184251701259</v>
      </c>
      <c r="CF95" s="42">
        <v>0.26941161313749284</v>
      </c>
      <c r="CG95" s="42">
        <v>0.11266617862978473</v>
      </c>
      <c r="CH95" s="42">
        <v>0.38207779176727757</v>
      </c>
      <c r="CI95" s="42">
        <v>1.3470453184436801E-2</v>
      </c>
      <c r="CJ95" s="42">
        <v>5.6333089314892434E-3</v>
      </c>
      <c r="CK95" s="42">
        <v>1.9103762115926043E-2</v>
      </c>
      <c r="CL95" s="42"/>
      <c r="CM95" s="42">
        <v>0.95342456755581151</v>
      </c>
      <c r="CN95" s="42" t="s">
        <v>785</v>
      </c>
      <c r="CO95" s="42">
        <v>0</v>
      </c>
      <c r="CP95" s="42">
        <v>0</v>
      </c>
      <c r="CQ95" s="42">
        <v>6.2581110918348868</v>
      </c>
      <c r="CR95" s="42">
        <v>0</v>
      </c>
      <c r="CS95" s="42">
        <v>0</v>
      </c>
      <c r="CT95" s="42">
        <v>6.2581110918348868</v>
      </c>
      <c r="CU95" s="42">
        <v>0</v>
      </c>
      <c r="CV95" s="42">
        <v>0</v>
      </c>
      <c r="CW95" s="244">
        <v>9999</v>
      </c>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row>
    <row r="96" spans="1:131">
      <c r="A96" s="18" t="s">
        <v>483</v>
      </c>
      <c r="B96" s="18" t="s">
        <v>484</v>
      </c>
      <c r="C96" s="42">
        <v>5</v>
      </c>
      <c r="D96" s="42">
        <v>71.182578010221945</v>
      </c>
      <c r="E96" s="42">
        <v>2.4569843339245527</v>
      </c>
      <c r="F96" s="42">
        <v>14.442360743678432</v>
      </c>
      <c r="G96" s="42">
        <v>0</v>
      </c>
      <c r="H96" s="42">
        <v>0</v>
      </c>
      <c r="I96" s="42" t="s">
        <v>920</v>
      </c>
      <c r="J96" s="42"/>
      <c r="K96" s="42"/>
      <c r="L96" s="42">
        <v>76.506700896801192</v>
      </c>
      <c r="M96" s="42">
        <v>1.4382216952661446E-2</v>
      </c>
      <c r="N96" s="42">
        <v>1.4278412560309966E-2</v>
      </c>
      <c r="O96" s="42">
        <v>2.4815541217967398</v>
      </c>
      <c r="P96" s="42">
        <v>0</v>
      </c>
      <c r="Q96" s="42">
        <v>0</v>
      </c>
      <c r="R96" s="42">
        <v>2.8799996605968459</v>
      </c>
      <c r="S96" s="42">
        <v>6.6552411701636931</v>
      </c>
      <c r="T96" s="42">
        <v>0</v>
      </c>
      <c r="U96" s="42">
        <v>40.5700825933461</v>
      </c>
      <c r="V96" s="42" t="s">
        <v>752</v>
      </c>
      <c r="W96" s="42" t="s">
        <v>752</v>
      </c>
      <c r="X96" s="42" t="s">
        <v>752</v>
      </c>
      <c r="Y96" s="42" t="s">
        <v>752</v>
      </c>
      <c r="Z96" s="42">
        <v>0</v>
      </c>
      <c r="AA96" s="42">
        <v>0</v>
      </c>
      <c r="AB96" s="42">
        <v>0</v>
      </c>
      <c r="AC96" s="42">
        <v>0</v>
      </c>
      <c r="AD96" s="42">
        <v>0</v>
      </c>
      <c r="AE96" s="42">
        <v>0</v>
      </c>
      <c r="AF96" s="42">
        <v>0</v>
      </c>
      <c r="AG96" s="42">
        <v>0</v>
      </c>
      <c r="AH96" s="42">
        <v>2.8799996605968459</v>
      </c>
      <c r="AI96" s="42">
        <v>6.6552411701636931</v>
      </c>
      <c r="AJ96" s="42">
        <v>0</v>
      </c>
      <c r="AK96" s="42">
        <v>40.5700825933461</v>
      </c>
      <c r="AL96" s="42">
        <v>50.105323424106643</v>
      </c>
      <c r="AM96" s="42">
        <v>39.818560418073851</v>
      </c>
      <c r="AN96" s="42">
        <v>5.0819345707206889</v>
      </c>
      <c r="AO96" s="42">
        <v>0</v>
      </c>
      <c r="AP96" s="42">
        <v>0</v>
      </c>
      <c r="AQ96" s="42">
        <v>44.900494988794541</v>
      </c>
      <c r="AR96" s="42">
        <v>2.8799996605968459</v>
      </c>
      <c r="AS96" s="244">
        <v>15.590451486195469</v>
      </c>
      <c r="AT96" s="42">
        <v>39.818560418073851</v>
      </c>
      <c r="AU96" s="42">
        <v>6.0154968778636384</v>
      </c>
      <c r="AV96" s="42">
        <v>0</v>
      </c>
      <c r="AW96" s="42">
        <v>0</v>
      </c>
      <c r="AX96" s="42">
        <v>45.834057295937491</v>
      </c>
      <c r="AY96" s="42">
        <v>6.6552411701636931</v>
      </c>
      <c r="AZ96" s="244">
        <v>6.8869115519686197</v>
      </c>
      <c r="BA96" s="42">
        <v>39.818560418073851</v>
      </c>
      <c r="BB96" s="42">
        <v>11.097431448584327</v>
      </c>
      <c r="BC96" s="42">
        <v>0</v>
      </c>
      <c r="BD96" s="42">
        <v>0</v>
      </c>
      <c r="BE96" s="42">
        <v>50.915991866658182</v>
      </c>
      <c r="BF96" s="42">
        <v>9.5352408307605394</v>
      </c>
      <c r="BG96" s="42">
        <v>-1.5024660410006392</v>
      </c>
      <c r="BH96" s="244">
        <v>5.3397698883916993</v>
      </c>
      <c r="BI96" s="42">
        <v>2.7698935320505145</v>
      </c>
      <c r="BJ96" s="42">
        <v>6.4008026541407368</v>
      </c>
      <c r="BK96" s="42">
        <v>0</v>
      </c>
      <c r="BL96" s="42">
        <v>39.019035629600104</v>
      </c>
      <c r="BM96" s="42">
        <v>48.189731815791362</v>
      </c>
      <c r="BN96" s="42">
        <v>39.818560418073851</v>
      </c>
      <c r="BO96" s="42">
        <v>16.127212823994807</v>
      </c>
      <c r="BP96" s="42">
        <v>11.097431448584327</v>
      </c>
      <c r="BQ96" s="42">
        <v>0</v>
      </c>
      <c r="BR96" s="42">
        <v>0</v>
      </c>
      <c r="BS96" s="42">
        <v>0</v>
      </c>
      <c r="BT96" s="42">
        <v>0</v>
      </c>
      <c r="BU96" s="42">
        <v>0</v>
      </c>
      <c r="BV96" s="42">
        <v>0</v>
      </c>
      <c r="BW96" s="42">
        <v>0</v>
      </c>
      <c r="BX96" s="42">
        <v>50.105323424106643</v>
      </c>
      <c r="BY96" s="42"/>
      <c r="BZ96" s="42">
        <v>0</v>
      </c>
      <c r="CA96" s="42">
        <v>0</v>
      </c>
      <c r="CB96" s="42">
        <v>67.043204690652985</v>
      </c>
      <c r="CC96" s="42">
        <v>50.105323424106643</v>
      </c>
      <c r="CD96" s="244">
        <v>1.3380455430489686</v>
      </c>
      <c r="CE96" s="42">
        <v>22.005921062367406</v>
      </c>
      <c r="CF96" s="42">
        <v>0.72682053644031996</v>
      </c>
      <c r="CG96" s="42">
        <v>0.29034183225021837</v>
      </c>
      <c r="CH96" s="42">
        <v>1.0171623686905384</v>
      </c>
      <c r="CI96" s="42">
        <v>3.6340682925980555E-2</v>
      </c>
      <c r="CJ96" s="42">
        <v>1.4517091612510928E-2</v>
      </c>
      <c r="CK96" s="42">
        <v>5.0857774538491482E-2</v>
      </c>
      <c r="CL96" s="42"/>
      <c r="CM96" s="42">
        <v>2.4569843339245527</v>
      </c>
      <c r="CN96" s="42" t="s">
        <v>785</v>
      </c>
      <c r="CO96" s="42">
        <v>0</v>
      </c>
      <c r="CP96" s="42">
        <v>0</v>
      </c>
      <c r="CQ96" s="42">
        <v>16.127212823994807</v>
      </c>
      <c r="CR96" s="42">
        <v>0</v>
      </c>
      <c r="CS96" s="42">
        <v>0</v>
      </c>
      <c r="CT96" s="42">
        <v>16.127212823994807</v>
      </c>
      <c r="CU96" s="42">
        <v>0</v>
      </c>
      <c r="CV96" s="42">
        <v>0</v>
      </c>
      <c r="CW96" s="244">
        <v>9999</v>
      </c>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row>
    <row r="97" spans="1:131">
      <c r="A97" s="18" t="s">
        <v>485</v>
      </c>
      <c r="B97" s="18" t="s">
        <v>486</v>
      </c>
      <c r="C97" s="42">
        <v>5</v>
      </c>
      <c r="D97" s="42">
        <v>143.20533950347667</v>
      </c>
      <c r="E97" s="42">
        <v>10.683191041737485</v>
      </c>
      <c r="F97" s="42">
        <v>69.774106948938581</v>
      </c>
      <c r="G97" s="42">
        <v>0</v>
      </c>
      <c r="H97" s="42">
        <v>0</v>
      </c>
      <c r="I97" s="42" t="s">
        <v>920</v>
      </c>
      <c r="J97" s="42"/>
      <c r="K97" s="42"/>
      <c r="L97" s="42">
        <v>153.91642705949806</v>
      </c>
      <c r="M97" s="42">
        <v>2.8934190346727486E-2</v>
      </c>
      <c r="N97" s="42">
        <v>2.8725356336156652E-2</v>
      </c>
      <c r="O97" s="42">
        <v>10.790022710979054</v>
      </c>
      <c r="P97" s="42">
        <v>0</v>
      </c>
      <c r="Q97" s="42">
        <v>0</v>
      </c>
      <c r="R97" s="42">
        <v>13.913889003177594</v>
      </c>
      <c r="S97" s="42">
        <v>32.152881195772466</v>
      </c>
      <c r="T97" s="42">
        <v>0</v>
      </c>
      <c r="U97" s="42">
        <v>196.00267103385067</v>
      </c>
      <c r="V97" s="42" t="s">
        <v>752</v>
      </c>
      <c r="W97" s="42" t="s">
        <v>752</v>
      </c>
      <c r="X97" s="42" t="s">
        <v>752</v>
      </c>
      <c r="Y97" s="42" t="s">
        <v>752</v>
      </c>
      <c r="Z97" s="42">
        <v>0</v>
      </c>
      <c r="AA97" s="42">
        <v>0</v>
      </c>
      <c r="AB97" s="42">
        <v>0</v>
      </c>
      <c r="AC97" s="42">
        <v>0</v>
      </c>
      <c r="AD97" s="42">
        <v>0</v>
      </c>
      <c r="AE97" s="42">
        <v>0</v>
      </c>
      <c r="AF97" s="42">
        <v>0</v>
      </c>
      <c r="AG97" s="42">
        <v>0</v>
      </c>
      <c r="AH97" s="42">
        <v>13.913889003177594</v>
      </c>
      <c r="AI97" s="42">
        <v>32.152881195772466</v>
      </c>
      <c r="AJ97" s="42">
        <v>0</v>
      </c>
      <c r="AK97" s="42">
        <v>196.00267103385067</v>
      </c>
      <c r="AL97" s="42">
        <v>242.06944123280073</v>
      </c>
      <c r="AM97" s="42">
        <v>80.107107983516968</v>
      </c>
      <c r="AN97" s="42">
        <v>10.223852322825444</v>
      </c>
      <c r="AO97" s="42">
        <v>0</v>
      </c>
      <c r="AP97" s="42">
        <v>0</v>
      </c>
      <c r="AQ97" s="42">
        <v>90.330960306342405</v>
      </c>
      <c r="AR97" s="42">
        <v>13.913889003177594</v>
      </c>
      <c r="AS97" s="244">
        <v>6.4921432308187166</v>
      </c>
      <c r="AT97" s="42">
        <v>80.107107983516968</v>
      </c>
      <c r="AU97" s="42">
        <v>12.101995976499479</v>
      </c>
      <c r="AV97" s="42">
        <v>0</v>
      </c>
      <c r="AW97" s="42">
        <v>0</v>
      </c>
      <c r="AX97" s="42">
        <v>92.209103960016449</v>
      </c>
      <c r="AY97" s="42">
        <v>32.152881195772466</v>
      </c>
      <c r="AZ97" s="244">
        <v>2.8678333179093234</v>
      </c>
      <c r="BA97" s="42">
        <v>80.107107983516968</v>
      </c>
      <c r="BB97" s="42">
        <v>22.325848299324925</v>
      </c>
      <c r="BC97" s="42">
        <v>0</v>
      </c>
      <c r="BD97" s="42">
        <v>0</v>
      </c>
      <c r="BE97" s="42">
        <v>102.4329562828419</v>
      </c>
      <c r="BF97" s="42">
        <v>46.06677019895006</v>
      </c>
      <c r="BG97" s="42">
        <v>11.349656571188534</v>
      </c>
      <c r="BH97" s="244">
        <v>2.2235758191959487</v>
      </c>
      <c r="BI97" s="42">
        <v>6.6517156504438857</v>
      </c>
      <c r="BJ97" s="42">
        <v>15.371103147936534</v>
      </c>
      <c r="BK97" s="42">
        <v>0</v>
      </c>
      <c r="BL97" s="42">
        <v>93.701626780760094</v>
      </c>
      <c r="BM97" s="42">
        <v>115.72444557914051</v>
      </c>
      <c r="BN97" s="42">
        <v>80.107107983516968</v>
      </c>
      <c r="BO97" s="42">
        <v>70.122586127480673</v>
      </c>
      <c r="BP97" s="42">
        <v>22.325848299324925</v>
      </c>
      <c r="BQ97" s="42">
        <v>0</v>
      </c>
      <c r="BR97" s="42">
        <v>0</v>
      </c>
      <c r="BS97" s="42">
        <v>0</v>
      </c>
      <c r="BT97" s="42">
        <v>0</v>
      </c>
      <c r="BU97" s="42">
        <v>0</v>
      </c>
      <c r="BV97" s="42">
        <v>0</v>
      </c>
      <c r="BW97" s="42">
        <v>0</v>
      </c>
      <c r="BX97" s="42">
        <v>242.06944123280073</v>
      </c>
      <c r="BY97" s="42"/>
      <c r="BZ97" s="42">
        <v>0</v>
      </c>
      <c r="CA97" s="42">
        <v>0</v>
      </c>
      <c r="CB97" s="42">
        <v>172.55554241032257</v>
      </c>
      <c r="CC97" s="42">
        <v>242.06944123280073</v>
      </c>
      <c r="CD97" s="245">
        <v>0.71283488544253748</v>
      </c>
      <c r="CE97" s="42">
        <v>71.528268795253524</v>
      </c>
      <c r="CF97" s="42">
        <v>1.4622198940882478</v>
      </c>
      <c r="CG97" s="42">
        <v>1.2624326571845479</v>
      </c>
      <c r="CH97" s="42">
        <v>2.7246525512727957</v>
      </c>
      <c r="CI97" s="42">
        <v>7.3110302853261588E-2</v>
      </c>
      <c r="CJ97" s="42">
        <v>6.3121632859227478E-2</v>
      </c>
      <c r="CK97" s="42">
        <v>0.13623193571248907</v>
      </c>
      <c r="CL97" s="42"/>
      <c r="CM97" s="42">
        <v>10.683191041737485</v>
      </c>
      <c r="CN97" s="42" t="s">
        <v>785</v>
      </c>
      <c r="CO97" s="42">
        <v>0</v>
      </c>
      <c r="CP97" s="42">
        <v>0</v>
      </c>
      <c r="CQ97" s="42">
        <v>70.122586127480673</v>
      </c>
      <c r="CR97" s="42">
        <v>0</v>
      </c>
      <c r="CS97" s="42">
        <v>0</v>
      </c>
      <c r="CT97" s="42">
        <v>70.122586127480673</v>
      </c>
      <c r="CU97" s="42">
        <v>0</v>
      </c>
      <c r="CV97" s="42">
        <v>0</v>
      </c>
      <c r="CW97" s="244">
        <v>9999</v>
      </c>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row>
    <row r="98" spans="1:131">
      <c r="A98" s="18" t="s">
        <v>487</v>
      </c>
      <c r="B98" s="18" t="s">
        <v>488</v>
      </c>
      <c r="C98" s="42">
        <v>5</v>
      </c>
      <c r="D98" s="42">
        <v>585.68803424977136</v>
      </c>
      <c r="E98" s="42">
        <v>26.558262101363205</v>
      </c>
      <c r="F98" s="42">
        <v>173.45744478393965</v>
      </c>
      <c r="G98" s="42">
        <v>0</v>
      </c>
      <c r="H98" s="42">
        <v>0</v>
      </c>
      <c r="I98" s="42" t="s">
        <v>920</v>
      </c>
      <c r="J98" s="42"/>
      <c r="K98" s="42"/>
      <c r="L98" s="42">
        <v>629.49475149309774</v>
      </c>
      <c r="M98" s="42">
        <v>0.11833643302365912</v>
      </c>
      <c r="N98" s="42">
        <v>0.11748233371730778</v>
      </c>
      <c r="O98" s="42">
        <v>26.823844122817185</v>
      </c>
      <c r="P98" s="42">
        <v>0</v>
      </c>
      <c r="Q98" s="42">
        <v>0</v>
      </c>
      <c r="R98" s="42">
        <v>34.5897316215705</v>
      </c>
      <c r="S98" s="42">
        <v>79.931608708968426</v>
      </c>
      <c r="T98" s="42">
        <v>0</v>
      </c>
      <c r="U98" s="42">
        <v>487.25987296747519</v>
      </c>
      <c r="V98" s="42" t="s">
        <v>752</v>
      </c>
      <c r="W98" s="42" t="s">
        <v>752</v>
      </c>
      <c r="X98" s="42" t="s">
        <v>752</v>
      </c>
      <c r="Y98" s="42" t="s">
        <v>752</v>
      </c>
      <c r="Z98" s="42">
        <v>0</v>
      </c>
      <c r="AA98" s="42">
        <v>0</v>
      </c>
      <c r="AB98" s="42">
        <v>0</v>
      </c>
      <c r="AC98" s="42">
        <v>0</v>
      </c>
      <c r="AD98" s="42">
        <v>0</v>
      </c>
      <c r="AE98" s="42">
        <v>0</v>
      </c>
      <c r="AF98" s="42">
        <v>0</v>
      </c>
      <c r="AG98" s="42">
        <v>0</v>
      </c>
      <c r="AH98" s="42">
        <v>34.5897316215705</v>
      </c>
      <c r="AI98" s="42">
        <v>79.931608708968426</v>
      </c>
      <c r="AJ98" s="42">
        <v>0</v>
      </c>
      <c r="AK98" s="42">
        <v>487.25987296747519</v>
      </c>
      <c r="AL98" s="42">
        <v>601.78121329801411</v>
      </c>
      <c r="AM98" s="42">
        <v>327.6258746145507</v>
      </c>
      <c r="AN98" s="42">
        <v>41.813999325564403</v>
      </c>
      <c r="AO98" s="42">
        <v>0</v>
      </c>
      <c r="AP98" s="42">
        <v>0</v>
      </c>
      <c r="AQ98" s="42">
        <v>369.43987394011509</v>
      </c>
      <c r="AR98" s="42">
        <v>34.5897316215705</v>
      </c>
      <c r="AS98" s="244">
        <v>10.680622734572728</v>
      </c>
      <c r="AT98" s="42">
        <v>327.6258746145507</v>
      </c>
      <c r="AU98" s="42">
        <v>49.495320904585007</v>
      </c>
      <c r="AV98" s="42">
        <v>0</v>
      </c>
      <c r="AW98" s="42">
        <v>0</v>
      </c>
      <c r="AX98" s="42">
        <v>377.12119551913571</v>
      </c>
      <c r="AY98" s="42">
        <v>79.931608708968426</v>
      </c>
      <c r="AZ98" s="244">
        <v>4.7180483617217908</v>
      </c>
      <c r="BA98" s="42">
        <v>327.6258746145507</v>
      </c>
      <c r="BB98" s="42">
        <v>91.30932023014941</v>
      </c>
      <c r="BC98" s="42">
        <v>0</v>
      </c>
      <c r="BD98" s="42">
        <v>0</v>
      </c>
      <c r="BE98" s="42">
        <v>418.93519484470011</v>
      </c>
      <c r="BF98" s="42">
        <v>114.52134033053892</v>
      </c>
      <c r="BG98" s="42">
        <v>2.713257042411898</v>
      </c>
      <c r="BH98" s="244">
        <v>3.6581408638384967</v>
      </c>
      <c r="BI98" s="42">
        <v>4.0431997090933427</v>
      </c>
      <c r="BJ98" s="42">
        <v>9.3432195605104411</v>
      </c>
      <c r="BK98" s="42">
        <v>0</v>
      </c>
      <c r="BL98" s="42">
        <v>56.955890788305155</v>
      </c>
      <c r="BM98" s="42">
        <v>70.342310057908932</v>
      </c>
      <c r="BN98" s="42">
        <v>327.6258746145507</v>
      </c>
      <c r="BO98" s="42">
        <v>174.32375910186488</v>
      </c>
      <c r="BP98" s="42">
        <v>91.30932023014941</v>
      </c>
      <c r="BQ98" s="42">
        <v>0</v>
      </c>
      <c r="BR98" s="42">
        <v>0</v>
      </c>
      <c r="BS98" s="42">
        <v>0</v>
      </c>
      <c r="BT98" s="42">
        <v>0</v>
      </c>
      <c r="BU98" s="42">
        <v>0</v>
      </c>
      <c r="BV98" s="42">
        <v>0</v>
      </c>
      <c r="BW98" s="42">
        <v>0</v>
      </c>
      <c r="BX98" s="42">
        <v>601.78121329801411</v>
      </c>
      <c r="BY98" s="42"/>
      <c r="BZ98" s="42">
        <v>0</v>
      </c>
      <c r="CA98" s="42">
        <v>0</v>
      </c>
      <c r="CB98" s="42">
        <v>593.25895394656504</v>
      </c>
      <c r="CC98" s="42">
        <v>601.78121329801411</v>
      </c>
      <c r="CD98" s="245">
        <v>0.98583827616561259</v>
      </c>
      <c r="CE98" s="42">
        <v>39.29241349233375</v>
      </c>
      <c r="CF98" s="42">
        <v>5.9802567305017487</v>
      </c>
      <c r="CG98" s="42">
        <v>3.1383897623696093</v>
      </c>
      <c r="CH98" s="42">
        <v>9.118646492871358</v>
      </c>
      <c r="CI98" s="42">
        <v>0.29901000695922136</v>
      </c>
      <c r="CJ98" s="42">
        <v>0.15691948811848055</v>
      </c>
      <c r="CK98" s="42">
        <v>0.45592949507770192</v>
      </c>
      <c r="CL98" s="42"/>
      <c r="CM98" s="42">
        <v>26.558262101363205</v>
      </c>
      <c r="CN98" s="42" t="s">
        <v>785</v>
      </c>
      <c r="CO98" s="42">
        <v>0</v>
      </c>
      <c r="CP98" s="42">
        <v>0</v>
      </c>
      <c r="CQ98" s="42">
        <v>174.32375910186488</v>
      </c>
      <c r="CR98" s="42">
        <v>0</v>
      </c>
      <c r="CS98" s="42">
        <v>0</v>
      </c>
      <c r="CT98" s="42">
        <v>174.32375910186488</v>
      </c>
      <c r="CU98" s="42">
        <v>0</v>
      </c>
      <c r="CV98" s="42">
        <v>0</v>
      </c>
      <c r="CW98" s="244">
        <v>9999</v>
      </c>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row>
    <row r="99" spans="1:131">
      <c r="A99" s="18" t="s">
        <v>489</v>
      </c>
      <c r="B99" s="18" t="s">
        <v>490</v>
      </c>
      <c r="C99" s="42">
        <v>5</v>
      </c>
      <c r="D99" s="42">
        <v>26.223232369502409</v>
      </c>
      <c r="E99" s="42">
        <v>3.2318257654038489</v>
      </c>
      <c r="F99" s="42">
        <v>14.402911718097915</v>
      </c>
      <c r="G99" s="42">
        <v>0</v>
      </c>
      <c r="H99" s="42">
        <v>0</v>
      </c>
      <c r="I99" s="42" t="s">
        <v>920</v>
      </c>
      <c r="J99" s="42"/>
      <c r="K99" s="42"/>
      <c r="L99" s="42">
        <v>28.184607126096704</v>
      </c>
      <c r="M99" s="42">
        <v>5.2983219726051335E-3</v>
      </c>
      <c r="N99" s="42">
        <v>5.2600810606053322E-3</v>
      </c>
      <c r="O99" s="42">
        <v>3.2641439500985832</v>
      </c>
      <c r="P99" s="42">
        <v>0</v>
      </c>
      <c r="Q99" s="42">
        <v>0</v>
      </c>
      <c r="R99" s="42">
        <v>2.8721329979161969</v>
      </c>
      <c r="S99" s="42">
        <v>6.6370625092213533</v>
      </c>
      <c r="T99" s="42">
        <v>0</v>
      </c>
      <c r="U99" s="42">
        <v>40.459266207131044</v>
      </c>
      <c r="V99" s="42" t="s">
        <v>752</v>
      </c>
      <c r="W99" s="42" t="s">
        <v>752</v>
      </c>
      <c r="X99" s="42" t="s">
        <v>752</v>
      </c>
      <c r="Y99" s="42" t="s">
        <v>752</v>
      </c>
      <c r="Z99" s="42">
        <v>0</v>
      </c>
      <c r="AA99" s="42">
        <v>0</v>
      </c>
      <c r="AB99" s="42">
        <v>0</v>
      </c>
      <c r="AC99" s="42">
        <v>0</v>
      </c>
      <c r="AD99" s="42">
        <v>0</v>
      </c>
      <c r="AE99" s="42">
        <v>0</v>
      </c>
      <c r="AF99" s="42">
        <v>0</v>
      </c>
      <c r="AG99" s="42">
        <v>0</v>
      </c>
      <c r="AH99" s="42">
        <v>2.8721329979161969</v>
      </c>
      <c r="AI99" s="42">
        <v>6.6370625092213533</v>
      </c>
      <c r="AJ99" s="42">
        <v>0</v>
      </c>
      <c r="AK99" s="42">
        <v>40.459266207131044</v>
      </c>
      <c r="AL99" s="42">
        <v>49.968461714268592</v>
      </c>
      <c r="AM99" s="42">
        <v>14.668917474614036</v>
      </c>
      <c r="AN99" s="42">
        <v>1.8721540418988336</v>
      </c>
      <c r="AO99" s="42">
        <v>0</v>
      </c>
      <c r="AP99" s="42">
        <v>0</v>
      </c>
      <c r="AQ99" s="42">
        <v>16.541071516512869</v>
      </c>
      <c r="AR99" s="42">
        <v>2.8721329979161969</v>
      </c>
      <c r="AS99" s="244">
        <v>5.7591593176617595</v>
      </c>
      <c r="AT99" s="42">
        <v>14.668917474614036</v>
      </c>
      <c r="AU99" s="42">
        <v>2.2160727646529166</v>
      </c>
      <c r="AV99" s="42">
        <v>0</v>
      </c>
      <c r="AW99" s="42">
        <v>0</v>
      </c>
      <c r="AX99" s="42">
        <v>16.884990239266951</v>
      </c>
      <c r="AY99" s="42">
        <v>6.6370625092213533</v>
      </c>
      <c r="AZ99" s="244">
        <v>2.5440456852421396</v>
      </c>
      <c r="BA99" s="42">
        <v>14.668917474614036</v>
      </c>
      <c r="BB99" s="42">
        <v>4.0882268065517504</v>
      </c>
      <c r="BC99" s="42">
        <v>0</v>
      </c>
      <c r="BD99" s="42">
        <v>0</v>
      </c>
      <c r="BE99" s="42">
        <v>18.757144281165786</v>
      </c>
      <c r="BF99" s="42">
        <v>9.5091955071375498</v>
      </c>
      <c r="BG99" s="42">
        <v>14.152560781891497</v>
      </c>
      <c r="BH99" s="244">
        <v>1.9725269363835014</v>
      </c>
      <c r="BI99" s="42">
        <v>7.4982976423185619</v>
      </c>
      <c r="BJ99" s="42">
        <v>17.327425366764817</v>
      </c>
      <c r="BK99" s="42">
        <v>0</v>
      </c>
      <c r="BL99" s="42">
        <v>105.62728837103862</v>
      </c>
      <c r="BM99" s="42">
        <v>130.45301138012198</v>
      </c>
      <c r="BN99" s="42">
        <v>14.668917474614036</v>
      </c>
      <c r="BO99" s="42">
        <v>21.213135635051337</v>
      </c>
      <c r="BP99" s="42">
        <v>4.0882268065517504</v>
      </c>
      <c r="BQ99" s="42">
        <v>0</v>
      </c>
      <c r="BR99" s="42">
        <v>0</v>
      </c>
      <c r="BS99" s="42">
        <v>0</v>
      </c>
      <c r="BT99" s="42">
        <v>0</v>
      </c>
      <c r="BU99" s="42">
        <v>0</v>
      </c>
      <c r="BV99" s="42">
        <v>0</v>
      </c>
      <c r="BW99" s="42">
        <v>0</v>
      </c>
      <c r="BX99" s="42">
        <v>49.968461714268592</v>
      </c>
      <c r="BY99" s="42"/>
      <c r="BZ99" s="42">
        <v>0</v>
      </c>
      <c r="CA99" s="42">
        <v>0</v>
      </c>
      <c r="CB99" s="42">
        <v>39.970279916217123</v>
      </c>
      <c r="CC99" s="42">
        <v>49.968461714268592</v>
      </c>
      <c r="CD99" s="245">
        <v>0.79991015422441014</v>
      </c>
      <c r="CE99" s="42">
        <v>64.398568051430615</v>
      </c>
      <c r="CF99" s="42">
        <v>0.26775630148242036</v>
      </c>
      <c r="CG99" s="42">
        <v>0.38190484216153414</v>
      </c>
      <c r="CH99" s="42">
        <v>0.64966114364395455</v>
      </c>
      <c r="CI99" s="42">
        <v>1.3387688384895931E-2</v>
      </c>
      <c r="CJ99" s="42">
        <v>1.9095242108076713E-2</v>
      </c>
      <c r="CK99" s="42">
        <v>3.2482930492972642E-2</v>
      </c>
      <c r="CL99" s="42"/>
      <c r="CM99" s="42">
        <v>3.2318257654038489</v>
      </c>
      <c r="CN99" s="42" t="s">
        <v>785</v>
      </c>
      <c r="CO99" s="42">
        <v>0</v>
      </c>
      <c r="CP99" s="42">
        <v>0</v>
      </c>
      <c r="CQ99" s="42">
        <v>21.213135635051337</v>
      </c>
      <c r="CR99" s="42">
        <v>0</v>
      </c>
      <c r="CS99" s="42">
        <v>0</v>
      </c>
      <c r="CT99" s="42">
        <v>21.213135635051337</v>
      </c>
      <c r="CU99" s="42">
        <v>0</v>
      </c>
      <c r="CV99" s="42">
        <v>0</v>
      </c>
      <c r="CW99" s="244">
        <v>9999</v>
      </c>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row>
    <row r="100" spans="1:131">
      <c r="A100" s="18" t="s">
        <v>491</v>
      </c>
      <c r="B100" s="18" t="s">
        <v>492</v>
      </c>
      <c r="C100" s="42">
        <v>5</v>
      </c>
      <c r="D100" s="42">
        <v>47.072619515296196</v>
      </c>
      <c r="E100" s="42">
        <v>2.4696207089150133</v>
      </c>
      <c r="F100" s="42">
        <v>11.226200377825572</v>
      </c>
      <c r="G100" s="42">
        <v>0</v>
      </c>
      <c r="H100" s="42">
        <v>0</v>
      </c>
      <c r="I100" s="42" t="s">
        <v>920</v>
      </c>
      <c r="J100" s="42"/>
      <c r="K100" s="42"/>
      <c r="L100" s="42">
        <v>50.593430616808085</v>
      </c>
      <c r="M100" s="42">
        <v>9.5108753479236918E-3</v>
      </c>
      <c r="N100" s="42">
        <v>9.4422301147533503E-3</v>
      </c>
      <c r="O100" s="42">
        <v>2.494316860251836</v>
      </c>
      <c r="P100" s="42">
        <v>0</v>
      </c>
      <c r="Q100" s="42">
        <v>0</v>
      </c>
      <c r="R100" s="42">
        <v>2.2386543205605522</v>
      </c>
      <c r="S100" s="42">
        <v>5.1731896374153807</v>
      </c>
      <c r="T100" s="42">
        <v>0</v>
      </c>
      <c r="U100" s="42">
        <v>31.535556036930515</v>
      </c>
      <c r="V100" s="42" t="s">
        <v>752</v>
      </c>
      <c r="W100" s="42" t="s">
        <v>752</v>
      </c>
      <c r="X100" s="42" t="s">
        <v>752</v>
      </c>
      <c r="Y100" s="42" t="s">
        <v>752</v>
      </c>
      <c r="Z100" s="42">
        <v>0</v>
      </c>
      <c r="AA100" s="42">
        <v>0</v>
      </c>
      <c r="AB100" s="42">
        <v>0</v>
      </c>
      <c r="AC100" s="42">
        <v>0</v>
      </c>
      <c r="AD100" s="42">
        <v>0</v>
      </c>
      <c r="AE100" s="42">
        <v>0</v>
      </c>
      <c r="AF100" s="42">
        <v>0</v>
      </c>
      <c r="AG100" s="42">
        <v>0</v>
      </c>
      <c r="AH100" s="42">
        <v>2.2386543205605522</v>
      </c>
      <c r="AI100" s="42">
        <v>5.1731896374153807</v>
      </c>
      <c r="AJ100" s="42">
        <v>0</v>
      </c>
      <c r="AK100" s="42">
        <v>31.535556036930515</v>
      </c>
      <c r="AL100" s="42">
        <v>38.947399994906448</v>
      </c>
      <c r="AM100" s="42">
        <v>26.331779440998364</v>
      </c>
      <c r="AN100" s="42">
        <v>3.3606533949193671</v>
      </c>
      <c r="AO100" s="42">
        <v>0</v>
      </c>
      <c r="AP100" s="42">
        <v>0</v>
      </c>
      <c r="AQ100" s="42">
        <v>29.692432835917732</v>
      </c>
      <c r="AR100" s="42">
        <v>2.2386543205605522</v>
      </c>
      <c r="AS100" s="244">
        <v>13.263518428554363</v>
      </c>
      <c r="AT100" s="42">
        <v>26.331779440998364</v>
      </c>
      <c r="AU100" s="42">
        <v>3.9780126491971703</v>
      </c>
      <c r="AV100" s="42">
        <v>0</v>
      </c>
      <c r="AW100" s="42">
        <v>0</v>
      </c>
      <c r="AX100" s="42">
        <v>30.309792090195536</v>
      </c>
      <c r="AY100" s="42">
        <v>5.1731896374153807</v>
      </c>
      <c r="AZ100" s="244">
        <v>5.8590143054061432</v>
      </c>
      <c r="BA100" s="42">
        <v>26.331779440998364</v>
      </c>
      <c r="BB100" s="42">
        <v>7.3386660441165379</v>
      </c>
      <c r="BC100" s="42">
        <v>0</v>
      </c>
      <c r="BD100" s="42">
        <v>0</v>
      </c>
      <c r="BE100" s="42">
        <v>33.670445485114904</v>
      </c>
      <c r="BF100" s="42">
        <v>7.4118439579759325</v>
      </c>
      <c r="BG100" s="42">
        <v>0.10642802675221046</v>
      </c>
      <c r="BH100" s="244">
        <v>4.5427893080347328</v>
      </c>
      <c r="BI100" s="42">
        <v>3.2558397657435854</v>
      </c>
      <c r="BJ100" s="42">
        <v>7.5237504882005117</v>
      </c>
      <c r="BK100" s="42">
        <v>0</v>
      </c>
      <c r="BL100" s="42">
        <v>45.864480476898343</v>
      </c>
      <c r="BM100" s="42">
        <v>56.644070730842429</v>
      </c>
      <c r="BN100" s="42">
        <v>26.331779440998364</v>
      </c>
      <c r="BO100" s="42">
        <v>16.210155765869189</v>
      </c>
      <c r="BP100" s="42">
        <v>7.3386660441165379</v>
      </c>
      <c r="BQ100" s="42">
        <v>0</v>
      </c>
      <c r="BR100" s="42">
        <v>0</v>
      </c>
      <c r="BS100" s="42">
        <v>0</v>
      </c>
      <c r="BT100" s="42">
        <v>0</v>
      </c>
      <c r="BU100" s="42">
        <v>0</v>
      </c>
      <c r="BV100" s="42">
        <v>0</v>
      </c>
      <c r="BW100" s="42">
        <v>0</v>
      </c>
      <c r="BX100" s="42">
        <v>38.947399994906448</v>
      </c>
      <c r="BY100" s="42"/>
      <c r="BZ100" s="42">
        <v>0</v>
      </c>
      <c r="CA100" s="42">
        <v>0</v>
      </c>
      <c r="CB100" s="42">
        <v>49.880601250984093</v>
      </c>
      <c r="CC100" s="42">
        <v>38.947399994906448</v>
      </c>
      <c r="CD100" s="244">
        <v>1.2807171019761907</v>
      </c>
      <c r="CE100" s="42">
        <v>22.395285743724308</v>
      </c>
      <c r="CF100" s="42">
        <v>0.48064213918812548</v>
      </c>
      <c r="CG100" s="42">
        <v>0.29183507264946473</v>
      </c>
      <c r="CH100" s="42">
        <v>0.77247721183759022</v>
      </c>
      <c r="CI100" s="42">
        <v>2.4031879542983841E-2</v>
      </c>
      <c r="CJ100" s="42">
        <v>1.4591753632473239E-2</v>
      </c>
      <c r="CK100" s="42">
        <v>3.8623633175457084E-2</v>
      </c>
      <c r="CL100" s="42"/>
      <c r="CM100" s="42">
        <v>2.4696207089150133</v>
      </c>
      <c r="CN100" s="42" t="s">
        <v>785</v>
      </c>
      <c r="CO100" s="42">
        <v>0</v>
      </c>
      <c r="CP100" s="42">
        <v>0</v>
      </c>
      <c r="CQ100" s="42">
        <v>16.210155765869189</v>
      </c>
      <c r="CR100" s="42">
        <v>0</v>
      </c>
      <c r="CS100" s="42">
        <v>0</v>
      </c>
      <c r="CT100" s="42">
        <v>16.210155765869189</v>
      </c>
      <c r="CU100" s="42">
        <v>0</v>
      </c>
      <c r="CV100" s="42">
        <v>0</v>
      </c>
      <c r="CW100" s="244">
        <v>9999</v>
      </c>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row>
    <row r="101" spans="1:131">
      <c r="A101" s="18" t="s">
        <v>493</v>
      </c>
      <c r="B101" s="18" t="s">
        <v>494</v>
      </c>
      <c r="C101" s="42">
        <v>5</v>
      </c>
      <c r="D101" s="42">
        <v>0</v>
      </c>
      <c r="E101" s="42">
        <v>0</v>
      </c>
      <c r="F101" s="42">
        <v>0</v>
      </c>
      <c r="G101" s="42">
        <v>0</v>
      </c>
      <c r="H101" s="42">
        <v>0</v>
      </c>
      <c r="I101" s="42" t="s">
        <v>920</v>
      </c>
      <c r="J101" s="42"/>
      <c r="K101" s="42"/>
      <c r="L101" s="42">
        <v>0</v>
      </c>
      <c r="M101" s="42">
        <v>0</v>
      </c>
      <c r="N101" s="42">
        <v>0</v>
      </c>
      <c r="O101" s="42">
        <v>0</v>
      </c>
      <c r="P101" s="42">
        <v>0</v>
      </c>
      <c r="Q101" s="42">
        <v>0</v>
      </c>
      <c r="R101" s="42">
        <v>0</v>
      </c>
      <c r="S101" s="42">
        <v>0</v>
      </c>
      <c r="T101" s="42">
        <v>0</v>
      </c>
      <c r="U101" s="42">
        <v>0</v>
      </c>
      <c r="V101" s="42" t="s">
        <v>752</v>
      </c>
      <c r="W101" s="42" t="s">
        <v>752</v>
      </c>
      <c r="X101" s="42" t="s">
        <v>752</v>
      </c>
      <c r="Y101" s="42" t="s">
        <v>752</v>
      </c>
      <c r="Z101" s="42">
        <v>0</v>
      </c>
      <c r="AA101" s="42">
        <v>0</v>
      </c>
      <c r="AB101" s="42">
        <v>0</v>
      </c>
      <c r="AC101" s="42">
        <v>0</v>
      </c>
      <c r="AD101" s="42">
        <v>0</v>
      </c>
      <c r="AE101" s="42">
        <v>0</v>
      </c>
      <c r="AF101" s="42">
        <v>0</v>
      </c>
      <c r="AG101" s="42">
        <v>0</v>
      </c>
      <c r="AH101" s="42">
        <v>0</v>
      </c>
      <c r="AI101" s="42">
        <v>0</v>
      </c>
      <c r="AJ101" s="42">
        <v>0</v>
      </c>
      <c r="AK101" s="42">
        <v>0</v>
      </c>
      <c r="AL101" s="42">
        <v>0</v>
      </c>
      <c r="AM101" s="42">
        <v>0</v>
      </c>
      <c r="AN101" s="42">
        <v>0</v>
      </c>
      <c r="AO101" s="42">
        <v>0</v>
      </c>
      <c r="AP101" s="42">
        <v>0</v>
      </c>
      <c r="AQ101" s="42">
        <v>0</v>
      </c>
      <c r="AR101" s="42">
        <v>0</v>
      </c>
      <c r="AS101" s="244">
        <v>9999</v>
      </c>
      <c r="AT101" s="42">
        <v>0</v>
      </c>
      <c r="AU101" s="42">
        <v>0</v>
      </c>
      <c r="AV101" s="42">
        <v>0</v>
      </c>
      <c r="AW101" s="42">
        <v>0</v>
      </c>
      <c r="AX101" s="42">
        <v>0</v>
      </c>
      <c r="AY101" s="42">
        <v>0</v>
      </c>
      <c r="AZ101" s="244">
        <v>9999</v>
      </c>
      <c r="BA101" s="42">
        <v>0</v>
      </c>
      <c r="BB101" s="42">
        <v>0</v>
      </c>
      <c r="BC101" s="42">
        <v>0</v>
      </c>
      <c r="BD101" s="42">
        <v>0</v>
      </c>
      <c r="BE101" s="42">
        <v>0</v>
      </c>
      <c r="BF101" s="42">
        <v>0</v>
      </c>
      <c r="BG101" s="42">
        <v>9999</v>
      </c>
      <c r="BH101" s="244">
        <v>9999</v>
      </c>
      <c r="BI101" s="42">
        <v>9999</v>
      </c>
      <c r="BJ101" s="42">
        <v>9999</v>
      </c>
      <c r="BK101" s="42">
        <v>9999</v>
      </c>
      <c r="BL101" s="42">
        <v>9999</v>
      </c>
      <c r="BM101" s="42">
        <v>9999</v>
      </c>
      <c r="BN101" s="42">
        <v>0</v>
      </c>
      <c r="BO101" s="42">
        <v>0</v>
      </c>
      <c r="BP101" s="42">
        <v>0</v>
      </c>
      <c r="BQ101" s="42">
        <v>0</v>
      </c>
      <c r="BR101" s="42">
        <v>0</v>
      </c>
      <c r="BS101" s="42">
        <v>0</v>
      </c>
      <c r="BT101" s="42">
        <v>0</v>
      </c>
      <c r="BU101" s="42">
        <v>0</v>
      </c>
      <c r="BV101" s="42">
        <v>0</v>
      </c>
      <c r="BW101" s="42">
        <v>0</v>
      </c>
      <c r="BX101" s="42">
        <v>0</v>
      </c>
      <c r="BY101" s="42"/>
      <c r="BZ101" s="42">
        <v>0</v>
      </c>
      <c r="CA101" s="42">
        <v>0</v>
      </c>
      <c r="CB101" s="42">
        <v>0</v>
      </c>
      <c r="CC101" s="42">
        <v>0</v>
      </c>
      <c r="CD101" s="244">
        <v>9999</v>
      </c>
      <c r="CE101" s="42">
        <v>9999</v>
      </c>
      <c r="CF101" s="42">
        <v>0</v>
      </c>
      <c r="CG101" s="42">
        <v>0</v>
      </c>
      <c r="CH101" s="42">
        <v>0</v>
      </c>
      <c r="CI101" s="42">
        <v>0</v>
      </c>
      <c r="CJ101" s="42">
        <v>0</v>
      </c>
      <c r="CK101" s="42">
        <v>0</v>
      </c>
      <c r="CL101" s="42"/>
      <c r="CM101" s="42">
        <v>0</v>
      </c>
      <c r="CN101" s="42" t="s">
        <v>785</v>
      </c>
      <c r="CO101" s="42">
        <v>0</v>
      </c>
      <c r="CP101" s="42">
        <v>0</v>
      </c>
      <c r="CQ101" s="42">
        <v>0</v>
      </c>
      <c r="CR101" s="42">
        <v>0</v>
      </c>
      <c r="CS101" s="42">
        <v>0</v>
      </c>
      <c r="CT101" s="42">
        <v>0</v>
      </c>
      <c r="CU101" s="42">
        <v>0</v>
      </c>
      <c r="CV101" s="42">
        <v>9999</v>
      </c>
      <c r="CW101" s="244">
        <v>9999</v>
      </c>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row>
    <row r="102" spans="1:131">
      <c r="A102" s="18" t="s">
        <v>495</v>
      </c>
      <c r="B102" s="18" t="s">
        <v>496</v>
      </c>
      <c r="C102" s="42">
        <v>5</v>
      </c>
      <c r="D102" s="42">
        <v>34.814982833395625</v>
      </c>
      <c r="E102" s="42">
        <v>1.3744226240035751</v>
      </c>
      <c r="F102" s="42">
        <v>10.412897093321714</v>
      </c>
      <c r="G102" s="42">
        <v>0</v>
      </c>
      <c r="H102" s="42">
        <v>0</v>
      </c>
      <c r="I102" s="42" t="s">
        <v>920</v>
      </c>
      <c r="J102" s="42"/>
      <c r="K102" s="42"/>
      <c r="L102" s="42">
        <v>37.418980217032491</v>
      </c>
      <c r="M102" s="42">
        <v>7.0342582456226297E-3</v>
      </c>
      <c r="N102" s="42">
        <v>6.9834881240736614E-3</v>
      </c>
      <c r="O102" s="42">
        <v>1.3881668192156638</v>
      </c>
      <c r="P102" s="42">
        <v>0</v>
      </c>
      <c r="Q102" s="42">
        <v>0</v>
      </c>
      <c r="R102" s="42">
        <v>2.07647078111679</v>
      </c>
      <c r="S102" s="42">
        <v>4.7984081457379464</v>
      </c>
      <c r="T102" s="42">
        <v>0</v>
      </c>
      <c r="U102" s="42">
        <v>29.250903132092656</v>
      </c>
      <c r="V102" s="42" t="s">
        <v>752</v>
      </c>
      <c r="W102" s="42" t="s">
        <v>752</v>
      </c>
      <c r="X102" s="42" t="s">
        <v>752</v>
      </c>
      <c r="Y102" s="42" t="s">
        <v>752</v>
      </c>
      <c r="Z102" s="42">
        <v>0</v>
      </c>
      <c r="AA102" s="42">
        <v>0</v>
      </c>
      <c r="AB102" s="42">
        <v>0</v>
      </c>
      <c r="AC102" s="42">
        <v>0</v>
      </c>
      <c r="AD102" s="42">
        <v>0</v>
      </c>
      <c r="AE102" s="42">
        <v>0</v>
      </c>
      <c r="AF102" s="42">
        <v>0</v>
      </c>
      <c r="AG102" s="42">
        <v>0</v>
      </c>
      <c r="AH102" s="42">
        <v>2.07647078111679</v>
      </c>
      <c r="AI102" s="42">
        <v>4.7984081457379464</v>
      </c>
      <c r="AJ102" s="42">
        <v>0</v>
      </c>
      <c r="AK102" s="42">
        <v>29.250903132092656</v>
      </c>
      <c r="AL102" s="42">
        <v>36.125782058947394</v>
      </c>
      <c r="AM102" s="42">
        <v>19.475025155828089</v>
      </c>
      <c r="AN102" s="42">
        <v>2.4855444939725757</v>
      </c>
      <c r="AO102" s="42">
        <v>0</v>
      </c>
      <c r="AP102" s="42">
        <v>0</v>
      </c>
      <c r="AQ102" s="42">
        <v>21.960569649800664</v>
      </c>
      <c r="AR102" s="42">
        <v>2.07647078111679</v>
      </c>
      <c r="AS102" s="244">
        <v>10.575910746978868</v>
      </c>
      <c r="AT102" s="42">
        <v>19.475025155828089</v>
      </c>
      <c r="AU102" s="42">
        <v>2.9421443616033844</v>
      </c>
      <c r="AV102" s="42">
        <v>0</v>
      </c>
      <c r="AW102" s="42">
        <v>0</v>
      </c>
      <c r="AX102" s="42">
        <v>22.417169517431475</v>
      </c>
      <c r="AY102" s="42">
        <v>4.7984081457379464</v>
      </c>
      <c r="AZ102" s="244">
        <v>4.6717929856264746</v>
      </c>
      <c r="BA102" s="42">
        <v>19.475025155828089</v>
      </c>
      <c r="BB102" s="42">
        <v>5.4276888555759601</v>
      </c>
      <c r="BC102" s="42">
        <v>0</v>
      </c>
      <c r="BD102" s="42">
        <v>0</v>
      </c>
      <c r="BE102" s="42">
        <v>24.902714011404051</v>
      </c>
      <c r="BF102" s="42">
        <v>6.8748789268547359</v>
      </c>
      <c r="BG102" s="42">
        <v>2.8457958470614386</v>
      </c>
      <c r="BH102" s="244">
        <v>3.6222767377224296</v>
      </c>
      <c r="BI102" s="42">
        <v>4.0832313893813961</v>
      </c>
      <c r="BJ102" s="42">
        <v>9.4357266848719323</v>
      </c>
      <c r="BK102" s="42">
        <v>0</v>
      </c>
      <c r="BL102" s="42">
        <v>57.51981049908045</v>
      </c>
      <c r="BM102" s="42">
        <v>71.038768573333783</v>
      </c>
      <c r="BN102" s="42">
        <v>19.475025155828089</v>
      </c>
      <c r="BO102" s="42">
        <v>9.0214682533257413</v>
      </c>
      <c r="BP102" s="42">
        <v>5.4276888555759601</v>
      </c>
      <c r="BQ102" s="42">
        <v>0</v>
      </c>
      <c r="BR102" s="42">
        <v>0</v>
      </c>
      <c r="BS102" s="42">
        <v>0</v>
      </c>
      <c r="BT102" s="42">
        <v>0</v>
      </c>
      <c r="BU102" s="42">
        <v>0</v>
      </c>
      <c r="BV102" s="42">
        <v>0</v>
      </c>
      <c r="BW102" s="42">
        <v>0</v>
      </c>
      <c r="BX102" s="42">
        <v>36.125782058947394</v>
      </c>
      <c r="BY102" s="42"/>
      <c r="BZ102" s="42">
        <v>0</v>
      </c>
      <c r="CA102" s="42">
        <v>0</v>
      </c>
      <c r="CB102" s="42">
        <v>33.924182264729794</v>
      </c>
      <c r="CC102" s="42">
        <v>36.125782058947394</v>
      </c>
      <c r="CD102" s="245">
        <v>0.93905738038763586</v>
      </c>
      <c r="CE102" s="42">
        <v>42.625533774316203</v>
      </c>
      <c r="CF102" s="42">
        <v>0.35548367601262454</v>
      </c>
      <c r="CG102" s="42">
        <v>0.16241551784823263</v>
      </c>
      <c r="CH102" s="42">
        <v>0.51789919386085714</v>
      </c>
      <c r="CI102" s="42">
        <v>1.7774015603090432E-2</v>
      </c>
      <c r="CJ102" s="42">
        <v>8.1207758924116344E-3</v>
      </c>
      <c r="CK102" s="42">
        <v>2.5894791495502067E-2</v>
      </c>
      <c r="CL102" s="42"/>
      <c r="CM102" s="42">
        <v>1.3744226240035751</v>
      </c>
      <c r="CN102" s="42" t="s">
        <v>785</v>
      </c>
      <c r="CO102" s="42">
        <v>0</v>
      </c>
      <c r="CP102" s="42">
        <v>0</v>
      </c>
      <c r="CQ102" s="42">
        <v>9.0214682533257413</v>
      </c>
      <c r="CR102" s="42">
        <v>0</v>
      </c>
      <c r="CS102" s="42">
        <v>0</v>
      </c>
      <c r="CT102" s="42">
        <v>9.0214682533257413</v>
      </c>
      <c r="CU102" s="42">
        <v>0</v>
      </c>
      <c r="CV102" s="42">
        <v>0</v>
      </c>
      <c r="CW102" s="244">
        <v>9999</v>
      </c>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row>
    <row r="103" spans="1:131">
      <c r="A103" s="18" t="s">
        <v>497</v>
      </c>
      <c r="B103" s="18" t="s">
        <v>498</v>
      </c>
      <c r="C103" s="42">
        <v>5</v>
      </c>
      <c r="D103" s="42">
        <v>18.633531218739755</v>
      </c>
      <c r="E103" s="42">
        <v>0.87408108726250633</v>
      </c>
      <c r="F103" s="42">
        <v>4.9666581373479124</v>
      </c>
      <c r="G103" s="42">
        <v>0</v>
      </c>
      <c r="H103" s="42">
        <v>0</v>
      </c>
      <c r="I103" s="42" t="s">
        <v>920</v>
      </c>
      <c r="J103" s="42"/>
      <c r="K103" s="42"/>
      <c r="L103" s="42">
        <v>20.027231935862346</v>
      </c>
      <c r="M103" s="42">
        <v>3.7648466250213802E-3</v>
      </c>
      <c r="N103" s="42">
        <v>3.7376736504032668E-3</v>
      </c>
      <c r="O103" s="42">
        <v>0.88282187840252424</v>
      </c>
      <c r="P103" s="42">
        <v>0</v>
      </c>
      <c r="Q103" s="42">
        <v>0</v>
      </c>
      <c r="R103" s="42">
        <v>0.99041797970069034</v>
      </c>
      <c r="S103" s="42">
        <v>2.2887053093639529</v>
      </c>
      <c r="T103" s="42">
        <v>0</v>
      </c>
      <c r="U103" s="42">
        <v>13.95185554642214</v>
      </c>
      <c r="V103" s="42" t="s">
        <v>752</v>
      </c>
      <c r="W103" s="42" t="s">
        <v>752</v>
      </c>
      <c r="X103" s="42" t="s">
        <v>752</v>
      </c>
      <c r="Y103" s="42" t="s">
        <v>752</v>
      </c>
      <c r="Z103" s="42">
        <v>0</v>
      </c>
      <c r="AA103" s="42">
        <v>0</v>
      </c>
      <c r="AB103" s="42">
        <v>0</v>
      </c>
      <c r="AC103" s="42">
        <v>0</v>
      </c>
      <c r="AD103" s="42">
        <v>0</v>
      </c>
      <c r="AE103" s="42">
        <v>0</v>
      </c>
      <c r="AF103" s="42">
        <v>0</v>
      </c>
      <c r="AG103" s="42">
        <v>0</v>
      </c>
      <c r="AH103" s="42">
        <v>0.99041797970069034</v>
      </c>
      <c r="AI103" s="42">
        <v>2.2887053093639529</v>
      </c>
      <c r="AJ103" s="42">
        <v>0</v>
      </c>
      <c r="AK103" s="42">
        <v>13.95185554642214</v>
      </c>
      <c r="AL103" s="42">
        <v>17.230978835486784</v>
      </c>
      <c r="AM103" s="42">
        <v>10.423342471930537</v>
      </c>
      <c r="AN103" s="42">
        <v>1.3303028510925594</v>
      </c>
      <c r="AO103" s="42">
        <v>0</v>
      </c>
      <c r="AP103" s="42">
        <v>0</v>
      </c>
      <c r="AQ103" s="42">
        <v>11.753645323023097</v>
      </c>
      <c r="AR103" s="42">
        <v>0.99041797970069034</v>
      </c>
      <c r="AS103" s="244">
        <v>11.867358593969701</v>
      </c>
      <c r="AT103" s="42">
        <v>10.423342471930537</v>
      </c>
      <c r="AU103" s="42">
        <v>1.5746823450789791</v>
      </c>
      <c r="AV103" s="42">
        <v>0</v>
      </c>
      <c r="AW103" s="42">
        <v>0</v>
      </c>
      <c r="AX103" s="42">
        <v>11.998024817009517</v>
      </c>
      <c r="AY103" s="42">
        <v>2.2887053093639529</v>
      </c>
      <c r="AZ103" s="244">
        <v>5.2422759574686575</v>
      </c>
      <c r="BA103" s="42">
        <v>10.423342471930537</v>
      </c>
      <c r="BB103" s="42">
        <v>2.9049851961715385</v>
      </c>
      <c r="BC103" s="42">
        <v>0</v>
      </c>
      <c r="BD103" s="42">
        <v>0</v>
      </c>
      <c r="BE103" s="42">
        <v>13.328327668102077</v>
      </c>
      <c r="BF103" s="42">
        <v>3.2791232890646431</v>
      </c>
      <c r="BG103" s="42">
        <v>1.3746151154515143</v>
      </c>
      <c r="BH103" s="244">
        <v>4.0646009598205532</v>
      </c>
      <c r="BI103" s="42">
        <v>3.6388797381840088</v>
      </c>
      <c r="BJ103" s="42">
        <v>8.4088976044593977</v>
      </c>
      <c r="BK103" s="42">
        <v>0</v>
      </c>
      <c r="BL103" s="42">
        <v>51.260301709474625</v>
      </c>
      <c r="BM103" s="42">
        <v>63.308079052118039</v>
      </c>
      <c r="BN103" s="42">
        <v>10.423342471930537</v>
      </c>
      <c r="BO103" s="42">
        <v>5.7373144488857255</v>
      </c>
      <c r="BP103" s="42">
        <v>2.9049851961715385</v>
      </c>
      <c r="BQ103" s="42">
        <v>0</v>
      </c>
      <c r="BR103" s="42">
        <v>0</v>
      </c>
      <c r="BS103" s="42">
        <v>0</v>
      </c>
      <c r="BT103" s="42">
        <v>0</v>
      </c>
      <c r="BU103" s="42">
        <v>0</v>
      </c>
      <c r="BV103" s="42">
        <v>0</v>
      </c>
      <c r="BW103" s="42">
        <v>0</v>
      </c>
      <c r="BX103" s="42">
        <v>17.230978835486784</v>
      </c>
      <c r="BY103" s="42"/>
      <c r="BZ103" s="42">
        <v>0</v>
      </c>
      <c r="CA103" s="42">
        <v>0</v>
      </c>
      <c r="CB103" s="42">
        <v>19.065642116987803</v>
      </c>
      <c r="CC103" s="42">
        <v>17.230978835486784</v>
      </c>
      <c r="CD103" s="244">
        <v>1.1064746987978753</v>
      </c>
      <c r="CE103" s="42">
        <v>31.555536474874462</v>
      </c>
      <c r="CF103" s="42">
        <v>0.19026050383054463</v>
      </c>
      <c r="CG103" s="42">
        <v>0.10329015977309529</v>
      </c>
      <c r="CH103" s="42">
        <v>0.29355066360363991</v>
      </c>
      <c r="CI103" s="42">
        <v>9.5129351695346122E-3</v>
      </c>
      <c r="CJ103" s="42">
        <v>5.1645079886547662E-3</v>
      </c>
      <c r="CK103" s="42">
        <v>1.4677443158189378E-2</v>
      </c>
      <c r="CL103" s="42"/>
      <c r="CM103" s="42">
        <v>0.87408108726250633</v>
      </c>
      <c r="CN103" s="42" t="s">
        <v>785</v>
      </c>
      <c r="CO103" s="42">
        <v>0</v>
      </c>
      <c r="CP103" s="42">
        <v>0</v>
      </c>
      <c r="CQ103" s="42">
        <v>5.7373144488857255</v>
      </c>
      <c r="CR103" s="42">
        <v>0</v>
      </c>
      <c r="CS103" s="42">
        <v>0</v>
      </c>
      <c r="CT103" s="42">
        <v>5.7373144488857255</v>
      </c>
      <c r="CU103" s="42">
        <v>0</v>
      </c>
      <c r="CV103" s="42">
        <v>0</v>
      </c>
      <c r="CW103" s="244">
        <v>9999</v>
      </c>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row>
    <row r="104" spans="1:131">
      <c r="A104" s="18" t="s">
        <v>499</v>
      </c>
      <c r="B104" s="18" t="s">
        <v>500</v>
      </c>
      <c r="C104" s="42">
        <v>5</v>
      </c>
      <c r="D104" s="42">
        <v>1319.0103536007191</v>
      </c>
      <c r="E104" s="42">
        <v>57.165744114262253</v>
      </c>
      <c r="F104" s="42">
        <v>216.54948060700215</v>
      </c>
      <c r="G104" s="42">
        <v>0</v>
      </c>
      <c r="H104" s="42">
        <v>0</v>
      </c>
      <c r="I104" s="42" t="s">
        <v>920</v>
      </c>
      <c r="J104" s="42"/>
      <c r="K104" s="42"/>
      <c r="L104" s="42">
        <v>1417.6661399959817</v>
      </c>
      <c r="M104" s="42">
        <v>0.2665019109811963</v>
      </c>
      <c r="N104" s="42">
        <v>0.26457841969880452</v>
      </c>
      <c r="O104" s="42">
        <v>57.737400264873386</v>
      </c>
      <c r="P104" s="42">
        <v>0</v>
      </c>
      <c r="Q104" s="42">
        <v>0</v>
      </c>
      <c r="R104" s="42">
        <v>43.182859209743313</v>
      </c>
      <c r="S104" s="42">
        <v>99.789019557907679</v>
      </c>
      <c r="T104" s="42">
        <v>0</v>
      </c>
      <c r="U104" s="42">
        <v>608.30985111750169</v>
      </c>
      <c r="V104" s="42" t="s">
        <v>752</v>
      </c>
      <c r="W104" s="42" t="s">
        <v>752</v>
      </c>
      <c r="X104" s="42" t="s">
        <v>752</v>
      </c>
      <c r="Y104" s="42" t="s">
        <v>752</v>
      </c>
      <c r="Z104" s="42">
        <v>0</v>
      </c>
      <c r="AA104" s="42">
        <v>0</v>
      </c>
      <c r="AB104" s="42">
        <v>0</v>
      </c>
      <c r="AC104" s="42">
        <v>0</v>
      </c>
      <c r="AD104" s="42">
        <v>0</v>
      </c>
      <c r="AE104" s="42">
        <v>0</v>
      </c>
      <c r="AF104" s="42">
        <v>0</v>
      </c>
      <c r="AG104" s="42">
        <v>0</v>
      </c>
      <c r="AH104" s="42">
        <v>43.182859209743313</v>
      </c>
      <c r="AI104" s="42">
        <v>99.789019557907679</v>
      </c>
      <c r="AJ104" s="42">
        <v>0</v>
      </c>
      <c r="AK104" s="42">
        <v>608.30985111750169</v>
      </c>
      <c r="AL104" s="42">
        <v>751.28172988515269</v>
      </c>
      <c r="AM104" s="42">
        <v>737.83634879553142</v>
      </c>
      <c r="AN104" s="42">
        <v>94.168046486591606</v>
      </c>
      <c r="AO104" s="42">
        <v>0</v>
      </c>
      <c r="AP104" s="42">
        <v>0</v>
      </c>
      <c r="AQ104" s="42">
        <v>832.00439528212303</v>
      </c>
      <c r="AR104" s="42">
        <v>43.182859209743313</v>
      </c>
      <c r="AS104" s="244">
        <v>19.26700571726845</v>
      </c>
      <c r="AT104" s="42">
        <v>737.83634879553142</v>
      </c>
      <c r="AU104" s="42">
        <v>111.46691909382</v>
      </c>
      <c r="AV104" s="42">
        <v>0</v>
      </c>
      <c r="AW104" s="42">
        <v>0</v>
      </c>
      <c r="AX104" s="42">
        <v>849.30326788935145</v>
      </c>
      <c r="AY104" s="42">
        <v>99.789019557907679</v>
      </c>
      <c r="AZ104" s="244">
        <v>8.5109892015373472</v>
      </c>
      <c r="BA104" s="42">
        <v>737.83634879553142</v>
      </c>
      <c r="BB104" s="42">
        <v>205.6349655804116</v>
      </c>
      <c r="BC104" s="42">
        <v>0</v>
      </c>
      <c r="BD104" s="42">
        <v>0</v>
      </c>
      <c r="BE104" s="42">
        <v>943.47131437594305</v>
      </c>
      <c r="BF104" s="42">
        <v>142.97187876765099</v>
      </c>
      <c r="BG104" s="42">
        <v>-3.252429805998482</v>
      </c>
      <c r="BH104" s="244">
        <v>6.5989992053557192</v>
      </c>
      <c r="BI104" s="42">
        <v>2.2413389691713097</v>
      </c>
      <c r="BJ104" s="42">
        <v>5.1793934520220928</v>
      </c>
      <c r="BK104" s="42">
        <v>0</v>
      </c>
      <c r="BL104" s="42">
        <v>31.573374241343075</v>
      </c>
      <c r="BM104" s="42">
        <v>38.994106662536474</v>
      </c>
      <c r="BN104" s="42">
        <v>737.83634879553142</v>
      </c>
      <c r="BO104" s="42">
        <v>375.22588518101867</v>
      </c>
      <c r="BP104" s="42">
        <v>205.6349655804116</v>
      </c>
      <c r="BQ104" s="42">
        <v>0</v>
      </c>
      <c r="BR104" s="42">
        <v>0</v>
      </c>
      <c r="BS104" s="42">
        <v>0</v>
      </c>
      <c r="BT104" s="42">
        <v>0</v>
      </c>
      <c r="BU104" s="42">
        <v>0</v>
      </c>
      <c r="BV104" s="42">
        <v>0</v>
      </c>
      <c r="BW104" s="42">
        <v>0</v>
      </c>
      <c r="BX104" s="42">
        <v>751.28172988515269</v>
      </c>
      <c r="BY104" s="42"/>
      <c r="BZ104" s="42">
        <v>0</v>
      </c>
      <c r="CA104" s="42">
        <v>0</v>
      </c>
      <c r="CB104" s="42">
        <v>1318.6971995569618</v>
      </c>
      <c r="CC104" s="42">
        <v>751.28172988515269</v>
      </c>
      <c r="CD104" s="244">
        <v>1.7552632349498889</v>
      </c>
      <c r="CE104" s="42">
        <v>8.8454299814924795</v>
      </c>
      <c r="CF104" s="42">
        <v>13.467955777560377</v>
      </c>
      <c r="CG104" s="42">
        <v>6.7552758309901826</v>
      </c>
      <c r="CH104" s="42">
        <v>20.223231608550559</v>
      </c>
      <c r="CI104" s="42">
        <v>0.6733914164980912</v>
      </c>
      <c r="CJ104" s="42">
        <v>0.33776379154950931</v>
      </c>
      <c r="CK104" s="42">
        <v>1.0111552080476005</v>
      </c>
      <c r="CL104" s="42"/>
      <c r="CM104" s="42">
        <v>57.165744114262253</v>
      </c>
      <c r="CN104" s="42" t="s">
        <v>785</v>
      </c>
      <c r="CO104" s="42">
        <v>0</v>
      </c>
      <c r="CP104" s="42">
        <v>0</v>
      </c>
      <c r="CQ104" s="42">
        <v>375.22588518101867</v>
      </c>
      <c r="CR104" s="42">
        <v>0</v>
      </c>
      <c r="CS104" s="42">
        <v>0</v>
      </c>
      <c r="CT104" s="42">
        <v>375.22588518101867</v>
      </c>
      <c r="CU104" s="42">
        <v>0</v>
      </c>
      <c r="CV104" s="42">
        <v>0</v>
      </c>
      <c r="CW104" s="244">
        <v>9999</v>
      </c>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row>
    <row r="105" spans="1:131">
      <c r="A105" s="18" t="s">
        <v>501</v>
      </c>
      <c r="B105" s="18" t="s">
        <v>502</v>
      </c>
      <c r="C105" s="42">
        <v>5</v>
      </c>
      <c r="D105" s="42">
        <v>44.518388512041774</v>
      </c>
      <c r="E105" s="42">
        <v>2.2757278078107777</v>
      </c>
      <c r="F105" s="42">
        <v>8.6206815361192</v>
      </c>
      <c r="G105" s="42">
        <v>0</v>
      </c>
      <c r="H105" s="42">
        <v>0</v>
      </c>
      <c r="I105" s="42" t="s">
        <v>920</v>
      </c>
      <c r="J105" s="42"/>
      <c r="K105" s="42"/>
      <c r="L105" s="42">
        <v>47.84815511752425</v>
      </c>
      <c r="M105" s="42">
        <v>8.9948009732256588E-3</v>
      </c>
      <c r="N105" s="42">
        <v>8.9298805334616475E-3</v>
      </c>
      <c r="O105" s="42">
        <v>2.2984850345137402</v>
      </c>
      <c r="P105" s="42">
        <v>0</v>
      </c>
      <c r="Q105" s="42">
        <v>0</v>
      </c>
      <c r="R105" s="42">
        <v>1.7190790576951949</v>
      </c>
      <c r="S105" s="42">
        <v>3.9725302318849161</v>
      </c>
      <c r="T105" s="42">
        <v>0</v>
      </c>
      <c r="U105" s="42">
        <v>24.216384574410746</v>
      </c>
      <c r="V105" s="42" t="s">
        <v>752</v>
      </c>
      <c r="W105" s="42" t="s">
        <v>752</v>
      </c>
      <c r="X105" s="42" t="s">
        <v>752</v>
      </c>
      <c r="Y105" s="42" t="s">
        <v>752</v>
      </c>
      <c r="Z105" s="42">
        <v>0</v>
      </c>
      <c r="AA105" s="42">
        <v>0</v>
      </c>
      <c r="AB105" s="42">
        <v>0</v>
      </c>
      <c r="AC105" s="42">
        <v>0</v>
      </c>
      <c r="AD105" s="42">
        <v>0</v>
      </c>
      <c r="AE105" s="42">
        <v>0</v>
      </c>
      <c r="AF105" s="42">
        <v>0</v>
      </c>
      <c r="AG105" s="42">
        <v>0</v>
      </c>
      <c r="AH105" s="42">
        <v>1.7190790576951949</v>
      </c>
      <c r="AI105" s="42">
        <v>3.9725302318849161</v>
      </c>
      <c r="AJ105" s="42">
        <v>0</v>
      </c>
      <c r="AK105" s="42">
        <v>24.216384574410746</v>
      </c>
      <c r="AL105" s="42">
        <v>29.907993863990857</v>
      </c>
      <c r="AM105" s="42">
        <v>24.902977557618975</v>
      </c>
      <c r="AN105" s="42">
        <v>3.1782992964884103</v>
      </c>
      <c r="AO105" s="42">
        <v>0</v>
      </c>
      <c r="AP105" s="42">
        <v>0</v>
      </c>
      <c r="AQ105" s="42">
        <v>28.081276854107386</v>
      </c>
      <c r="AR105" s="42">
        <v>1.7190790576951949</v>
      </c>
      <c r="AS105" s="244">
        <v>16.335070064640622</v>
      </c>
      <c r="AT105" s="42">
        <v>24.902977557618975</v>
      </c>
      <c r="AU105" s="42">
        <v>3.7621597108108547</v>
      </c>
      <c r="AV105" s="42">
        <v>0</v>
      </c>
      <c r="AW105" s="42">
        <v>0</v>
      </c>
      <c r="AX105" s="42">
        <v>28.665137268429831</v>
      </c>
      <c r="AY105" s="42">
        <v>3.9725302318849161</v>
      </c>
      <c r="AZ105" s="244">
        <v>7.215838670868612</v>
      </c>
      <c r="BA105" s="42">
        <v>24.902977557618975</v>
      </c>
      <c r="BB105" s="42">
        <v>6.9404590072992649</v>
      </c>
      <c r="BC105" s="42">
        <v>0</v>
      </c>
      <c r="BD105" s="42">
        <v>0</v>
      </c>
      <c r="BE105" s="42">
        <v>31.843436564918242</v>
      </c>
      <c r="BF105" s="42">
        <v>5.6916092895801107</v>
      </c>
      <c r="BG105" s="42">
        <v>-1.9205034739894127</v>
      </c>
      <c r="BH105" s="244">
        <v>5.594803674105929</v>
      </c>
      <c r="BI105" s="42">
        <v>2.6436305790225698</v>
      </c>
      <c r="BJ105" s="42">
        <v>6.1090281741799037</v>
      </c>
      <c r="BK105" s="42">
        <v>0</v>
      </c>
      <c r="BL105" s="42">
        <v>37.240390130814902</v>
      </c>
      <c r="BM105" s="42">
        <v>45.993048884017377</v>
      </c>
      <c r="BN105" s="42">
        <v>24.902977557618975</v>
      </c>
      <c r="BO105" s="42">
        <v>14.937476881435641</v>
      </c>
      <c r="BP105" s="42">
        <v>6.9404590072992649</v>
      </c>
      <c r="BQ105" s="42">
        <v>0</v>
      </c>
      <c r="BR105" s="42">
        <v>0</v>
      </c>
      <c r="BS105" s="42">
        <v>0</v>
      </c>
      <c r="BT105" s="42">
        <v>0</v>
      </c>
      <c r="BU105" s="42">
        <v>0</v>
      </c>
      <c r="BV105" s="42">
        <v>0</v>
      </c>
      <c r="BW105" s="42">
        <v>0</v>
      </c>
      <c r="BX105" s="42">
        <v>29.907993863990857</v>
      </c>
      <c r="BY105" s="42"/>
      <c r="BZ105" s="42">
        <v>0</v>
      </c>
      <c r="CA105" s="42">
        <v>0</v>
      </c>
      <c r="CB105" s="42">
        <v>46.780913446353885</v>
      </c>
      <c r="CC105" s="42">
        <v>29.907993863990857</v>
      </c>
      <c r="CD105" s="244">
        <v>1.5641608614437352</v>
      </c>
      <c r="CE105" s="42">
        <v>12.348767044589668</v>
      </c>
      <c r="CF105" s="42">
        <v>0.45456177514579926</v>
      </c>
      <c r="CG105" s="42">
        <v>0.26892274903810776</v>
      </c>
      <c r="CH105" s="42">
        <v>0.72348452418390696</v>
      </c>
      <c r="CI105" s="42">
        <v>2.2727873680824018E-2</v>
      </c>
      <c r="CJ105" s="42">
        <v>1.3446137451905382E-2</v>
      </c>
      <c r="CK105" s="42">
        <v>3.6174011132729403E-2</v>
      </c>
      <c r="CL105" s="42"/>
      <c r="CM105" s="42">
        <v>2.2757278078107777</v>
      </c>
      <c r="CN105" s="42" t="s">
        <v>785</v>
      </c>
      <c r="CO105" s="42">
        <v>0</v>
      </c>
      <c r="CP105" s="42">
        <v>0</v>
      </c>
      <c r="CQ105" s="42">
        <v>14.937476881435641</v>
      </c>
      <c r="CR105" s="42">
        <v>0</v>
      </c>
      <c r="CS105" s="42">
        <v>0</v>
      </c>
      <c r="CT105" s="42">
        <v>14.937476881435641</v>
      </c>
      <c r="CU105" s="42">
        <v>0</v>
      </c>
      <c r="CV105" s="42">
        <v>0</v>
      </c>
      <c r="CW105" s="244">
        <v>9999</v>
      </c>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row>
    <row r="106" spans="1:131">
      <c r="A106" s="18" t="s">
        <v>503</v>
      </c>
      <c r="B106" s="18" t="s">
        <v>504</v>
      </c>
      <c r="C106" s="42">
        <v>5</v>
      </c>
      <c r="D106" s="42">
        <v>111.37767278760515</v>
      </c>
      <c r="E106" s="42">
        <v>7.7233511021195609</v>
      </c>
      <c r="F106" s="42">
        <v>32.913918249054518</v>
      </c>
      <c r="G106" s="42">
        <v>0</v>
      </c>
      <c r="H106" s="42">
        <v>0</v>
      </c>
      <c r="I106" s="42" t="s">
        <v>920</v>
      </c>
      <c r="J106" s="42"/>
      <c r="K106" s="42"/>
      <c r="L106" s="42">
        <v>119.70820019077492</v>
      </c>
      <c r="M106" s="42">
        <v>2.2503509966776487E-2</v>
      </c>
      <c r="N106" s="42">
        <v>2.2341089723390821E-2</v>
      </c>
      <c r="O106" s="42">
        <v>7.800584438784103</v>
      </c>
      <c r="P106" s="42">
        <v>0</v>
      </c>
      <c r="Q106" s="42">
        <v>0</v>
      </c>
      <c r="R106" s="42">
        <v>6.5634749795098974</v>
      </c>
      <c r="S106" s="42">
        <v>15.167192378738372</v>
      </c>
      <c r="T106" s="42">
        <v>0</v>
      </c>
      <c r="U106" s="42">
        <v>92.458594930144415</v>
      </c>
      <c r="V106" s="42" t="s">
        <v>752</v>
      </c>
      <c r="W106" s="42" t="s">
        <v>752</v>
      </c>
      <c r="X106" s="42" t="s">
        <v>752</v>
      </c>
      <c r="Y106" s="42" t="s">
        <v>752</v>
      </c>
      <c r="Z106" s="42">
        <v>0</v>
      </c>
      <c r="AA106" s="42">
        <v>0</v>
      </c>
      <c r="AB106" s="42">
        <v>0</v>
      </c>
      <c r="AC106" s="42">
        <v>0</v>
      </c>
      <c r="AD106" s="42">
        <v>0</v>
      </c>
      <c r="AE106" s="42">
        <v>0</v>
      </c>
      <c r="AF106" s="42">
        <v>0</v>
      </c>
      <c r="AG106" s="42">
        <v>0</v>
      </c>
      <c r="AH106" s="42">
        <v>6.5634749795098974</v>
      </c>
      <c r="AI106" s="42">
        <v>15.167192378738372</v>
      </c>
      <c r="AJ106" s="42">
        <v>0</v>
      </c>
      <c r="AK106" s="42">
        <v>92.458594930144415</v>
      </c>
      <c r="AL106" s="42">
        <v>114.18926228839268</v>
      </c>
      <c r="AM106" s="42">
        <v>62.30314659973196</v>
      </c>
      <c r="AN106" s="42">
        <v>7.9515811532488581</v>
      </c>
      <c r="AO106" s="42">
        <v>0</v>
      </c>
      <c r="AP106" s="42">
        <v>0</v>
      </c>
      <c r="AQ106" s="42">
        <v>70.254727752980813</v>
      </c>
      <c r="AR106" s="42">
        <v>6.5634749795098974</v>
      </c>
      <c r="AS106" s="244">
        <v>10.703892065149127</v>
      </c>
      <c r="AT106" s="42">
        <v>62.30314659973196</v>
      </c>
      <c r="AU106" s="42">
        <v>9.4123037075356386</v>
      </c>
      <c r="AV106" s="42">
        <v>0</v>
      </c>
      <c r="AW106" s="42">
        <v>0</v>
      </c>
      <c r="AX106" s="42">
        <v>71.715450307267602</v>
      </c>
      <c r="AY106" s="42">
        <v>15.167192378738372</v>
      </c>
      <c r="AZ106" s="244">
        <v>4.7283273341874095</v>
      </c>
      <c r="BA106" s="42">
        <v>62.30314659973196</v>
      </c>
      <c r="BB106" s="42">
        <v>17.363884860784495</v>
      </c>
      <c r="BC106" s="42">
        <v>0</v>
      </c>
      <c r="BD106" s="42">
        <v>0</v>
      </c>
      <c r="BE106" s="42">
        <v>79.667031460516455</v>
      </c>
      <c r="BF106" s="42">
        <v>21.730667358248269</v>
      </c>
      <c r="BG106" s="42">
        <v>2.6841561309562425</v>
      </c>
      <c r="BH106" s="244">
        <v>3.666110669642062</v>
      </c>
      <c r="BI106" s="42">
        <v>4.0344101445083576</v>
      </c>
      <c r="BJ106" s="42">
        <v>9.3229082136397672</v>
      </c>
      <c r="BK106" s="42">
        <v>0</v>
      </c>
      <c r="BL106" s="42">
        <v>56.832073634417533</v>
      </c>
      <c r="BM106" s="42">
        <v>70.189391992565646</v>
      </c>
      <c r="BN106" s="42">
        <v>62.30314659973196</v>
      </c>
      <c r="BO106" s="42">
        <v>50.694717592831779</v>
      </c>
      <c r="BP106" s="42">
        <v>17.363884860784495</v>
      </c>
      <c r="BQ106" s="42">
        <v>0</v>
      </c>
      <c r="BR106" s="42">
        <v>0</v>
      </c>
      <c r="BS106" s="42">
        <v>0</v>
      </c>
      <c r="BT106" s="42">
        <v>0</v>
      </c>
      <c r="BU106" s="42">
        <v>0</v>
      </c>
      <c r="BV106" s="42">
        <v>0</v>
      </c>
      <c r="BW106" s="42">
        <v>0</v>
      </c>
      <c r="BX106" s="42">
        <v>114.18926228839268</v>
      </c>
      <c r="BY106" s="42"/>
      <c r="BZ106" s="42">
        <v>0</v>
      </c>
      <c r="CA106" s="42">
        <v>0</v>
      </c>
      <c r="CB106" s="42">
        <v>130.36174905334823</v>
      </c>
      <c r="CC106" s="42">
        <v>114.18926228839268</v>
      </c>
      <c r="CD106" s="244">
        <v>1.1416287875134077</v>
      </c>
      <c r="CE106" s="42">
        <v>28.355406639210379</v>
      </c>
      <c r="CF106" s="42">
        <v>1.137238663529955</v>
      </c>
      <c r="CG106" s="42">
        <v>0.91266837933773926</v>
      </c>
      <c r="CH106" s="42">
        <v>2.0499070428676944</v>
      </c>
      <c r="CI106" s="42">
        <v>5.6861395090618064E-2</v>
      </c>
      <c r="CJ106" s="42">
        <v>4.563341896688701E-2</v>
      </c>
      <c r="CK106" s="42">
        <v>0.10249481405750507</v>
      </c>
      <c r="CL106" s="42"/>
      <c r="CM106" s="42">
        <v>7.7233511021195609</v>
      </c>
      <c r="CN106" s="42" t="s">
        <v>785</v>
      </c>
      <c r="CO106" s="42">
        <v>0</v>
      </c>
      <c r="CP106" s="42">
        <v>0</v>
      </c>
      <c r="CQ106" s="42">
        <v>50.694717592831779</v>
      </c>
      <c r="CR106" s="42">
        <v>0</v>
      </c>
      <c r="CS106" s="42">
        <v>0</v>
      </c>
      <c r="CT106" s="42">
        <v>50.694717592831779</v>
      </c>
      <c r="CU106" s="42">
        <v>0</v>
      </c>
      <c r="CV106" s="42">
        <v>0</v>
      </c>
      <c r="CW106" s="244">
        <v>9999</v>
      </c>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row>
    <row r="107" spans="1:131">
      <c r="A107" s="18" t="s">
        <v>505</v>
      </c>
      <c r="B107" s="18" t="s">
        <v>506</v>
      </c>
      <c r="C107" s="42">
        <v>5</v>
      </c>
      <c r="D107" s="42">
        <v>123.5787185971591</v>
      </c>
      <c r="E107" s="42">
        <v>12.854126979686386</v>
      </c>
      <c r="F107" s="42">
        <v>36.519526215872432</v>
      </c>
      <c r="G107" s="42">
        <v>0</v>
      </c>
      <c r="H107" s="42">
        <v>0</v>
      </c>
      <c r="I107" s="42" t="s">
        <v>920</v>
      </c>
      <c r="J107" s="42"/>
      <c r="K107" s="42"/>
      <c r="L107" s="42">
        <v>132.82182698644488</v>
      </c>
      <c r="M107" s="42">
        <v>2.4968693060554947E-2</v>
      </c>
      <c r="N107" s="42">
        <v>2.4788480231093916E-2</v>
      </c>
      <c r="O107" s="42">
        <v>12.982667959298002</v>
      </c>
      <c r="P107" s="42">
        <v>0</v>
      </c>
      <c r="Q107" s="42">
        <v>0</v>
      </c>
      <c r="R107" s="42">
        <v>7.2824813736152469</v>
      </c>
      <c r="S107" s="42">
        <v>16.828706795260626</v>
      </c>
      <c r="T107" s="42">
        <v>0</v>
      </c>
      <c r="U107" s="42">
        <v>102.58712001057891</v>
      </c>
      <c r="V107" s="42" t="s">
        <v>752</v>
      </c>
      <c r="W107" s="42" t="s">
        <v>752</v>
      </c>
      <c r="X107" s="42" t="s">
        <v>752</v>
      </c>
      <c r="Y107" s="42" t="s">
        <v>752</v>
      </c>
      <c r="Z107" s="42">
        <v>0</v>
      </c>
      <c r="AA107" s="42">
        <v>0</v>
      </c>
      <c r="AB107" s="42">
        <v>0</v>
      </c>
      <c r="AC107" s="42">
        <v>0</v>
      </c>
      <c r="AD107" s="42">
        <v>0</v>
      </c>
      <c r="AE107" s="42">
        <v>0</v>
      </c>
      <c r="AF107" s="42">
        <v>0</v>
      </c>
      <c r="AG107" s="42">
        <v>0</v>
      </c>
      <c r="AH107" s="42">
        <v>7.2824813736152469</v>
      </c>
      <c r="AI107" s="42">
        <v>16.828706795260626</v>
      </c>
      <c r="AJ107" s="42">
        <v>0</v>
      </c>
      <c r="AK107" s="42">
        <v>102.58712001057891</v>
      </c>
      <c r="AL107" s="42">
        <v>126.69830817945478</v>
      </c>
      <c r="AM107" s="42">
        <v>69.12824472502956</v>
      </c>
      <c r="AN107" s="42">
        <v>8.8226498646070617</v>
      </c>
      <c r="AO107" s="42">
        <v>0</v>
      </c>
      <c r="AP107" s="42">
        <v>0</v>
      </c>
      <c r="AQ107" s="42">
        <v>77.950894589636619</v>
      </c>
      <c r="AR107" s="42">
        <v>7.2824813736152469</v>
      </c>
      <c r="AS107" s="244">
        <v>10.703892065149136</v>
      </c>
      <c r="AT107" s="42">
        <v>69.12824472502956</v>
      </c>
      <c r="AU107" s="42">
        <v>10.443389614026735</v>
      </c>
      <c r="AV107" s="42">
        <v>0</v>
      </c>
      <c r="AW107" s="42">
        <v>0</v>
      </c>
      <c r="AX107" s="42">
        <v>79.571634339056288</v>
      </c>
      <c r="AY107" s="42">
        <v>16.828706795260626</v>
      </c>
      <c r="AZ107" s="244">
        <v>4.7283273341874139</v>
      </c>
      <c r="BA107" s="42">
        <v>69.12824472502956</v>
      </c>
      <c r="BB107" s="42">
        <v>19.266039478633797</v>
      </c>
      <c r="BC107" s="42">
        <v>0</v>
      </c>
      <c r="BD107" s="42">
        <v>0</v>
      </c>
      <c r="BE107" s="42">
        <v>88.394284203663346</v>
      </c>
      <c r="BF107" s="42">
        <v>24.111188168875874</v>
      </c>
      <c r="BG107" s="42">
        <v>2.6841561309562483</v>
      </c>
      <c r="BH107" s="244">
        <v>3.6661106696420642</v>
      </c>
      <c r="BI107" s="42">
        <v>4.0344101445083576</v>
      </c>
      <c r="BJ107" s="42">
        <v>9.3229082136397672</v>
      </c>
      <c r="BK107" s="42">
        <v>0</v>
      </c>
      <c r="BL107" s="42">
        <v>56.83207363441754</v>
      </c>
      <c r="BM107" s="42">
        <v>70.18939199256566</v>
      </c>
      <c r="BN107" s="42">
        <v>69.12824472502956</v>
      </c>
      <c r="BO107" s="42">
        <v>84.372227614871548</v>
      </c>
      <c r="BP107" s="42">
        <v>19.266039478633797</v>
      </c>
      <c r="BQ107" s="42">
        <v>0</v>
      </c>
      <c r="BR107" s="42">
        <v>0</v>
      </c>
      <c r="BS107" s="42">
        <v>0</v>
      </c>
      <c r="BT107" s="42">
        <v>0</v>
      </c>
      <c r="BU107" s="42">
        <v>0</v>
      </c>
      <c r="BV107" s="42">
        <v>0</v>
      </c>
      <c r="BW107" s="42">
        <v>0</v>
      </c>
      <c r="BX107" s="42">
        <v>126.69830817945478</v>
      </c>
      <c r="BY107" s="42"/>
      <c r="BZ107" s="42">
        <v>0</v>
      </c>
      <c r="CA107" s="42">
        <v>0</v>
      </c>
      <c r="CB107" s="42">
        <v>172.76651181853489</v>
      </c>
      <c r="CC107" s="42">
        <v>126.69830817945478</v>
      </c>
      <c r="CD107" s="244">
        <v>1.3636055153461826</v>
      </c>
      <c r="CE107" s="42">
        <v>12.774995076128732</v>
      </c>
      <c r="CF107" s="42">
        <v>1.261819296998437</v>
      </c>
      <c r="CG107" s="42">
        <v>1.5189721512378664</v>
      </c>
      <c r="CH107" s="42">
        <v>2.7807914482363034</v>
      </c>
      <c r="CI107" s="42">
        <v>6.3090367818561283E-2</v>
      </c>
      <c r="CJ107" s="42">
        <v>7.5948607561893311E-2</v>
      </c>
      <c r="CK107" s="42">
        <v>0.13903897538045459</v>
      </c>
      <c r="CL107" s="42"/>
      <c r="CM107" s="42">
        <v>12.854126979686386</v>
      </c>
      <c r="CN107" s="42" t="s">
        <v>785</v>
      </c>
      <c r="CO107" s="42">
        <v>0</v>
      </c>
      <c r="CP107" s="42">
        <v>0</v>
      </c>
      <c r="CQ107" s="42">
        <v>84.372227614871548</v>
      </c>
      <c r="CR107" s="42">
        <v>0</v>
      </c>
      <c r="CS107" s="42">
        <v>0</v>
      </c>
      <c r="CT107" s="42">
        <v>84.372227614871548</v>
      </c>
      <c r="CU107" s="42">
        <v>0</v>
      </c>
      <c r="CV107" s="42">
        <v>0</v>
      </c>
      <c r="CW107" s="244">
        <v>9999</v>
      </c>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row>
    <row r="108" spans="1:131">
      <c r="A108" s="18" t="s">
        <v>471</v>
      </c>
      <c r="B108" s="18" t="s">
        <v>525</v>
      </c>
      <c r="C108" s="42">
        <v>5</v>
      </c>
      <c r="D108" s="42">
        <v>172.47843210350865</v>
      </c>
      <c r="E108" s="42">
        <v>0</v>
      </c>
      <c r="F108" s="42">
        <v>33.11622438428067</v>
      </c>
      <c r="G108" s="42">
        <v>0</v>
      </c>
      <c r="H108" s="42">
        <v>0</v>
      </c>
      <c r="I108" s="42" t="s">
        <v>920</v>
      </c>
      <c r="J108" s="42"/>
      <c r="K108" s="42"/>
      <c r="L108" s="42">
        <v>185.37900965314063</v>
      </c>
      <c r="M108" s="42">
        <v>3.4848727027157217E-2</v>
      </c>
      <c r="N108" s="42">
        <v>3.4597204543163028E-2</v>
      </c>
      <c r="O108" s="42">
        <v>0</v>
      </c>
      <c r="P108" s="42">
        <v>0</v>
      </c>
      <c r="Q108" s="42">
        <v>0</v>
      </c>
      <c r="R108" s="42">
        <v>6.6038175253809399</v>
      </c>
      <c r="S108" s="42">
        <v>15.260417866179761</v>
      </c>
      <c r="T108" s="42">
        <v>0</v>
      </c>
      <c r="U108" s="42">
        <v>93.026893753372335</v>
      </c>
      <c r="V108" s="42" t="s">
        <v>752</v>
      </c>
      <c r="W108" s="42" t="s">
        <v>752</v>
      </c>
      <c r="X108" s="42" t="s">
        <v>752</v>
      </c>
      <c r="Y108" s="42" t="s">
        <v>752</v>
      </c>
      <c r="Z108" s="42">
        <v>0</v>
      </c>
      <c r="AA108" s="42">
        <v>0</v>
      </c>
      <c r="AB108" s="42">
        <v>0</v>
      </c>
      <c r="AC108" s="42">
        <v>0</v>
      </c>
      <c r="AD108" s="42">
        <v>0</v>
      </c>
      <c r="AE108" s="42">
        <v>0</v>
      </c>
      <c r="AF108" s="42">
        <v>0</v>
      </c>
      <c r="AG108" s="42">
        <v>0</v>
      </c>
      <c r="AH108" s="42">
        <v>6.6038175253809399</v>
      </c>
      <c r="AI108" s="42">
        <v>15.260417866179761</v>
      </c>
      <c r="AJ108" s="42">
        <v>0</v>
      </c>
      <c r="AK108" s="42">
        <v>93.026893753372335</v>
      </c>
      <c r="AL108" s="42">
        <v>114.89112914493303</v>
      </c>
      <c r="AM108" s="42">
        <v>96.482075551435813</v>
      </c>
      <c r="AN108" s="42">
        <v>12.313744898149816</v>
      </c>
      <c r="AO108" s="42">
        <v>0</v>
      </c>
      <c r="AP108" s="42">
        <v>0</v>
      </c>
      <c r="AQ108" s="42">
        <v>108.79582044958563</v>
      </c>
      <c r="AR108" s="42">
        <v>6.6038175253809399</v>
      </c>
      <c r="AS108" s="244">
        <v>16.474686048099091</v>
      </c>
      <c r="AT108" s="42">
        <v>96.482075551435813</v>
      </c>
      <c r="AU108" s="42">
        <v>14.575806311320713</v>
      </c>
      <c r="AV108" s="42">
        <v>0</v>
      </c>
      <c r="AW108" s="42">
        <v>0</v>
      </c>
      <c r="AX108" s="42">
        <v>111.05788186275653</v>
      </c>
      <c r="AY108" s="42">
        <v>15.260417866179761</v>
      </c>
      <c r="AZ108" s="244">
        <v>7.2775125056623606</v>
      </c>
      <c r="BA108" s="42">
        <v>96.482075551435813</v>
      </c>
      <c r="BB108" s="42">
        <v>26.889551209470529</v>
      </c>
      <c r="BC108" s="42">
        <v>0</v>
      </c>
      <c r="BD108" s="42">
        <v>0</v>
      </c>
      <c r="BE108" s="42">
        <v>123.37162676090635</v>
      </c>
      <c r="BF108" s="42">
        <v>21.864235391560701</v>
      </c>
      <c r="BG108" s="42">
        <v>-1.994678548169095</v>
      </c>
      <c r="BH108" s="244">
        <v>5.6426225089273476</v>
      </c>
      <c r="BI108" s="42">
        <v>2.6212269300478028</v>
      </c>
      <c r="BJ108" s="42">
        <v>6.0572567489749911</v>
      </c>
      <c r="BK108" s="42">
        <v>0</v>
      </c>
      <c r="BL108" s="42">
        <v>36.924793604282577</v>
      </c>
      <c r="BM108" s="42">
        <v>45.603277283305367</v>
      </c>
      <c r="BN108" s="42">
        <v>96.482075551435813</v>
      </c>
      <c r="BO108" s="42">
        <v>0</v>
      </c>
      <c r="BP108" s="42">
        <v>26.889551209470529</v>
      </c>
      <c r="BQ108" s="42">
        <v>0</v>
      </c>
      <c r="BR108" s="42">
        <v>0</v>
      </c>
      <c r="BS108" s="42">
        <v>0</v>
      </c>
      <c r="BT108" s="42">
        <v>0</v>
      </c>
      <c r="BU108" s="42">
        <v>0</v>
      </c>
      <c r="BV108" s="42">
        <v>0</v>
      </c>
      <c r="BW108" s="42">
        <v>0</v>
      </c>
      <c r="BX108" s="42">
        <v>114.89112914493303</v>
      </c>
      <c r="BY108" s="42"/>
      <c r="BZ108" s="42">
        <v>0</v>
      </c>
      <c r="CA108" s="42">
        <v>0</v>
      </c>
      <c r="CB108" s="42">
        <v>123.37162676090635</v>
      </c>
      <c r="CC108" s="42">
        <v>114.89112914493303</v>
      </c>
      <c r="CD108" s="244">
        <v>1.0738133368440945</v>
      </c>
      <c r="CE108" s="42">
        <v>34.930115056113479</v>
      </c>
      <c r="CF108" s="42">
        <v>1.7611172572009892</v>
      </c>
      <c r="CG108" s="42">
        <v>0</v>
      </c>
      <c r="CH108" s="42">
        <v>1.7611172572009892</v>
      </c>
      <c r="CI108" s="42">
        <v>8.8055029585241792E-2</v>
      </c>
      <c r="CJ108" s="42">
        <v>0</v>
      </c>
      <c r="CK108" s="42">
        <v>8.8055029585241792E-2</v>
      </c>
      <c r="CL108" s="42"/>
      <c r="CM108" s="42">
        <v>0</v>
      </c>
      <c r="CN108" s="42" t="s">
        <v>785</v>
      </c>
      <c r="CO108" s="42">
        <v>0</v>
      </c>
      <c r="CP108" s="42">
        <v>0</v>
      </c>
      <c r="CQ108" s="42">
        <v>0</v>
      </c>
      <c r="CR108" s="42">
        <v>0</v>
      </c>
      <c r="CS108" s="42">
        <v>0</v>
      </c>
      <c r="CT108" s="42">
        <v>0</v>
      </c>
      <c r="CU108" s="42">
        <v>0</v>
      </c>
      <c r="CV108" s="42">
        <v>9999</v>
      </c>
      <c r="CW108" s="244">
        <v>9999</v>
      </c>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row>
    <row r="109" spans="1:131">
      <c r="A109" s="18" t="s">
        <v>473</v>
      </c>
      <c r="B109" s="18" t="s">
        <v>526</v>
      </c>
      <c r="C109" s="42">
        <v>5</v>
      </c>
      <c r="D109" s="42">
        <v>23.341938793250719</v>
      </c>
      <c r="E109" s="42">
        <v>0</v>
      </c>
      <c r="F109" s="42">
        <v>5.2188236919531583</v>
      </c>
      <c r="G109" s="42">
        <v>0</v>
      </c>
      <c r="H109" s="42">
        <v>0</v>
      </c>
      <c r="I109" s="42" t="s">
        <v>920</v>
      </c>
      <c r="J109" s="42"/>
      <c r="K109" s="42"/>
      <c r="L109" s="42">
        <v>25.087806307748888</v>
      </c>
      <c r="M109" s="42">
        <v>4.7161656293491921E-3</v>
      </c>
      <c r="N109" s="42">
        <v>4.6821264607707393E-3</v>
      </c>
      <c r="O109" s="42">
        <v>0</v>
      </c>
      <c r="P109" s="42">
        <v>0</v>
      </c>
      <c r="Q109" s="42">
        <v>0</v>
      </c>
      <c r="R109" s="42">
        <v>1.0407031598430851</v>
      </c>
      <c r="S109" s="42">
        <v>2.4049067123403027</v>
      </c>
      <c r="T109" s="42">
        <v>0</v>
      </c>
      <c r="U109" s="42">
        <v>14.660214626983793</v>
      </c>
      <c r="V109" s="42" t="s">
        <v>752</v>
      </c>
      <c r="W109" s="42" t="s">
        <v>752</v>
      </c>
      <c r="X109" s="42" t="s">
        <v>752</v>
      </c>
      <c r="Y109" s="42" t="s">
        <v>752</v>
      </c>
      <c r="Z109" s="42">
        <v>0</v>
      </c>
      <c r="AA109" s="42">
        <v>0</v>
      </c>
      <c r="AB109" s="42">
        <v>0</v>
      </c>
      <c r="AC109" s="42">
        <v>0</v>
      </c>
      <c r="AD109" s="42">
        <v>0</v>
      </c>
      <c r="AE109" s="42">
        <v>0</v>
      </c>
      <c r="AF109" s="42">
        <v>0</v>
      </c>
      <c r="AG109" s="42">
        <v>0</v>
      </c>
      <c r="AH109" s="42">
        <v>1.0407031598430851</v>
      </c>
      <c r="AI109" s="42">
        <v>2.4049067123403027</v>
      </c>
      <c r="AJ109" s="42">
        <v>0</v>
      </c>
      <c r="AK109" s="42">
        <v>14.660214626983793</v>
      </c>
      <c r="AL109" s="42">
        <v>18.105824499167181</v>
      </c>
      <c r="AM109" s="42">
        <v>13.057161261854928</v>
      </c>
      <c r="AN109" s="42">
        <v>1.6664499799941606</v>
      </c>
      <c r="AO109" s="42">
        <v>0</v>
      </c>
      <c r="AP109" s="42">
        <v>0</v>
      </c>
      <c r="AQ109" s="42">
        <v>14.723611241849088</v>
      </c>
      <c r="AR109" s="42">
        <v>1.0407031598430851</v>
      </c>
      <c r="AS109" s="244">
        <v>14.14775299045799</v>
      </c>
      <c r="AT109" s="42">
        <v>13.057161261854928</v>
      </c>
      <c r="AU109" s="42">
        <v>1.9725804242987688</v>
      </c>
      <c r="AV109" s="42">
        <v>0</v>
      </c>
      <c r="AW109" s="42">
        <v>0</v>
      </c>
      <c r="AX109" s="42">
        <v>15.029741686153697</v>
      </c>
      <c r="AY109" s="42">
        <v>2.4049067123403027</v>
      </c>
      <c r="AZ109" s="244">
        <v>6.2496152590998868</v>
      </c>
      <c r="BA109" s="42">
        <v>13.057161261854928</v>
      </c>
      <c r="BB109" s="42">
        <v>3.6390304042929293</v>
      </c>
      <c r="BC109" s="42">
        <v>0</v>
      </c>
      <c r="BD109" s="42">
        <v>0</v>
      </c>
      <c r="BE109" s="42">
        <v>16.696191666147858</v>
      </c>
      <c r="BF109" s="42">
        <v>3.4456098721833879</v>
      </c>
      <c r="BG109" s="42">
        <v>-0.56729636411928663</v>
      </c>
      <c r="BH109" s="244">
        <v>4.8456419285703811</v>
      </c>
      <c r="BI109" s="42">
        <v>3.052349780384612</v>
      </c>
      <c r="BJ109" s="42">
        <v>7.0535160826879819</v>
      </c>
      <c r="BK109" s="42">
        <v>0</v>
      </c>
      <c r="BL109" s="42">
        <v>42.997950447092208</v>
      </c>
      <c r="BM109" s="42">
        <v>53.103816310164802</v>
      </c>
      <c r="BN109" s="42">
        <v>13.057161261854928</v>
      </c>
      <c r="BO109" s="42">
        <v>0</v>
      </c>
      <c r="BP109" s="42">
        <v>3.6390304042929293</v>
      </c>
      <c r="BQ109" s="42">
        <v>0</v>
      </c>
      <c r="BR109" s="42">
        <v>0</v>
      </c>
      <c r="BS109" s="42">
        <v>0</v>
      </c>
      <c r="BT109" s="42">
        <v>0</v>
      </c>
      <c r="BU109" s="42">
        <v>0</v>
      </c>
      <c r="BV109" s="42">
        <v>0</v>
      </c>
      <c r="BW109" s="42">
        <v>0</v>
      </c>
      <c r="BX109" s="42">
        <v>18.105824499167181</v>
      </c>
      <c r="BY109" s="42"/>
      <c r="BZ109" s="42">
        <v>0</v>
      </c>
      <c r="CA109" s="42">
        <v>0</v>
      </c>
      <c r="CB109" s="42">
        <v>16.696191666147858</v>
      </c>
      <c r="CC109" s="42">
        <v>18.105824499167181</v>
      </c>
      <c r="CD109" s="245">
        <v>0.92214478644238695</v>
      </c>
      <c r="CE109" s="42">
        <v>42.430654082972922</v>
      </c>
      <c r="CF109" s="42">
        <v>0.23833641530700553</v>
      </c>
      <c r="CG109" s="42">
        <v>0</v>
      </c>
      <c r="CH109" s="42">
        <v>0.23833641530700553</v>
      </c>
      <c r="CI109" s="42">
        <v>1.1916707996180716E-2</v>
      </c>
      <c r="CJ109" s="42">
        <v>0</v>
      </c>
      <c r="CK109" s="42">
        <v>1.1916707996180716E-2</v>
      </c>
      <c r="CL109" s="42"/>
      <c r="CM109" s="42">
        <v>0</v>
      </c>
      <c r="CN109" s="42" t="s">
        <v>785</v>
      </c>
      <c r="CO109" s="42">
        <v>0</v>
      </c>
      <c r="CP109" s="42">
        <v>0</v>
      </c>
      <c r="CQ109" s="42">
        <v>0</v>
      </c>
      <c r="CR109" s="42">
        <v>0</v>
      </c>
      <c r="CS109" s="42">
        <v>0</v>
      </c>
      <c r="CT109" s="42">
        <v>0</v>
      </c>
      <c r="CU109" s="42">
        <v>0</v>
      </c>
      <c r="CV109" s="42">
        <v>9999</v>
      </c>
      <c r="CW109" s="244">
        <v>9999</v>
      </c>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row>
    <row r="110" spans="1:131">
      <c r="A110" s="18" t="s">
        <v>475</v>
      </c>
      <c r="B110" s="18" t="s">
        <v>527</v>
      </c>
      <c r="C110" s="42">
        <v>5</v>
      </c>
      <c r="D110" s="42">
        <v>8.6635862292325676</v>
      </c>
      <c r="E110" s="42">
        <v>0</v>
      </c>
      <c r="F110" s="42">
        <v>4.9566761491426865</v>
      </c>
      <c r="G110" s="42">
        <v>0</v>
      </c>
      <c r="H110" s="42">
        <v>0</v>
      </c>
      <c r="I110" s="42" t="s">
        <v>920</v>
      </c>
      <c r="J110" s="42"/>
      <c r="K110" s="42"/>
      <c r="L110" s="42">
        <v>9.3115818345095516</v>
      </c>
      <c r="M110" s="42">
        <v>1.750450464424313E-3</v>
      </c>
      <c r="N110" s="42">
        <v>1.7378164979503677E-3</v>
      </c>
      <c r="O110" s="42">
        <v>0</v>
      </c>
      <c r="P110" s="42">
        <v>0</v>
      </c>
      <c r="Q110" s="42">
        <v>0</v>
      </c>
      <c r="R110" s="42">
        <v>0.98842743790815712</v>
      </c>
      <c r="S110" s="42">
        <v>2.2841054700411059</v>
      </c>
      <c r="T110" s="42">
        <v>0</v>
      </c>
      <c r="U110" s="42">
        <v>13.923815110850754</v>
      </c>
      <c r="V110" s="42" t="s">
        <v>752</v>
      </c>
      <c r="W110" s="42" t="s">
        <v>752</v>
      </c>
      <c r="X110" s="42" t="s">
        <v>752</v>
      </c>
      <c r="Y110" s="42" t="s">
        <v>752</v>
      </c>
      <c r="Z110" s="42">
        <v>0</v>
      </c>
      <c r="AA110" s="42">
        <v>0</v>
      </c>
      <c r="AB110" s="42">
        <v>0</v>
      </c>
      <c r="AC110" s="42">
        <v>0</v>
      </c>
      <c r="AD110" s="42">
        <v>0</v>
      </c>
      <c r="AE110" s="42">
        <v>0</v>
      </c>
      <c r="AF110" s="42">
        <v>0</v>
      </c>
      <c r="AG110" s="42">
        <v>0</v>
      </c>
      <c r="AH110" s="42">
        <v>0.98842743790815712</v>
      </c>
      <c r="AI110" s="42">
        <v>2.2841054700411059</v>
      </c>
      <c r="AJ110" s="42">
        <v>0</v>
      </c>
      <c r="AK110" s="42">
        <v>13.923815110850754</v>
      </c>
      <c r="AL110" s="42">
        <v>17.196348018800016</v>
      </c>
      <c r="AM110" s="42">
        <v>4.8462916256889566</v>
      </c>
      <c r="AN110" s="42">
        <v>0.61851901961789313</v>
      </c>
      <c r="AO110" s="42">
        <v>0</v>
      </c>
      <c r="AP110" s="42">
        <v>0</v>
      </c>
      <c r="AQ110" s="42">
        <v>5.4648106453068497</v>
      </c>
      <c r="AR110" s="42">
        <v>0.98842743790815712</v>
      </c>
      <c r="AS110" s="244">
        <v>5.5287929449552875</v>
      </c>
      <c r="AT110" s="42">
        <v>4.8462916256889566</v>
      </c>
      <c r="AU110" s="42">
        <v>0.7321422933792453</v>
      </c>
      <c r="AV110" s="42">
        <v>0</v>
      </c>
      <c r="AW110" s="42">
        <v>0</v>
      </c>
      <c r="AX110" s="42">
        <v>5.5784339190682015</v>
      </c>
      <c r="AY110" s="42">
        <v>2.2841054700411059</v>
      </c>
      <c r="AZ110" s="244">
        <v>2.4422838578324533</v>
      </c>
      <c r="BA110" s="42">
        <v>4.8462916256889566</v>
      </c>
      <c r="BB110" s="42">
        <v>1.3506613129971385</v>
      </c>
      <c r="BC110" s="42">
        <v>0</v>
      </c>
      <c r="BD110" s="42">
        <v>0</v>
      </c>
      <c r="BE110" s="42">
        <v>6.1969529386860946</v>
      </c>
      <c r="BF110" s="42">
        <v>3.2725329079492629</v>
      </c>
      <c r="BG110" s="42">
        <v>15.186965907269972</v>
      </c>
      <c r="BH110" s="244">
        <v>1.8936258589281607</v>
      </c>
      <c r="BI110" s="42">
        <v>7.8107267107485034</v>
      </c>
      <c r="BJ110" s="42">
        <v>18.049401423713352</v>
      </c>
      <c r="BK110" s="42">
        <v>0</v>
      </c>
      <c r="BL110" s="42">
        <v>110.02842538649857</v>
      </c>
      <c r="BM110" s="42">
        <v>135.88855352096044</v>
      </c>
      <c r="BN110" s="42">
        <v>4.8462916256889566</v>
      </c>
      <c r="BO110" s="42">
        <v>0</v>
      </c>
      <c r="BP110" s="42">
        <v>1.3506613129971385</v>
      </c>
      <c r="BQ110" s="42">
        <v>0</v>
      </c>
      <c r="BR110" s="42">
        <v>0</v>
      </c>
      <c r="BS110" s="42">
        <v>0</v>
      </c>
      <c r="BT110" s="42">
        <v>0</v>
      </c>
      <c r="BU110" s="42">
        <v>0</v>
      </c>
      <c r="BV110" s="42">
        <v>0</v>
      </c>
      <c r="BW110" s="42">
        <v>0</v>
      </c>
      <c r="BX110" s="42">
        <v>17.196348018800016</v>
      </c>
      <c r="BY110" s="42"/>
      <c r="BZ110" s="42">
        <v>0</v>
      </c>
      <c r="CA110" s="42">
        <v>0</v>
      </c>
      <c r="CB110" s="42">
        <v>6.1969529386860946</v>
      </c>
      <c r="CC110" s="42">
        <v>17.196348018800016</v>
      </c>
      <c r="CD110" s="245">
        <v>0.36036447575445885</v>
      </c>
      <c r="CE110" s="42">
        <v>125.21539129376853</v>
      </c>
      <c r="CF110" s="42">
        <v>8.846086453518931E-2</v>
      </c>
      <c r="CG110" s="42">
        <v>0</v>
      </c>
      <c r="CH110" s="42">
        <v>8.846086453518931E-2</v>
      </c>
      <c r="CI110" s="42">
        <v>4.4230013713920362E-3</v>
      </c>
      <c r="CJ110" s="42">
        <v>0</v>
      </c>
      <c r="CK110" s="42">
        <v>4.4230013713920362E-3</v>
      </c>
      <c r="CL110" s="42"/>
      <c r="CM110" s="42">
        <v>0</v>
      </c>
      <c r="CN110" s="42" t="s">
        <v>785</v>
      </c>
      <c r="CO110" s="42">
        <v>0</v>
      </c>
      <c r="CP110" s="42">
        <v>0</v>
      </c>
      <c r="CQ110" s="42">
        <v>0</v>
      </c>
      <c r="CR110" s="42">
        <v>0</v>
      </c>
      <c r="CS110" s="42">
        <v>0</v>
      </c>
      <c r="CT110" s="42">
        <v>0</v>
      </c>
      <c r="CU110" s="42">
        <v>0</v>
      </c>
      <c r="CV110" s="42">
        <v>9999</v>
      </c>
      <c r="CW110" s="244">
        <v>9999</v>
      </c>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row>
    <row r="111" spans="1:131">
      <c r="A111" s="18" t="s">
        <v>477</v>
      </c>
      <c r="B111" s="18" t="s">
        <v>528</v>
      </c>
      <c r="C111" s="42">
        <v>5</v>
      </c>
      <c r="D111" s="42">
        <v>2.3297270153302292</v>
      </c>
      <c r="E111" s="42">
        <v>0</v>
      </c>
      <c r="F111" s="42">
        <v>0.52088366142508724</v>
      </c>
      <c r="G111" s="42">
        <v>0</v>
      </c>
      <c r="H111" s="42">
        <v>0</v>
      </c>
      <c r="I111" s="42" t="s">
        <v>920</v>
      </c>
      <c r="J111" s="42"/>
      <c r="K111" s="42"/>
      <c r="L111" s="42">
        <v>2.5039796663092431</v>
      </c>
      <c r="M111" s="42">
        <v>4.7071404705438123E-4</v>
      </c>
      <c r="N111" s="42">
        <v>4.6731664415143419E-4</v>
      </c>
      <c r="O111" s="42">
        <v>0</v>
      </c>
      <c r="P111" s="42">
        <v>0</v>
      </c>
      <c r="Q111" s="42">
        <v>0</v>
      </c>
      <c r="R111" s="42">
        <v>0.10387116031368503</v>
      </c>
      <c r="S111" s="42">
        <v>0.24003045277062587</v>
      </c>
      <c r="T111" s="42">
        <v>0</v>
      </c>
      <c r="U111" s="42">
        <v>1.463215989448964</v>
      </c>
      <c r="V111" s="42" t="s">
        <v>752</v>
      </c>
      <c r="W111" s="42" t="s">
        <v>752</v>
      </c>
      <c r="X111" s="42" t="s">
        <v>752</v>
      </c>
      <c r="Y111" s="42" t="s">
        <v>752</v>
      </c>
      <c r="Z111" s="42">
        <v>0</v>
      </c>
      <c r="AA111" s="42">
        <v>0</v>
      </c>
      <c r="AB111" s="42">
        <v>0</v>
      </c>
      <c r="AC111" s="42">
        <v>0</v>
      </c>
      <c r="AD111" s="42">
        <v>0</v>
      </c>
      <c r="AE111" s="42">
        <v>0</v>
      </c>
      <c r="AF111" s="42">
        <v>0</v>
      </c>
      <c r="AG111" s="42">
        <v>0</v>
      </c>
      <c r="AH111" s="42">
        <v>0.10387116031368503</v>
      </c>
      <c r="AI111" s="42">
        <v>0.24003045277062587</v>
      </c>
      <c r="AJ111" s="42">
        <v>0</v>
      </c>
      <c r="AK111" s="42">
        <v>1.463215989448964</v>
      </c>
      <c r="AL111" s="42">
        <v>1.8071176025332749</v>
      </c>
      <c r="AM111" s="42">
        <v>1.3032174235699103</v>
      </c>
      <c r="AN111" s="42">
        <v>0.16632609538036741</v>
      </c>
      <c r="AO111" s="42">
        <v>0</v>
      </c>
      <c r="AP111" s="42">
        <v>0</v>
      </c>
      <c r="AQ111" s="42">
        <v>1.4695435189502777</v>
      </c>
      <c r="AR111" s="42">
        <v>0.10387116031368503</v>
      </c>
      <c r="AS111" s="244">
        <v>14.147752990457981</v>
      </c>
      <c r="AT111" s="42">
        <v>1.3032174235699103</v>
      </c>
      <c r="AU111" s="42">
        <v>0.19688055671404686</v>
      </c>
      <c r="AV111" s="42">
        <v>0</v>
      </c>
      <c r="AW111" s="42">
        <v>0</v>
      </c>
      <c r="AX111" s="42">
        <v>1.5000979802839571</v>
      </c>
      <c r="AY111" s="42">
        <v>0.24003045277062587</v>
      </c>
      <c r="AZ111" s="244">
        <v>6.2496152590998824</v>
      </c>
      <c r="BA111" s="42">
        <v>1.3032174235699103</v>
      </c>
      <c r="BB111" s="42">
        <v>0.36320665209441427</v>
      </c>
      <c r="BC111" s="42">
        <v>0</v>
      </c>
      <c r="BD111" s="42">
        <v>0</v>
      </c>
      <c r="BE111" s="42">
        <v>1.6664240756643245</v>
      </c>
      <c r="BF111" s="42">
        <v>0.34390161308431089</v>
      </c>
      <c r="BG111" s="42">
        <v>-0.56729636411928708</v>
      </c>
      <c r="BH111" s="244">
        <v>4.8456419285703793</v>
      </c>
      <c r="BI111" s="42">
        <v>3.052349780384612</v>
      </c>
      <c r="BJ111" s="42">
        <v>7.0535160826879819</v>
      </c>
      <c r="BK111" s="42">
        <v>0</v>
      </c>
      <c r="BL111" s="42">
        <v>42.997950447092201</v>
      </c>
      <c r="BM111" s="42">
        <v>53.103816310164788</v>
      </c>
      <c r="BN111" s="42">
        <v>1.3032174235699103</v>
      </c>
      <c r="BO111" s="42">
        <v>0</v>
      </c>
      <c r="BP111" s="42">
        <v>0.36320665209441427</v>
      </c>
      <c r="BQ111" s="42">
        <v>0</v>
      </c>
      <c r="BR111" s="42">
        <v>0</v>
      </c>
      <c r="BS111" s="42">
        <v>0</v>
      </c>
      <c r="BT111" s="42">
        <v>0</v>
      </c>
      <c r="BU111" s="42">
        <v>0</v>
      </c>
      <c r="BV111" s="42">
        <v>0</v>
      </c>
      <c r="BW111" s="42">
        <v>0</v>
      </c>
      <c r="BX111" s="42">
        <v>1.8071176025332749</v>
      </c>
      <c r="BY111" s="42"/>
      <c r="BZ111" s="42">
        <v>0</v>
      </c>
      <c r="CA111" s="42">
        <v>0</v>
      </c>
      <c r="CB111" s="42">
        <v>1.6664240756643245</v>
      </c>
      <c r="CC111" s="42">
        <v>1.8071176025332749</v>
      </c>
      <c r="CD111" s="245">
        <v>0.92214478644238662</v>
      </c>
      <c r="CE111" s="42">
        <v>42.430654082972907</v>
      </c>
      <c r="CF111" s="42">
        <v>2.3788031936672237E-2</v>
      </c>
      <c r="CG111" s="42">
        <v>0</v>
      </c>
      <c r="CH111" s="42">
        <v>2.3788031936672237E-2</v>
      </c>
      <c r="CI111" s="42">
        <v>1.1893903414968909E-3</v>
      </c>
      <c r="CJ111" s="42">
        <v>0</v>
      </c>
      <c r="CK111" s="42">
        <v>1.1893903414968909E-3</v>
      </c>
      <c r="CL111" s="42"/>
      <c r="CM111" s="42">
        <v>0</v>
      </c>
      <c r="CN111" s="42" t="s">
        <v>785</v>
      </c>
      <c r="CO111" s="42">
        <v>0</v>
      </c>
      <c r="CP111" s="42">
        <v>0</v>
      </c>
      <c r="CQ111" s="42">
        <v>0</v>
      </c>
      <c r="CR111" s="42">
        <v>0</v>
      </c>
      <c r="CS111" s="42">
        <v>0</v>
      </c>
      <c r="CT111" s="42">
        <v>0</v>
      </c>
      <c r="CU111" s="42">
        <v>0</v>
      </c>
      <c r="CV111" s="42">
        <v>9999</v>
      </c>
      <c r="CW111" s="244">
        <v>9999</v>
      </c>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row>
    <row r="112" spans="1:131">
      <c r="A112" s="18" t="s">
        <v>479</v>
      </c>
      <c r="B112" s="18" t="s">
        <v>529</v>
      </c>
      <c r="C112" s="42">
        <v>5</v>
      </c>
      <c r="D112" s="42">
        <v>3.3774812018680551</v>
      </c>
      <c r="E112" s="42">
        <v>0</v>
      </c>
      <c r="F112" s="42">
        <v>1.5228071339268288</v>
      </c>
      <c r="G112" s="42">
        <v>0</v>
      </c>
      <c r="H112" s="42">
        <v>0</v>
      </c>
      <c r="I112" s="42" t="s">
        <v>920</v>
      </c>
      <c r="J112" s="42"/>
      <c r="K112" s="42"/>
      <c r="L112" s="42">
        <v>3.6301009505272654</v>
      </c>
      <c r="M112" s="42">
        <v>6.8240949901851751E-4</v>
      </c>
      <c r="N112" s="42">
        <v>6.7748417327675927E-4</v>
      </c>
      <c r="O112" s="42">
        <v>0</v>
      </c>
      <c r="P112" s="42">
        <v>0</v>
      </c>
      <c r="Q112" s="42">
        <v>0</v>
      </c>
      <c r="R112" s="42">
        <v>0.30366808492741609</v>
      </c>
      <c r="S112" s="42">
        <v>0.70173075661226969</v>
      </c>
      <c r="T112" s="42">
        <v>0</v>
      </c>
      <c r="U112" s="42">
        <v>4.2777224785906292</v>
      </c>
      <c r="V112" s="42" t="s">
        <v>752</v>
      </c>
      <c r="W112" s="42" t="s">
        <v>752</v>
      </c>
      <c r="X112" s="42" t="s">
        <v>752</v>
      </c>
      <c r="Y112" s="42" t="s">
        <v>752</v>
      </c>
      <c r="Z112" s="42">
        <v>0</v>
      </c>
      <c r="AA112" s="42">
        <v>0</v>
      </c>
      <c r="AB112" s="42">
        <v>0</v>
      </c>
      <c r="AC112" s="42">
        <v>0</v>
      </c>
      <c r="AD112" s="42">
        <v>0</v>
      </c>
      <c r="AE112" s="42">
        <v>0</v>
      </c>
      <c r="AF112" s="42">
        <v>0</v>
      </c>
      <c r="AG112" s="42">
        <v>0</v>
      </c>
      <c r="AH112" s="42">
        <v>0.30366808492741609</v>
      </c>
      <c r="AI112" s="42">
        <v>0.70173075661226969</v>
      </c>
      <c r="AJ112" s="42">
        <v>0</v>
      </c>
      <c r="AK112" s="42">
        <v>4.2777224785906292</v>
      </c>
      <c r="AL112" s="42">
        <v>5.2831213201303147</v>
      </c>
      <c r="AM112" s="42">
        <v>1.8893167830782887</v>
      </c>
      <c r="AN112" s="42">
        <v>0.24112836260675644</v>
      </c>
      <c r="AO112" s="42">
        <v>0</v>
      </c>
      <c r="AP112" s="42">
        <v>0</v>
      </c>
      <c r="AQ112" s="42">
        <v>2.1304451456850453</v>
      </c>
      <c r="AR112" s="42">
        <v>0.30366808492741609</v>
      </c>
      <c r="AS112" s="244">
        <v>7.0157031687879625</v>
      </c>
      <c r="AT112" s="42">
        <v>1.8893167830782887</v>
      </c>
      <c r="AU112" s="42">
        <v>0.28542416125983561</v>
      </c>
      <c r="AV112" s="42">
        <v>0</v>
      </c>
      <c r="AW112" s="42">
        <v>0</v>
      </c>
      <c r="AX112" s="42">
        <v>2.174740944338124</v>
      </c>
      <c r="AY112" s="42">
        <v>0.70173075661226969</v>
      </c>
      <c r="AZ112" s="244">
        <v>3.0991101983858789</v>
      </c>
      <c r="BA112" s="42">
        <v>1.8893167830782887</v>
      </c>
      <c r="BB112" s="42">
        <v>0.52655252386659201</v>
      </c>
      <c r="BC112" s="42">
        <v>0</v>
      </c>
      <c r="BD112" s="42">
        <v>0</v>
      </c>
      <c r="BE112" s="42">
        <v>2.4158693069448804</v>
      </c>
      <c r="BF112" s="42">
        <v>1.0053988415396857</v>
      </c>
      <c r="BG112" s="42">
        <v>9.7061626310109013</v>
      </c>
      <c r="BH112" s="244">
        <v>2.4028964497762648</v>
      </c>
      <c r="BI112" s="42">
        <v>6.155318960112254</v>
      </c>
      <c r="BJ112" s="42">
        <v>14.224005898090525</v>
      </c>
      <c r="BK112" s="42">
        <v>0</v>
      </c>
      <c r="BL112" s="42">
        <v>86.708968065778009</v>
      </c>
      <c r="BM112" s="42">
        <v>107.08829292398077</v>
      </c>
      <c r="BN112" s="42">
        <v>1.8893167830782887</v>
      </c>
      <c r="BO112" s="42">
        <v>0</v>
      </c>
      <c r="BP112" s="42">
        <v>0.52655252386659201</v>
      </c>
      <c r="BQ112" s="42">
        <v>0</v>
      </c>
      <c r="BR112" s="42">
        <v>0</v>
      </c>
      <c r="BS112" s="42">
        <v>0</v>
      </c>
      <c r="BT112" s="42">
        <v>0</v>
      </c>
      <c r="BU112" s="42">
        <v>0</v>
      </c>
      <c r="BV112" s="42">
        <v>0</v>
      </c>
      <c r="BW112" s="42">
        <v>0</v>
      </c>
      <c r="BX112" s="42">
        <v>5.2831213201303147</v>
      </c>
      <c r="BY112" s="42"/>
      <c r="BZ112" s="42">
        <v>0</v>
      </c>
      <c r="CA112" s="42">
        <v>0</v>
      </c>
      <c r="CB112" s="42">
        <v>2.4158693069448809</v>
      </c>
      <c r="CC112" s="42">
        <v>5.2831213201303147</v>
      </c>
      <c r="CD112" s="245">
        <v>0.45728067946115053</v>
      </c>
      <c r="CE112" s="42">
        <v>96.415130696788879</v>
      </c>
      <c r="CF112" s="42">
        <v>3.4486285374580247E-2</v>
      </c>
      <c r="CG112" s="42">
        <v>0</v>
      </c>
      <c r="CH112" s="42">
        <v>3.4486285374580247E-2</v>
      </c>
      <c r="CI112" s="42">
        <v>1.7242979515004508E-3</v>
      </c>
      <c r="CJ112" s="42">
        <v>0</v>
      </c>
      <c r="CK112" s="42">
        <v>1.7242979515004508E-3</v>
      </c>
      <c r="CL112" s="42"/>
      <c r="CM112" s="42">
        <v>0</v>
      </c>
      <c r="CN112" s="42" t="s">
        <v>785</v>
      </c>
      <c r="CO112" s="42">
        <v>0</v>
      </c>
      <c r="CP112" s="42">
        <v>0</v>
      </c>
      <c r="CQ112" s="42">
        <v>0</v>
      </c>
      <c r="CR112" s="42">
        <v>0</v>
      </c>
      <c r="CS112" s="42">
        <v>0</v>
      </c>
      <c r="CT112" s="42">
        <v>0</v>
      </c>
      <c r="CU112" s="42">
        <v>0</v>
      </c>
      <c r="CV112" s="42">
        <v>9999</v>
      </c>
      <c r="CW112" s="244">
        <v>9999</v>
      </c>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row>
    <row r="113" spans="1:131">
      <c r="A113" s="18" t="s">
        <v>481</v>
      </c>
      <c r="B113" s="18" t="s">
        <v>530</v>
      </c>
      <c r="C113" s="42">
        <v>5</v>
      </c>
      <c r="D113" s="42">
        <v>5.6841853465297474</v>
      </c>
      <c r="E113" s="42">
        <v>0</v>
      </c>
      <c r="F113" s="42">
        <v>1.8463415664131124</v>
      </c>
      <c r="G113" s="42">
        <v>0</v>
      </c>
      <c r="H113" s="42">
        <v>0</v>
      </c>
      <c r="I113" s="42" t="s">
        <v>920</v>
      </c>
      <c r="J113" s="42"/>
      <c r="K113" s="42"/>
      <c r="L113" s="42">
        <v>6.1093357434523137</v>
      </c>
      <c r="M113" s="42">
        <v>1.1484718471588694E-3</v>
      </c>
      <c r="N113" s="42">
        <v>1.1401826923909009E-3</v>
      </c>
      <c r="O113" s="42">
        <v>0</v>
      </c>
      <c r="P113" s="42">
        <v>0</v>
      </c>
      <c r="Q113" s="42">
        <v>0</v>
      </c>
      <c r="R113" s="42">
        <v>0.36818517270060019</v>
      </c>
      <c r="S113" s="42">
        <v>0.85081993346244211</v>
      </c>
      <c r="T113" s="42">
        <v>0</v>
      </c>
      <c r="U113" s="42">
        <v>5.1865641064045018</v>
      </c>
      <c r="V113" s="42" t="s">
        <v>752</v>
      </c>
      <c r="W113" s="42" t="s">
        <v>752</v>
      </c>
      <c r="X113" s="42" t="s">
        <v>752</v>
      </c>
      <c r="Y113" s="42" t="s">
        <v>752</v>
      </c>
      <c r="Z113" s="42">
        <v>0</v>
      </c>
      <c r="AA113" s="42">
        <v>0</v>
      </c>
      <c r="AB113" s="42">
        <v>0</v>
      </c>
      <c r="AC113" s="42">
        <v>0</v>
      </c>
      <c r="AD113" s="42">
        <v>0</v>
      </c>
      <c r="AE113" s="42">
        <v>0</v>
      </c>
      <c r="AF113" s="42">
        <v>0</v>
      </c>
      <c r="AG113" s="42">
        <v>0</v>
      </c>
      <c r="AH113" s="42">
        <v>0.36818517270060019</v>
      </c>
      <c r="AI113" s="42">
        <v>0.85081993346244211</v>
      </c>
      <c r="AJ113" s="42">
        <v>0</v>
      </c>
      <c r="AK113" s="42">
        <v>5.1865641064045018</v>
      </c>
      <c r="AL113" s="42">
        <v>6.4055692125675439</v>
      </c>
      <c r="AM113" s="42">
        <v>3.1796555277307164</v>
      </c>
      <c r="AN113" s="42">
        <v>0.40581078722331893</v>
      </c>
      <c r="AO113" s="42">
        <v>0</v>
      </c>
      <c r="AP113" s="42">
        <v>0</v>
      </c>
      <c r="AQ113" s="42">
        <v>3.5854663149540351</v>
      </c>
      <c r="AR113" s="42">
        <v>0.36818517270060019</v>
      </c>
      <c r="AS113" s="244">
        <v>9.7382148462280824</v>
      </c>
      <c r="AT113" s="42">
        <v>3.1796555277307164</v>
      </c>
      <c r="AU113" s="42">
        <v>0.4803591013567638</v>
      </c>
      <c r="AV113" s="42">
        <v>0</v>
      </c>
      <c r="AW113" s="42">
        <v>0</v>
      </c>
      <c r="AX113" s="42">
        <v>3.6600146290874802</v>
      </c>
      <c r="AY113" s="42">
        <v>0.85081993346244211</v>
      </c>
      <c r="AZ113" s="244">
        <v>4.301749976863988</v>
      </c>
      <c r="BA113" s="42">
        <v>3.1796555277307164</v>
      </c>
      <c r="BB113" s="42">
        <v>0.88616988858008272</v>
      </c>
      <c r="BC113" s="42">
        <v>0</v>
      </c>
      <c r="BD113" s="42">
        <v>0</v>
      </c>
      <c r="BE113" s="42">
        <v>4.0658254163107994</v>
      </c>
      <c r="BF113" s="42">
        <v>1.2190051061630423</v>
      </c>
      <c r="BG113" s="42">
        <v>4.0087169717283855</v>
      </c>
      <c r="BH113" s="244">
        <v>3.3353637287939253</v>
      </c>
      <c r="BI113" s="42">
        <v>4.4344771002959238</v>
      </c>
      <c r="BJ113" s="42">
        <v>10.247402098624354</v>
      </c>
      <c r="BK113" s="42">
        <v>0</v>
      </c>
      <c r="BL113" s="42">
        <v>62.467751187173377</v>
      </c>
      <c r="BM113" s="42">
        <v>77.149630386093648</v>
      </c>
      <c r="BN113" s="42">
        <v>3.1796555277307164</v>
      </c>
      <c r="BO113" s="42">
        <v>0</v>
      </c>
      <c r="BP113" s="42">
        <v>0.88616988858008272</v>
      </c>
      <c r="BQ113" s="42">
        <v>0</v>
      </c>
      <c r="BR113" s="42">
        <v>0</v>
      </c>
      <c r="BS113" s="42">
        <v>0</v>
      </c>
      <c r="BT113" s="42">
        <v>0</v>
      </c>
      <c r="BU113" s="42">
        <v>0</v>
      </c>
      <c r="BV113" s="42">
        <v>0</v>
      </c>
      <c r="BW113" s="42">
        <v>0</v>
      </c>
      <c r="BX113" s="42">
        <v>6.4055692125675439</v>
      </c>
      <c r="BY113" s="42"/>
      <c r="BZ113" s="42">
        <v>0</v>
      </c>
      <c r="CA113" s="42">
        <v>0</v>
      </c>
      <c r="CB113" s="42">
        <v>4.0658254163107985</v>
      </c>
      <c r="CC113" s="42">
        <v>6.4055692125675439</v>
      </c>
      <c r="CD113" s="245">
        <v>0.63473288343115009</v>
      </c>
      <c r="CE113" s="42">
        <v>66.476468158901767</v>
      </c>
      <c r="CF113" s="42">
        <v>5.8039238789548815E-2</v>
      </c>
      <c r="CG113" s="42">
        <v>0</v>
      </c>
      <c r="CH113" s="42">
        <v>5.8039238789548815E-2</v>
      </c>
      <c r="CI113" s="42">
        <v>2.9019344781398486E-3</v>
      </c>
      <c r="CJ113" s="42">
        <v>0</v>
      </c>
      <c r="CK113" s="42">
        <v>2.9019344781398486E-3</v>
      </c>
      <c r="CL113" s="42"/>
      <c r="CM113" s="42">
        <v>0</v>
      </c>
      <c r="CN113" s="42" t="s">
        <v>785</v>
      </c>
      <c r="CO113" s="42">
        <v>0</v>
      </c>
      <c r="CP113" s="42">
        <v>0</v>
      </c>
      <c r="CQ113" s="42">
        <v>0</v>
      </c>
      <c r="CR113" s="42">
        <v>0</v>
      </c>
      <c r="CS113" s="42">
        <v>0</v>
      </c>
      <c r="CT113" s="42">
        <v>0</v>
      </c>
      <c r="CU113" s="42">
        <v>0</v>
      </c>
      <c r="CV113" s="42">
        <v>9999</v>
      </c>
      <c r="CW113" s="244">
        <v>9999</v>
      </c>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row>
    <row r="114" spans="1:131">
      <c r="A114" s="18" t="s">
        <v>483</v>
      </c>
      <c r="B114" s="18" t="s">
        <v>531</v>
      </c>
      <c r="C114" s="42">
        <v>5</v>
      </c>
      <c r="D114" s="42">
        <v>49.145302900758175</v>
      </c>
      <c r="E114" s="42">
        <v>0</v>
      </c>
      <c r="F114" s="42">
        <v>6.9590516802831406</v>
      </c>
      <c r="G114" s="42">
        <v>0</v>
      </c>
      <c r="H114" s="42">
        <v>0</v>
      </c>
      <c r="I114" s="42" t="s">
        <v>920</v>
      </c>
      <c r="J114" s="42"/>
      <c r="K114" s="42"/>
      <c r="L114" s="42">
        <v>52.821140995638942</v>
      </c>
      <c r="M114" s="42">
        <v>9.9296545345894278E-3</v>
      </c>
      <c r="N114" s="42">
        <v>9.8579867410485689E-3</v>
      </c>
      <c r="O114" s="42">
        <v>0</v>
      </c>
      <c r="P114" s="42">
        <v>0</v>
      </c>
      <c r="Q114" s="42">
        <v>0</v>
      </c>
      <c r="R114" s="42">
        <v>1.3877278675554459</v>
      </c>
      <c r="S114" s="42">
        <v>3.2068280297034795</v>
      </c>
      <c r="T114" s="42">
        <v>0</v>
      </c>
      <c r="U114" s="42">
        <v>19.548694735660121</v>
      </c>
      <c r="V114" s="42" t="s">
        <v>752</v>
      </c>
      <c r="W114" s="42" t="s">
        <v>752</v>
      </c>
      <c r="X114" s="42" t="s">
        <v>752</v>
      </c>
      <c r="Y114" s="42" t="s">
        <v>752</v>
      </c>
      <c r="Z114" s="42">
        <v>0</v>
      </c>
      <c r="AA114" s="42">
        <v>0</v>
      </c>
      <c r="AB114" s="42">
        <v>0</v>
      </c>
      <c r="AC114" s="42">
        <v>0</v>
      </c>
      <c r="AD114" s="42">
        <v>0</v>
      </c>
      <c r="AE114" s="42">
        <v>0</v>
      </c>
      <c r="AF114" s="42">
        <v>0</v>
      </c>
      <c r="AG114" s="42">
        <v>0</v>
      </c>
      <c r="AH114" s="42">
        <v>1.3877278675554459</v>
      </c>
      <c r="AI114" s="42">
        <v>3.2068280297034795</v>
      </c>
      <c r="AJ114" s="42">
        <v>0</v>
      </c>
      <c r="AK114" s="42">
        <v>19.548694735660121</v>
      </c>
      <c r="AL114" s="42">
        <v>24.143250632919045</v>
      </c>
      <c r="AM114" s="42">
        <v>27.491210174171666</v>
      </c>
      <c r="AN114" s="42">
        <v>3.5086283860643217</v>
      </c>
      <c r="AO114" s="42">
        <v>0</v>
      </c>
      <c r="AP114" s="42">
        <v>0</v>
      </c>
      <c r="AQ114" s="42">
        <v>30.999838560235986</v>
      </c>
      <c r="AR114" s="42">
        <v>1.3877278675554459</v>
      </c>
      <c r="AS114" s="244">
        <v>22.33855735335473</v>
      </c>
      <c r="AT114" s="42">
        <v>27.491210174171666</v>
      </c>
      <c r="AU114" s="42">
        <v>4.1531709643716495</v>
      </c>
      <c r="AV114" s="42">
        <v>0</v>
      </c>
      <c r="AW114" s="42">
        <v>0</v>
      </c>
      <c r="AX114" s="42">
        <v>31.644381138543316</v>
      </c>
      <c r="AY114" s="42">
        <v>3.2068280297034795</v>
      </c>
      <c r="AZ114" s="244">
        <v>9.8678135669998266</v>
      </c>
      <c r="BA114" s="42">
        <v>27.491210174171666</v>
      </c>
      <c r="BB114" s="42">
        <v>7.6617993504359712</v>
      </c>
      <c r="BC114" s="42">
        <v>0</v>
      </c>
      <c r="BD114" s="42">
        <v>0</v>
      </c>
      <c r="BE114" s="42">
        <v>35.15300952460764</v>
      </c>
      <c r="BF114" s="42">
        <v>4.5945558972589255</v>
      </c>
      <c r="BG114" s="42">
        <v>-4.2727805139125801</v>
      </c>
      <c r="BH114" s="244">
        <v>7.6510135714269225</v>
      </c>
      <c r="BI114" s="42">
        <v>1.9331548609102542</v>
      </c>
      <c r="BJ114" s="42">
        <v>4.4672268523690546</v>
      </c>
      <c r="BK114" s="42">
        <v>0</v>
      </c>
      <c r="BL114" s="42">
        <v>27.232035283158393</v>
      </c>
      <c r="BM114" s="42">
        <v>33.632416996437705</v>
      </c>
      <c r="BN114" s="42">
        <v>27.491210174171666</v>
      </c>
      <c r="BO114" s="42">
        <v>0</v>
      </c>
      <c r="BP114" s="42">
        <v>7.6617993504359712</v>
      </c>
      <c r="BQ114" s="42">
        <v>0</v>
      </c>
      <c r="BR114" s="42">
        <v>0</v>
      </c>
      <c r="BS114" s="42">
        <v>0</v>
      </c>
      <c r="BT114" s="42">
        <v>0</v>
      </c>
      <c r="BU114" s="42">
        <v>0</v>
      </c>
      <c r="BV114" s="42">
        <v>0</v>
      </c>
      <c r="BW114" s="42">
        <v>0</v>
      </c>
      <c r="BX114" s="42">
        <v>24.143250632919045</v>
      </c>
      <c r="BY114" s="42"/>
      <c r="BZ114" s="42">
        <v>0</v>
      </c>
      <c r="CA114" s="42">
        <v>0</v>
      </c>
      <c r="CB114" s="42">
        <v>35.153009524607633</v>
      </c>
      <c r="CC114" s="42">
        <v>24.143250632919045</v>
      </c>
      <c r="CD114" s="244">
        <v>1.4560180838564012</v>
      </c>
      <c r="CE114" s="42">
        <v>22.959254769245824</v>
      </c>
      <c r="CF114" s="42">
        <v>0.50180558805725817</v>
      </c>
      <c r="CG114" s="42">
        <v>0</v>
      </c>
      <c r="CH114" s="42">
        <v>0.50180558805725817</v>
      </c>
      <c r="CI114" s="42">
        <v>2.5090041972928488E-2</v>
      </c>
      <c r="CJ114" s="42">
        <v>0</v>
      </c>
      <c r="CK114" s="42">
        <v>2.5090041972928488E-2</v>
      </c>
      <c r="CL114" s="42"/>
      <c r="CM114" s="42">
        <v>0</v>
      </c>
      <c r="CN114" s="42" t="s">
        <v>785</v>
      </c>
      <c r="CO114" s="42">
        <v>0</v>
      </c>
      <c r="CP114" s="42">
        <v>0</v>
      </c>
      <c r="CQ114" s="42">
        <v>0</v>
      </c>
      <c r="CR114" s="42">
        <v>0</v>
      </c>
      <c r="CS114" s="42">
        <v>0</v>
      </c>
      <c r="CT114" s="42">
        <v>0</v>
      </c>
      <c r="CU114" s="42">
        <v>0</v>
      </c>
      <c r="CV114" s="42">
        <v>9999</v>
      </c>
      <c r="CW114" s="244">
        <v>9999</v>
      </c>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row>
    <row r="115" spans="1:131">
      <c r="A115" s="18" t="s">
        <v>485</v>
      </c>
      <c r="B115" s="18" t="s">
        <v>532</v>
      </c>
      <c r="C115" s="42">
        <v>5</v>
      </c>
      <c r="D115" s="42">
        <v>19.083214337242858</v>
      </c>
      <c r="E115" s="42">
        <v>0</v>
      </c>
      <c r="F115" s="42">
        <v>4.8039341647573179</v>
      </c>
      <c r="G115" s="42">
        <v>0</v>
      </c>
      <c r="H115" s="42">
        <v>0</v>
      </c>
      <c r="I115" s="42" t="s">
        <v>920</v>
      </c>
      <c r="J115" s="42"/>
      <c r="K115" s="42"/>
      <c r="L115" s="42">
        <v>20.510549241969429</v>
      </c>
      <c r="M115" s="42">
        <v>3.8557036907676118E-3</v>
      </c>
      <c r="N115" s="42">
        <v>3.8278749505932098E-3</v>
      </c>
      <c r="O115" s="42">
        <v>0</v>
      </c>
      <c r="P115" s="42">
        <v>0</v>
      </c>
      <c r="Q115" s="42">
        <v>0</v>
      </c>
      <c r="R115" s="42">
        <v>0.95796864581758445</v>
      </c>
      <c r="S115" s="42">
        <v>2.2137198342759179</v>
      </c>
      <c r="T115" s="42">
        <v>0</v>
      </c>
      <c r="U115" s="42">
        <v>13.494747105144114</v>
      </c>
      <c r="V115" s="42" t="s">
        <v>752</v>
      </c>
      <c r="W115" s="42" t="s">
        <v>752</v>
      </c>
      <c r="X115" s="42" t="s">
        <v>752</v>
      </c>
      <c r="Y115" s="42" t="s">
        <v>752</v>
      </c>
      <c r="Z115" s="42">
        <v>0</v>
      </c>
      <c r="AA115" s="42">
        <v>0</v>
      </c>
      <c r="AB115" s="42">
        <v>0</v>
      </c>
      <c r="AC115" s="42">
        <v>0</v>
      </c>
      <c r="AD115" s="42">
        <v>0</v>
      </c>
      <c r="AE115" s="42">
        <v>0</v>
      </c>
      <c r="AF115" s="42">
        <v>0</v>
      </c>
      <c r="AG115" s="42">
        <v>0</v>
      </c>
      <c r="AH115" s="42">
        <v>0.95796864581758445</v>
      </c>
      <c r="AI115" s="42">
        <v>2.2137198342759179</v>
      </c>
      <c r="AJ115" s="42">
        <v>0</v>
      </c>
      <c r="AK115" s="42">
        <v>13.494747105144114</v>
      </c>
      <c r="AL115" s="42">
        <v>16.666435585237615</v>
      </c>
      <c r="AM115" s="42">
        <v>10.674889057115067</v>
      </c>
      <c r="AN115" s="42">
        <v>1.3624070576227332</v>
      </c>
      <c r="AO115" s="42">
        <v>0</v>
      </c>
      <c r="AP115" s="42">
        <v>0</v>
      </c>
      <c r="AQ115" s="42">
        <v>12.037296114737799</v>
      </c>
      <c r="AR115" s="42">
        <v>0.95796864581758445</v>
      </c>
      <c r="AS115" s="244">
        <v>12.565438511262018</v>
      </c>
      <c r="AT115" s="42">
        <v>10.674889057115067</v>
      </c>
      <c r="AU115" s="42">
        <v>1.6126841633749518</v>
      </c>
      <c r="AV115" s="42">
        <v>0</v>
      </c>
      <c r="AW115" s="42">
        <v>0</v>
      </c>
      <c r="AX115" s="42">
        <v>12.287573220490019</v>
      </c>
      <c r="AY115" s="42">
        <v>2.2137198342759179</v>
      </c>
      <c r="AZ115" s="244">
        <v>5.5506451314373946</v>
      </c>
      <c r="BA115" s="42">
        <v>10.674889057115067</v>
      </c>
      <c r="BB115" s="42">
        <v>2.975091220997685</v>
      </c>
      <c r="BC115" s="42">
        <v>0</v>
      </c>
      <c r="BD115" s="42">
        <v>0</v>
      </c>
      <c r="BE115" s="42">
        <v>13.649980278112752</v>
      </c>
      <c r="BF115" s="42">
        <v>3.1716884800935023</v>
      </c>
      <c r="BG115" s="42">
        <v>0.70529415197133771</v>
      </c>
      <c r="BH115" s="244">
        <v>4.3036951339276381</v>
      </c>
      <c r="BI115" s="42">
        <v>3.4367197527293425</v>
      </c>
      <c r="BJ115" s="42">
        <v>7.9417366264338778</v>
      </c>
      <c r="BK115" s="42">
        <v>0</v>
      </c>
      <c r="BL115" s="42">
        <v>48.412507170059385</v>
      </c>
      <c r="BM115" s="42">
        <v>59.790963549222596</v>
      </c>
      <c r="BN115" s="42">
        <v>10.674889057115067</v>
      </c>
      <c r="BO115" s="42">
        <v>0</v>
      </c>
      <c r="BP115" s="42">
        <v>2.975091220997685</v>
      </c>
      <c r="BQ115" s="42">
        <v>0</v>
      </c>
      <c r="BR115" s="42">
        <v>0</v>
      </c>
      <c r="BS115" s="42">
        <v>0</v>
      </c>
      <c r="BT115" s="42">
        <v>0</v>
      </c>
      <c r="BU115" s="42">
        <v>0</v>
      </c>
      <c r="BV115" s="42">
        <v>0</v>
      </c>
      <c r="BW115" s="42">
        <v>0</v>
      </c>
      <c r="BX115" s="42">
        <v>16.666435585237615</v>
      </c>
      <c r="BY115" s="42"/>
      <c r="BZ115" s="42">
        <v>0</v>
      </c>
      <c r="CA115" s="42">
        <v>0</v>
      </c>
      <c r="CB115" s="42">
        <v>13.649980278112752</v>
      </c>
      <c r="CC115" s="42">
        <v>16.666435585237615</v>
      </c>
      <c r="CD115" s="245">
        <v>0.81901017216922467</v>
      </c>
      <c r="CE115" s="42">
        <v>49.117801322030715</v>
      </c>
      <c r="CF115" s="42">
        <v>0.19485206168858768</v>
      </c>
      <c r="CG115" s="42">
        <v>0</v>
      </c>
      <c r="CH115" s="42">
        <v>0.19485206168858768</v>
      </c>
      <c r="CI115" s="42">
        <v>9.7425108899354788E-3</v>
      </c>
      <c r="CJ115" s="42">
        <v>0</v>
      </c>
      <c r="CK115" s="42">
        <v>9.7425108899354788E-3</v>
      </c>
      <c r="CL115" s="42"/>
      <c r="CM115" s="42">
        <v>0</v>
      </c>
      <c r="CN115" s="42" t="s">
        <v>785</v>
      </c>
      <c r="CO115" s="42">
        <v>0</v>
      </c>
      <c r="CP115" s="42">
        <v>0</v>
      </c>
      <c r="CQ115" s="42">
        <v>0</v>
      </c>
      <c r="CR115" s="42">
        <v>0</v>
      </c>
      <c r="CS115" s="42">
        <v>0</v>
      </c>
      <c r="CT115" s="42">
        <v>0</v>
      </c>
      <c r="CU115" s="42">
        <v>0</v>
      </c>
      <c r="CV115" s="42">
        <v>9999</v>
      </c>
      <c r="CW115" s="244">
        <v>9999</v>
      </c>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row>
    <row r="116" spans="1:131">
      <c r="A116" s="18" t="s">
        <v>487</v>
      </c>
      <c r="B116" s="18" t="s">
        <v>533</v>
      </c>
      <c r="C116" s="42">
        <v>5</v>
      </c>
      <c r="D116" s="42">
        <v>129.1958899080378</v>
      </c>
      <c r="E116" s="42">
        <v>0</v>
      </c>
      <c r="F116" s="42">
        <v>21.682180597992456</v>
      </c>
      <c r="G116" s="42">
        <v>0</v>
      </c>
      <c r="H116" s="42">
        <v>0</v>
      </c>
      <c r="I116" s="42" t="s">
        <v>920</v>
      </c>
      <c r="J116" s="42"/>
      <c r="K116" s="42"/>
      <c r="L116" s="42">
        <v>138.85913635877156</v>
      </c>
      <c r="M116" s="42">
        <v>2.6103624931689513E-2</v>
      </c>
      <c r="N116" s="42">
        <v>2.591522067293554E-2</v>
      </c>
      <c r="O116" s="42">
        <v>0</v>
      </c>
      <c r="P116" s="42">
        <v>0</v>
      </c>
      <c r="Q116" s="42">
        <v>0</v>
      </c>
      <c r="R116" s="42">
        <v>4.3237164526963126</v>
      </c>
      <c r="S116" s="42">
        <v>9.9914510886210532</v>
      </c>
      <c r="T116" s="42">
        <v>0</v>
      </c>
      <c r="U116" s="42">
        <v>60.907484120934399</v>
      </c>
      <c r="V116" s="42" t="s">
        <v>752</v>
      </c>
      <c r="W116" s="42" t="s">
        <v>752</v>
      </c>
      <c r="X116" s="42" t="s">
        <v>752</v>
      </c>
      <c r="Y116" s="42" t="s">
        <v>752</v>
      </c>
      <c r="Z116" s="42">
        <v>0</v>
      </c>
      <c r="AA116" s="42">
        <v>0</v>
      </c>
      <c r="AB116" s="42">
        <v>0</v>
      </c>
      <c r="AC116" s="42">
        <v>0</v>
      </c>
      <c r="AD116" s="42">
        <v>0</v>
      </c>
      <c r="AE116" s="42">
        <v>0</v>
      </c>
      <c r="AF116" s="42">
        <v>0</v>
      </c>
      <c r="AG116" s="42">
        <v>0</v>
      </c>
      <c r="AH116" s="42">
        <v>4.3237164526963126</v>
      </c>
      <c r="AI116" s="42">
        <v>9.9914510886210532</v>
      </c>
      <c r="AJ116" s="42">
        <v>0</v>
      </c>
      <c r="AK116" s="42">
        <v>60.907484120934399</v>
      </c>
      <c r="AL116" s="42">
        <v>75.222651662251764</v>
      </c>
      <c r="AM116" s="42">
        <v>72.270413517915472</v>
      </c>
      <c r="AN116" s="42">
        <v>9.2236763218156774</v>
      </c>
      <c r="AO116" s="42">
        <v>0</v>
      </c>
      <c r="AP116" s="42">
        <v>0</v>
      </c>
      <c r="AQ116" s="42">
        <v>81.494089839731146</v>
      </c>
      <c r="AR116" s="42">
        <v>4.3237164526963126</v>
      </c>
      <c r="AS116" s="244">
        <v>18.848157766893021</v>
      </c>
      <c r="AT116" s="42">
        <v>72.270413517915472</v>
      </c>
      <c r="AU116" s="42">
        <v>10.918085493658459</v>
      </c>
      <c r="AV116" s="42">
        <v>0</v>
      </c>
      <c r="AW116" s="42">
        <v>0</v>
      </c>
      <c r="AX116" s="42">
        <v>83.188499011573924</v>
      </c>
      <c r="AY116" s="42">
        <v>9.9914510886210532</v>
      </c>
      <c r="AZ116" s="244">
        <v>8.3259676971560879</v>
      </c>
      <c r="BA116" s="42">
        <v>72.270413517915472</v>
      </c>
      <c r="BB116" s="42">
        <v>20.141761815474137</v>
      </c>
      <c r="BC116" s="42">
        <v>0</v>
      </c>
      <c r="BD116" s="42">
        <v>0</v>
      </c>
      <c r="BE116" s="42">
        <v>92.412175333389598</v>
      </c>
      <c r="BF116" s="42">
        <v>14.315167541317365</v>
      </c>
      <c r="BG116" s="42">
        <v>-3.0875246410830695</v>
      </c>
      <c r="BH116" s="244">
        <v>6.4555427008914554</v>
      </c>
      <c r="BI116" s="42">
        <v>2.2911465018195605</v>
      </c>
      <c r="BJ116" s="42">
        <v>5.2944910842892492</v>
      </c>
      <c r="BK116" s="42">
        <v>0</v>
      </c>
      <c r="BL116" s="42">
        <v>32.275004780039588</v>
      </c>
      <c r="BM116" s="42">
        <v>39.860642366148397</v>
      </c>
      <c r="BN116" s="42">
        <v>72.270413517915472</v>
      </c>
      <c r="BO116" s="42">
        <v>0</v>
      </c>
      <c r="BP116" s="42">
        <v>20.141761815474137</v>
      </c>
      <c r="BQ116" s="42">
        <v>0</v>
      </c>
      <c r="BR116" s="42">
        <v>0</v>
      </c>
      <c r="BS116" s="42">
        <v>0</v>
      </c>
      <c r="BT116" s="42">
        <v>0</v>
      </c>
      <c r="BU116" s="42">
        <v>0</v>
      </c>
      <c r="BV116" s="42">
        <v>0</v>
      </c>
      <c r="BW116" s="42">
        <v>0</v>
      </c>
      <c r="BX116" s="42">
        <v>75.222651662251764</v>
      </c>
      <c r="BY116" s="42"/>
      <c r="BZ116" s="42">
        <v>0</v>
      </c>
      <c r="CA116" s="42">
        <v>0</v>
      </c>
      <c r="CB116" s="42">
        <v>92.412175333389598</v>
      </c>
      <c r="CC116" s="42">
        <v>75.222651662251764</v>
      </c>
      <c r="CD116" s="244">
        <v>1.2285152582538363</v>
      </c>
      <c r="CE116" s="42">
        <v>29.187480138956513</v>
      </c>
      <c r="CF116" s="42">
        <v>1.3191742787871501</v>
      </c>
      <c r="CG116" s="42">
        <v>0</v>
      </c>
      <c r="CH116" s="42">
        <v>1.3191742787871501</v>
      </c>
      <c r="CI116" s="42">
        <v>6.5958089770416478E-2</v>
      </c>
      <c r="CJ116" s="42">
        <v>0</v>
      </c>
      <c r="CK116" s="42">
        <v>6.5958089770416478E-2</v>
      </c>
      <c r="CL116" s="42"/>
      <c r="CM116" s="42">
        <v>0</v>
      </c>
      <c r="CN116" s="42" t="s">
        <v>785</v>
      </c>
      <c r="CO116" s="42">
        <v>0</v>
      </c>
      <c r="CP116" s="42">
        <v>0</v>
      </c>
      <c r="CQ116" s="42">
        <v>0</v>
      </c>
      <c r="CR116" s="42">
        <v>0</v>
      </c>
      <c r="CS116" s="42">
        <v>0</v>
      </c>
      <c r="CT116" s="42">
        <v>0</v>
      </c>
      <c r="CU116" s="42">
        <v>0</v>
      </c>
      <c r="CV116" s="42">
        <v>9999</v>
      </c>
      <c r="CW116" s="244">
        <v>9999</v>
      </c>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row>
    <row r="117" spans="1:131">
      <c r="A117" s="18" t="s">
        <v>489</v>
      </c>
      <c r="B117" s="18" t="s">
        <v>534</v>
      </c>
      <c r="C117" s="42">
        <v>5</v>
      </c>
      <c r="D117" s="42">
        <v>0.46322799703184703</v>
      </c>
      <c r="E117" s="42">
        <v>0</v>
      </c>
      <c r="F117" s="42">
        <v>9.3288971624469197E-2</v>
      </c>
      <c r="G117" s="42">
        <v>0</v>
      </c>
      <c r="H117" s="42">
        <v>0</v>
      </c>
      <c r="I117" s="42" t="s">
        <v>920</v>
      </c>
      <c r="J117" s="42"/>
      <c r="K117" s="42"/>
      <c r="L117" s="42">
        <v>0.49787527800483117</v>
      </c>
      <c r="M117" s="42">
        <v>9.3593766032218245E-5</v>
      </c>
      <c r="N117" s="42">
        <v>9.2918248200521015E-5</v>
      </c>
      <c r="O117" s="42">
        <v>0</v>
      </c>
      <c r="P117" s="42">
        <v>0</v>
      </c>
      <c r="Q117" s="42">
        <v>0</v>
      </c>
      <c r="R117" s="42">
        <v>1.8603067142849247E-2</v>
      </c>
      <c r="S117" s="42">
        <v>4.2988858656584729E-2</v>
      </c>
      <c r="T117" s="42">
        <v>0</v>
      </c>
      <c r="U117" s="42">
        <v>0.26205835396471844</v>
      </c>
      <c r="V117" s="42" t="s">
        <v>752</v>
      </c>
      <c r="W117" s="42" t="s">
        <v>752</v>
      </c>
      <c r="X117" s="42" t="s">
        <v>752</v>
      </c>
      <c r="Y117" s="42" t="s">
        <v>752</v>
      </c>
      <c r="Z117" s="42">
        <v>0</v>
      </c>
      <c r="AA117" s="42">
        <v>0</v>
      </c>
      <c r="AB117" s="42">
        <v>0</v>
      </c>
      <c r="AC117" s="42">
        <v>0</v>
      </c>
      <c r="AD117" s="42">
        <v>0</v>
      </c>
      <c r="AE117" s="42">
        <v>0</v>
      </c>
      <c r="AF117" s="42">
        <v>0</v>
      </c>
      <c r="AG117" s="42">
        <v>0</v>
      </c>
      <c r="AH117" s="42">
        <v>1.8603067142849247E-2</v>
      </c>
      <c r="AI117" s="42">
        <v>4.2988858656584729E-2</v>
      </c>
      <c r="AJ117" s="42">
        <v>0</v>
      </c>
      <c r="AK117" s="42">
        <v>0.26205835396471844</v>
      </c>
      <c r="AL117" s="42">
        <v>0.32365027976415239</v>
      </c>
      <c r="AM117" s="42">
        <v>0.25912340495039654</v>
      </c>
      <c r="AN117" s="42">
        <v>3.3071215430042322E-2</v>
      </c>
      <c r="AO117" s="42">
        <v>0</v>
      </c>
      <c r="AP117" s="42">
        <v>0</v>
      </c>
      <c r="AQ117" s="42">
        <v>0.29219462038043886</v>
      </c>
      <c r="AR117" s="42">
        <v>1.8603067142849247E-2</v>
      </c>
      <c r="AS117" s="244">
        <v>15.706798139077527</v>
      </c>
      <c r="AT117" s="42">
        <v>0.25912340495039654</v>
      </c>
      <c r="AU117" s="42">
        <v>3.9146468809881395E-2</v>
      </c>
      <c r="AV117" s="42">
        <v>0</v>
      </c>
      <c r="AW117" s="42">
        <v>0</v>
      </c>
      <c r="AX117" s="42">
        <v>0.29826987376027791</v>
      </c>
      <c r="AY117" s="42">
        <v>4.2988858656584729E-2</v>
      </c>
      <c r="AZ117" s="244">
        <v>6.9383064142967434</v>
      </c>
      <c r="BA117" s="42">
        <v>0.25912340495039654</v>
      </c>
      <c r="BB117" s="42">
        <v>7.2217684239923724E-2</v>
      </c>
      <c r="BC117" s="42">
        <v>0</v>
      </c>
      <c r="BD117" s="42">
        <v>0</v>
      </c>
      <c r="BE117" s="42">
        <v>0.33134108919032024</v>
      </c>
      <c r="BF117" s="42">
        <v>6.1591925799433976E-2</v>
      </c>
      <c r="BG117" s="42">
        <v>-1.5703971238613093</v>
      </c>
      <c r="BH117" s="244">
        <v>5.3796189174095481</v>
      </c>
      <c r="BI117" s="42">
        <v>2.7493758021834727</v>
      </c>
      <c r="BJ117" s="42">
        <v>6.3533893011471001</v>
      </c>
      <c r="BK117" s="42">
        <v>0</v>
      </c>
      <c r="BL117" s="42">
        <v>38.730005736047502</v>
      </c>
      <c r="BM117" s="42">
        <v>47.832770839378071</v>
      </c>
      <c r="BN117" s="42">
        <v>0.25912340495039654</v>
      </c>
      <c r="BO117" s="42">
        <v>0</v>
      </c>
      <c r="BP117" s="42">
        <v>7.2217684239923724E-2</v>
      </c>
      <c r="BQ117" s="42">
        <v>0</v>
      </c>
      <c r="BR117" s="42">
        <v>0</v>
      </c>
      <c r="BS117" s="42">
        <v>0</v>
      </c>
      <c r="BT117" s="42">
        <v>0</v>
      </c>
      <c r="BU117" s="42">
        <v>0</v>
      </c>
      <c r="BV117" s="42">
        <v>0</v>
      </c>
      <c r="BW117" s="42">
        <v>0</v>
      </c>
      <c r="BX117" s="42">
        <v>0.32365027976415239</v>
      </c>
      <c r="BY117" s="42"/>
      <c r="BZ117" s="42">
        <v>0</v>
      </c>
      <c r="CA117" s="42">
        <v>0</v>
      </c>
      <c r="CB117" s="42">
        <v>0.33134108919032024</v>
      </c>
      <c r="CC117" s="42">
        <v>0.32365027976415239</v>
      </c>
      <c r="CD117" s="244">
        <v>1.0237627152115309</v>
      </c>
      <c r="CE117" s="42">
        <v>37.15960861218619</v>
      </c>
      <c r="CF117" s="42">
        <v>4.7298598998270838E-3</v>
      </c>
      <c r="CG117" s="42">
        <v>0</v>
      </c>
      <c r="CH117" s="42">
        <v>4.7298598998270838E-3</v>
      </c>
      <c r="CI117" s="42">
        <v>2.3649075705229472E-4</v>
      </c>
      <c r="CJ117" s="42">
        <v>0</v>
      </c>
      <c r="CK117" s="42">
        <v>2.3649075705229472E-4</v>
      </c>
      <c r="CL117" s="42"/>
      <c r="CM117" s="42">
        <v>0</v>
      </c>
      <c r="CN117" s="42" t="s">
        <v>785</v>
      </c>
      <c r="CO117" s="42">
        <v>0</v>
      </c>
      <c r="CP117" s="42">
        <v>0</v>
      </c>
      <c r="CQ117" s="42">
        <v>0</v>
      </c>
      <c r="CR117" s="42">
        <v>0</v>
      </c>
      <c r="CS117" s="42">
        <v>0</v>
      </c>
      <c r="CT117" s="42">
        <v>0</v>
      </c>
      <c r="CU117" s="42">
        <v>0</v>
      </c>
      <c r="CV117" s="42">
        <v>9999</v>
      </c>
      <c r="CW117" s="244">
        <v>9999</v>
      </c>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row>
    <row r="118" spans="1:131">
      <c r="A118" s="18" t="s">
        <v>491</v>
      </c>
      <c r="B118" s="18" t="s">
        <v>535</v>
      </c>
      <c r="C118" s="42">
        <v>5</v>
      </c>
      <c r="D118" s="42">
        <v>6.460353654440504</v>
      </c>
      <c r="E118" s="42">
        <v>0</v>
      </c>
      <c r="F118" s="42">
        <v>0.93675127989387297</v>
      </c>
      <c r="G118" s="42">
        <v>0</v>
      </c>
      <c r="H118" s="42">
        <v>0</v>
      </c>
      <c r="I118" s="42" t="s">
        <v>920</v>
      </c>
      <c r="J118" s="42"/>
      <c r="K118" s="42"/>
      <c r="L118" s="42">
        <v>6.9435577994500211</v>
      </c>
      <c r="M118" s="42">
        <v>1.3052942229170163E-3</v>
      </c>
      <c r="N118" s="42">
        <v>1.2958731945668129E-3</v>
      </c>
      <c r="O118" s="42">
        <v>0</v>
      </c>
      <c r="P118" s="42">
        <v>0</v>
      </c>
      <c r="Q118" s="42">
        <v>0</v>
      </c>
      <c r="R118" s="42">
        <v>0.18680071880484558</v>
      </c>
      <c r="S118" s="42">
        <v>0.43166804892905447</v>
      </c>
      <c r="T118" s="42">
        <v>0</v>
      </c>
      <c r="U118" s="42">
        <v>2.6314310706684063</v>
      </c>
      <c r="V118" s="42" t="s">
        <v>752</v>
      </c>
      <c r="W118" s="42" t="s">
        <v>752</v>
      </c>
      <c r="X118" s="42" t="s">
        <v>752</v>
      </c>
      <c r="Y118" s="42" t="s">
        <v>752</v>
      </c>
      <c r="Z118" s="42">
        <v>0</v>
      </c>
      <c r="AA118" s="42">
        <v>0</v>
      </c>
      <c r="AB118" s="42">
        <v>0</v>
      </c>
      <c r="AC118" s="42">
        <v>0</v>
      </c>
      <c r="AD118" s="42">
        <v>0</v>
      </c>
      <c r="AE118" s="42">
        <v>0</v>
      </c>
      <c r="AF118" s="42">
        <v>0</v>
      </c>
      <c r="AG118" s="42">
        <v>0</v>
      </c>
      <c r="AH118" s="42">
        <v>0.18680071880484558</v>
      </c>
      <c r="AI118" s="42">
        <v>0.43166804892905447</v>
      </c>
      <c r="AJ118" s="42">
        <v>0</v>
      </c>
      <c r="AK118" s="42">
        <v>2.6314310706684063</v>
      </c>
      <c r="AL118" s="42">
        <v>3.2498998384023063</v>
      </c>
      <c r="AM118" s="42">
        <v>3.6138334618131296</v>
      </c>
      <c r="AN118" s="42">
        <v>0.46122373610672424</v>
      </c>
      <c r="AO118" s="42">
        <v>0</v>
      </c>
      <c r="AP118" s="42">
        <v>0</v>
      </c>
      <c r="AQ118" s="42">
        <v>4.075057197919854</v>
      </c>
      <c r="AR118" s="42">
        <v>0.18680071880484558</v>
      </c>
      <c r="AS118" s="244">
        <v>21.814997415385466</v>
      </c>
      <c r="AT118" s="42">
        <v>3.6138334618131296</v>
      </c>
      <c r="AU118" s="42">
        <v>0.54595152809162251</v>
      </c>
      <c r="AV118" s="42">
        <v>0</v>
      </c>
      <c r="AW118" s="42">
        <v>0</v>
      </c>
      <c r="AX118" s="42">
        <v>4.1597849899047521</v>
      </c>
      <c r="AY118" s="42">
        <v>0.43166804892905447</v>
      </c>
      <c r="AZ118" s="244">
        <v>9.6365366865232627</v>
      </c>
      <c r="BA118" s="42">
        <v>3.6138334618131296</v>
      </c>
      <c r="BB118" s="42">
        <v>1.0071752641983467</v>
      </c>
      <c r="BC118" s="42">
        <v>0</v>
      </c>
      <c r="BD118" s="42">
        <v>0</v>
      </c>
      <c r="BE118" s="42">
        <v>4.6210087260114765</v>
      </c>
      <c r="BF118" s="42">
        <v>0.61846876773390003</v>
      </c>
      <c r="BG118" s="42">
        <v>-4.1191713527938765</v>
      </c>
      <c r="BH118" s="244">
        <v>7.4716929408466006</v>
      </c>
      <c r="BI118" s="42">
        <v>1.9795505775721003</v>
      </c>
      <c r="BJ118" s="42">
        <v>4.5744402968259115</v>
      </c>
      <c r="BK118" s="42">
        <v>0</v>
      </c>
      <c r="BL118" s="42">
        <v>27.885604129954196</v>
      </c>
      <c r="BM118" s="42">
        <v>34.439595004352206</v>
      </c>
      <c r="BN118" s="42">
        <v>3.6138334618131296</v>
      </c>
      <c r="BO118" s="42">
        <v>0</v>
      </c>
      <c r="BP118" s="42">
        <v>1.0071752641983467</v>
      </c>
      <c r="BQ118" s="42">
        <v>0</v>
      </c>
      <c r="BR118" s="42">
        <v>0</v>
      </c>
      <c r="BS118" s="42">
        <v>0</v>
      </c>
      <c r="BT118" s="42">
        <v>0</v>
      </c>
      <c r="BU118" s="42">
        <v>0</v>
      </c>
      <c r="BV118" s="42">
        <v>0</v>
      </c>
      <c r="BW118" s="42">
        <v>0</v>
      </c>
      <c r="BX118" s="42">
        <v>3.2498998384023063</v>
      </c>
      <c r="BY118" s="42"/>
      <c r="BZ118" s="42">
        <v>0</v>
      </c>
      <c r="CA118" s="42">
        <v>0</v>
      </c>
      <c r="CB118" s="42">
        <v>4.6210087260114765</v>
      </c>
      <c r="CC118" s="42">
        <v>3.2498998384023063</v>
      </c>
      <c r="CD118" s="244">
        <v>1.4218926600160162</v>
      </c>
      <c r="CE118" s="42">
        <v>23.766432777160322</v>
      </c>
      <c r="CF118" s="42">
        <v>6.5964423317744214E-2</v>
      </c>
      <c r="CG118" s="42">
        <v>0</v>
      </c>
      <c r="CH118" s="42">
        <v>6.5964423317744214E-2</v>
      </c>
      <c r="CI118" s="42">
        <v>3.2981899547387594E-3</v>
      </c>
      <c r="CJ118" s="42">
        <v>0</v>
      </c>
      <c r="CK118" s="42">
        <v>3.2981899547387594E-3</v>
      </c>
      <c r="CL118" s="42"/>
      <c r="CM118" s="42">
        <v>0</v>
      </c>
      <c r="CN118" s="42" t="s">
        <v>785</v>
      </c>
      <c r="CO118" s="42">
        <v>0</v>
      </c>
      <c r="CP118" s="42">
        <v>0</v>
      </c>
      <c r="CQ118" s="42">
        <v>0</v>
      </c>
      <c r="CR118" s="42">
        <v>0</v>
      </c>
      <c r="CS118" s="42">
        <v>0</v>
      </c>
      <c r="CT118" s="42">
        <v>0</v>
      </c>
      <c r="CU118" s="42">
        <v>0</v>
      </c>
      <c r="CV118" s="42">
        <v>9999</v>
      </c>
      <c r="CW118" s="244">
        <v>9999</v>
      </c>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row>
    <row r="119" spans="1:131">
      <c r="A119" s="18" t="s">
        <v>493</v>
      </c>
      <c r="B119" s="18" t="s">
        <v>536</v>
      </c>
      <c r="C119" s="42">
        <v>5</v>
      </c>
      <c r="D119" s="42">
        <v>0</v>
      </c>
      <c r="E119" s="42">
        <v>0</v>
      </c>
      <c r="F119" s="42">
        <v>0</v>
      </c>
      <c r="G119" s="42">
        <v>0</v>
      </c>
      <c r="H119" s="42">
        <v>0</v>
      </c>
      <c r="I119" s="42" t="s">
        <v>920</v>
      </c>
      <c r="J119" s="42"/>
      <c r="K119" s="42"/>
      <c r="L119" s="42">
        <v>0</v>
      </c>
      <c r="M119" s="42">
        <v>0</v>
      </c>
      <c r="N119" s="42">
        <v>0</v>
      </c>
      <c r="O119" s="42">
        <v>0</v>
      </c>
      <c r="P119" s="42">
        <v>0</v>
      </c>
      <c r="Q119" s="42">
        <v>0</v>
      </c>
      <c r="R119" s="42">
        <v>0</v>
      </c>
      <c r="S119" s="42">
        <v>0</v>
      </c>
      <c r="T119" s="42">
        <v>0</v>
      </c>
      <c r="U119" s="42">
        <v>0</v>
      </c>
      <c r="V119" s="42" t="s">
        <v>752</v>
      </c>
      <c r="W119" s="42" t="s">
        <v>752</v>
      </c>
      <c r="X119" s="42" t="s">
        <v>752</v>
      </c>
      <c r="Y119" s="42" t="s">
        <v>752</v>
      </c>
      <c r="Z119" s="42">
        <v>0</v>
      </c>
      <c r="AA119" s="42">
        <v>0</v>
      </c>
      <c r="AB119" s="42">
        <v>0</v>
      </c>
      <c r="AC119" s="42">
        <v>0</v>
      </c>
      <c r="AD119" s="42">
        <v>0</v>
      </c>
      <c r="AE119" s="42">
        <v>0</v>
      </c>
      <c r="AF119" s="42">
        <v>0</v>
      </c>
      <c r="AG119" s="42">
        <v>0</v>
      </c>
      <c r="AH119" s="42">
        <v>0</v>
      </c>
      <c r="AI119" s="42">
        <v>0</v>
      </c>
      <c r="AJ119" s="42">
        <v>0</v>
      </c>
      <c r="AK119" s="42">
        <v>0</v>
      </c>
      <c r="AL119" s="42">
        <v>0</v>
      </c>
      <c r="AM119" s="42">
        <v>0</v>
      </c>
      <c r="AN119" s="42">
        <v>0</v>
      </c>
      <c r="AO119" s="42">
        <v>0</v>
      </c>
      <c r="AP119" s="42">
        <v>0</v>
      </c>
      <c r="AQ119" s="42">
        <v>0</v>
      </c>
      <c r="AR119" s="42">
        <v>0</v>
      </c>
      <c r="AS119" s="244">
        <v>9999</v>
      </c>
      <c r="AT119" s="42">
        <v>0</v>
      </c>
      <c r="AU119" s="42">
        <v>0</v>
      </c>
      <c r="AV119" s="42">
        <v>0</v>
      </c>
      <c r="AW119" s="42">
        <v>0</v>
      </c>
      <c r="AX119" s="42">
        <v>0</v>
      </c>
      <c r="AY119" s="42">
        <v>0</v>
      </c>
      <c r="AZ119" s="244">
        <v>9999</v>
      </c>
      <c r="BA119" s="42">
        <v>0</v>
      </c>
      <c r="BB119" s="42">
        <v>0</v>
      </c>
      <c r="BC119" s="42">
        <v>0</v>
      </c>
      <c r="BD119" s="42">
        <v>0</v>
      </c>
      <c r="BE119" s="42">
        <v>0</v>
      </c>
      <c r="BF119" s="42">
        <v>0</v>
      </c>
      <c r="BG119" s="42">
        <v>9999</v>
      </c>
      <c r="BH119" s="244">
        <v>9999</v>
      </c>
      <c r="BI119" s="42">
        <v>9999</v>
      </c>
      <c r="BJ119" s="42">
        <v>9999</v>
      </c>
      <c r="BK119" s="42">
        <v>9999</v>
      </c>
      <c r="BL119" s="42">
        <v>9999</v>
      </c>
      <c r="BM119" s="42">
        <v>9999</v>
      </c>
      <c r="BN119" s="42">
        <v>0</v>
      </c>
      <c r="BO119" s="42">
        <v>0</v>
      </c>
      <c r="BP119" s="42">
        <v>0</v>
      </c>
      <c r="BQ119" s="42">
        <v>0</v>
      </c>
      <c r="BR119" s="42">
        <v>0</v>
      </c>
      <c r="BS119" s="42">
        <v>0</v>
      </c>
      <c r="BT119" s="42">
        <v>0</v>
      </c>
      <c r="BU119" s="42">
        <v>0</v>
      </c>
      <c r="BV119" s="42">
        <v>0</v>
      </c>
      <c r="BW119" s="42">
        <v>0</v>
      </c>
      <c r="BX119" s="42">
        <v>0</v>
      </c>
      <c r="BY119" s="42"/>
      <c r="BZ119" s="42">
        <v>0</v>
      </c>
      <c r="CA119" s="42">
        <v>0</v>
      </c>
      <c r="CB119" s="42">
        <v>0</v>
      </c>
      <c r="CC119" s="42">
        <v>0</v>
      </c>
      <c r="CD119" s="244">
        <v>9999</v>
      </c>
      <c r="CE119" s="42">
        <v>9999</v>
      </c>
      <c r="CF119" s="42">
        <v>0</v>
      </c>
      <c r="CG119" s="42">
        <v>0</v>
      </c>
      <c r="CH119" s="42">
        <v>0</v>
      </c>
      <c r="CI119" s="42">
        <v>0</v>
      </c>
      <c r="CJ119" s="42">
        <v>0</v>
      </c>
      <c r="CK119" s="42">
        <v>0</v>
      </c>
      <c r="CL119" s="42"/>
      <c r="CM119" s="42">
        <v>0</v>
      </c>
      <c r="CN119" s="42" t="s">
        <v>785</v>
      </c>
      <c r="CO119" s="42">
        <v>0</v>
      </c>
      <c r="CP119" s="42">
        <v>0</v>
      </c>
      <c r="CQ119" s="42">
        <v>0</v>
      </c>
      <c r="CR119" s="42">
        <v>0</v>
      </c>
      <c r="CS119" s="42">
        <v>0</v>
      </c>
      <c r="CT119" s="42">
        <v>0</v>
      </c>
      <c r="CU119" s="42">
        <v>0</v>
      </c>
      <c r="CV119" s="42">
        <v>9999</v>
      </c>
      <c r="CW119" s="244">
        <v>9999</v>
      </c>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row>
    <row r="120" spans="1:131">
      <c r="A120" s="18" t="s">
        <v>495</v>
      </c>
      <c r="B120" s="18" t="s">
        <v>537</v>
      </c>
      <c r="C120" s="42">
        <v>5</v>
      </c>
      <c r="D120" s="42">
        <v>1.8272365692862691</v>
      </c>
      <c r="E120" s="42">
        <v>0</v>
      </c>
      <c r="F120" s="42">
        <v>0.39426979545611474</v>
      </c>
      <c r="G120" s="42">
        <v>0</v>
      </c>
      <c r="H120" s="42">
        <v>0</v>
      </c>
      <c r="I120" s="42" t="s">
        <v>920</v>
      </c>
      <c r="J120" s="42"/>
      <c r="K120" s="42"/>
      <c r="L120" s="42">
        <v>1.9639052923035016</v>
      </c>
      <c r="M120" s="42">
        <v>3.691874261639991E-4</v>
      </c>
      <c r="N120" s="42">
        <v>3.6652279688167771E-4</v>
      </c>
      <c r="O120" s="42">
        <v>0</v>
      </c>
      <c r="P120" s="42">
        <v>0</v>
      </c>
      <c r="Q120" s="42">
        <v>0</v>
      </c>
      <c r="R120" s="42">
        <v>7.8622664067868331E-2</v>
      </c>
      <c r="S120" s="42">
        <v>0.18168501822114416</v>
      </c>
      <c r="T120" s="42">
        <v>0</v>
      </c>
      <c r="U120" s="42">
        <v>1.1075445662661256</v>
      </c>
      <c r="V120" s="42" t="s">
        <v>752</v>
      </c>
      <c r="W120" s="42" t="s">
        <v>752</v>
      </c>
      <c r="X120" s="42" t="s">
        <v>752</v>
      </c>
      <c r="Y120" s="42" t="s">
        <v>752</v>
      </c>
      <c r="Z120" s="42">
        <v>0</v>
      </c>
      <c r="AA120" s="42">
        <v>0</v>
      </c>
      <c r="AB120" s="42">
        <v>0</v>
      </c>
      <c r="AC120" s="42">
        <v>0</v>
      </c>
      <c r="AD120" s="42">
        <v>0</v>
      </c>
      <c r="AE120" s="42">
        <v>0</v>
      </c>
      <c r="AF120" s="42">
        <v>0</v>
      </c>
      <c r="AG120" s="42">
        <v>0</v>
      </c>
      <c r="AH120" s="42">
        <v>7.8622664067868331E-2</v>
      </c>
      <c r="AI120" s="42">
        <v>0.18168501822114416</v>
      </c>
      <c r="AJ120" s="42">
        <v>0</v>
      </c>
      <c r="AK120" s="42">
        <v>1.1075445662661256</v>
      </c>
      <c r="AL120" s="42">
        <v>1.3678522485551381</v>
      </c>
      <c r="AM120" s="42">
        <v>1.0221311417210992</v>
      </c>
      <c r="AN120" s="42">
        <v>0.13045181770471265</v>
      </c>
      <c r="AO120" s="42">
        <v>0</v>
      </c>
      <c r="AP120" s="42">
        <v>0</v>
      </c>
      <c r="AQ120" s="42">
        <v>1.1525829594258119</v>
      </c>
      <c r="AR120" s="42">
        <v>7.8622664067868331E-2</v>
      </c>
      <c r="AS120" s="244">
        <v>14.659678263139035</v>
      </c>
      <c r="AT120" s="42">
        <v>1.0221311417210992</v>
      </c>
      <c r="AU120" s="42">
        <v>0.15441609709726142</v>
      </c>
      <c r="AV120" s="42">
        <v>0</v>
      </c>
      <c r="AW120" s="42">
        <v>0</v>
      </c>
      <c r="AX120" s="42">
        <v>1.1765472388183607</v>
      </c>
      <c r="AY120" s="42">
        <v>0.18168501822114416</v>
      </c>
      <c r="AZ120" s="244">
        <v>6.4757526533436334</v>
      </c>
      <c r="BA120" s="42">
        <v>1.0221311417210992</v>
      </c>
      <c r="BB120" s="42">
        <v>0.28486791480197404</v>
      </c>
      <c r="BC120" s="42">
        <v>0</v>
      </c>
      <c r="BD120" s="42">
        <v>0</v>
      </c>
      <c r="BE120" s="42">
        <v>1.3069990565230734</v>
      </c>
      <c r="BF120" s="42">
        <v>0.26030768228901247</v>
      </c>
      <c r="BG120" s="42">
        <v>-0.9201996164805577</v>
      </c>
      <c r="BH120" s="244">
        <v>5.0209776562489159</v>
      </c>
      <c r="BI120" s="42">
        <v>2.9457597880537221</v>
      </c>
      <c r="BJ120" s="42">
        <v>6.8072028226576089</v>
      </c>
      <c r="BK120" s="42">
        <v>0</v>
      </c>
      <c r="BL120" s="42">
        <v>41.496434717193758</v>
      </c>
      <c r="BM120" s="42">
        <v>51.249397327905093</v>
      </c>
      <c r="BN120" s="42">
        <v>1.0221311417210992</v>
      </c>
      <c r="BO120" s="42">
        <v>0</v>
      </c>
      <c r="BP120" s="42">
        <v>0.28486791480197404</v>
      </c>
      <c r="BQ120" s="42">
        <v>0</v>
      </c>
      <c r="BR120" s="42">
        <v>0</v>
      </c>
      <c r="BS120" s="42">
        <v>0</v>
      </c>
      <c r="BT120" s="42">
        <v>0</v>
      </c>
      <c r="BU120" s="42">
        <v>0</v>
      </c>
      <c r="BV120" s="42">
        <v>0</v>
      </c>
      <c r="BW120" s="42">
        <v>0</v>
      </c>
      <c r="BX120" s="42">
        <v>1.3678522485551381</v>
      </c>
      <c r="BY120" s="42"/>
      <c r="BZ120" s="42">
        <v>0</v>
      </c>
      <c r="CA120" s="42">
        <v>0</v>
      </c>
      <c r="CB120" s="42">
        <v>1.3069990565230734</v>
      </c>
      <c r="CC120" s="42">
        <v>1.3678522485551381</v>
      </c>
      <c r="CD120" s="245">
        <v>0.955511867530763</v>
      </c>
      <c r="CE120" s="42">
        <v>40.576235100713205</v>
      </c>
      <c r="CF120" s="42">
        <v>1.865727683115527E-2</v>
      </c>
      <c r="CG120" s="42">
        <v>0</v>
      </c>
      <c r="CH120" s="42">
        <v>1.865727683115527E-2</v>
      </c>
      <c r="CI120" s="42">
        <v>9.3285501384416324E-4</v>
      </c>
      <c r="CJ120" s="42">
        <v>0</v>
      </c>
      <c r="CK120" s="42">
        <v>9.3285501384416324E-4</v>
      </c>
      <c r="CL120" s="42"/>
      <c r="CM120" s="42">
        <v>0</v>
      </c>
      <c r="CN120" s="42" t="s">
        <v>785</v>
      </c>
      <c r="CO120" s="42">
        <v>0</v>
      </c>
      <c r="CP120" s="42">
        <v>0</v>
      </c>
      <c r="CQ120" s="42">
        <v>0</v>
      </c>
      <c r="CR120" s="42">
        <v>0</v>
      </c>
      <c r="CS120" s="42">
        <v>0</v>
      </c>
      <c r="CT120" s="42">
        <v>0</v>
      </c>
      <c r="CU120" s="42">
        <v>0</v>
      </c>
      <c r="CV120" s="42">
        <v>9999</v>
      </c>
      <c r="CW120" s="244">
        <v>9999</v>
      </c>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row>
    <row r="121" spans="1:131">
      <c r="A121" s="18" t="s">
        <v>497</v>
      </c>
      <c r="B121" s="18" t="s">
        <v>538</v>
      </c>
      <c r="C121" s="42">
        <v>5</v>
      </c>
      <c r="D121" s="42">
        <v>58.904143014325136</v>
      </c>
      <c r="E121" s="42">
        <v>0</v>
      </c>
      <c r="F121" s="42">
        <v>8.8969799344553575</v>
      </c>
      <c r="G121" s="42">
        <v>0</v>
      </c>
      <c r="H121" s="42">
        <v>0</v>
      </c>
      <c r="I121" s="42" t="s">
        <v>920</v>
      </c>
      <c r="J121" s="42"/>
      <c r="K121" s="42"/>
      <c r="L121" s="42">
        <v>63.309896566716425</v>
      </c>
      <c r="M121" s="42">
        <v>1.1901397616154979E-2</v>
      </c>
      <c r="N121" s="42">
        <v>1.1815498665266903E-2</v>
      </c>
      <c r="O121" s="42">
        <v>0</v>
      </c>
      <c r="P121" s="42">
        <v>0</v>
      </c>
      <c r="Q121" s="42">
        <v>0</v>
      </c>
      <c r="R121" s="42">
        <v>1.774176649256179</v>
      </c>
      <c r="S121" s="42">
        <v>4.0998523856859812</v>
      </c>
      <c r="T121" s="42">
        <v>0</v>
      </c>
      <c r="U121" s="42">
        <v>24.99253530488005</v>
      </c>
      <c r="V121" s="42" t="s">
        <v>752</v>
      </c>
      <c r="W121" s="42" t="s">
        <v>752</v>
      </c>
      <c r="X121" s="42" t="s">
        <v>752</v>
      </c>
      <c r="Y121" s="42" t="s">
        <v>752</v>
      </c>
      <c r="Z121" s="42">
        <v>0</v>
      </c>
      <c r="AA121" s="42">
        <v>0</v>
      </c>
      <c r="AB121" s="42">
        <v>0</v>
      </c>
      <c r="AC121" s="42">
        <v>0</v>
      </c>
      <c r="AD121" s="42">
        <v>0</v>
      </c>
      <c r="AE121" s="42">
        <v>0</v>
      </c>
      <c r="AF121" s="42">
        <v>0</v>
      </c>
      <c r="AG121" s="42">
        <v>0</v>
      </c>
      <c r="AH121" s="42">
        <v>1.774176649256179</v>
      </c>
      <c r="AI121" s="42">
        <v>4.0998523856859812</v>
      </c>
      <c r="AJ121" s="42">
        <v>0</v>
      </c>
      <c r="AK121" s="42">
        <v>24.99253530488005</v>
      </c>
      <c r="AL121" s="42">
        <v>30.866564339822212</v>
      </c>
      <c r="AM121" s="42">
        <v>32.950171840558433</v>
      </c>
      <c r="AN121" s="42">
        <v>4.2053408166839317</v>
      </c>
      <c r="AO121" s="42">
        <v>0</v>
      </c>
      <c r="AP121" s="42">
        <v>0</v>
      </c>
      <c r="AQ121" s="42">
        <v>37.155512657242362</v>
      </c>
      <c r="AR121" s="42">
        <v>1.774176649256179</v>
      </c>
      <c r="AS121" s="244">
        <v>20.942397518770047</v>
      </c>
      <c r="AT121" s="42">
        <v>32.950171840558433</v>
      </c>
      <c r="AU121" s="42">
        <v>4.9778709664747272</v>
      </c>
      <c r="AV121" s="42">
        <v>0</v>
      </c>
      <c r="AW121" s="42">
        <v>0</v>
      </c>
      <c r="AX121" s="42">
        <v>37.928042807033158</v>
      </c>
      <c r="AY121" s="42">
        <v>4.0998523856859812</v>
      </c>
      <c r="AZ121" s="244">
        <v>9.2510752190623311</v>
      </c>
      <c r="BA121" s="42">
        <v>32.950171840558433</v>
      </c>
      <c r="BB121" s="42">
        <v>9.1832117831586579</v>
      </c>
      <c r="BC121" s="42">
        <v>0</v>
      </c>
      <c r="BD121" s="42">
        <v>0</v>
      </c>
      <c r="BE121" s="42">
        <v>42.133383623717087</v>
      </c>
      <c r="BF121" s="42">
        <v>5.8740290349421604</v>
      </c>
      <c r="BG121" s="42">
        <v>-3.8460883996939494</v>
      </c>
      <c r="BH121" s="244">
        <v>7.172825223212735</v>
      </c>
      <c r="BI121" s="42">
        <v>2.0620318516376042</v>
      </c>
      <c r="BJ121" s="42">
        <v>4.7650419758603242</v>
      </c>
      <c r="BK121" s="42">
        <v>0</v>
      </c>
      <c r="BL121" s="42">
        <v>29.04750430203562</v>
      </c>
      <c r="BM121" s="42">
        <v>35.874578129533553</v>
      </c>
      <c r="BN121" s="42">
        <v>32.950171840558433</v>
      </c>
      <c r="BO121" s="42">
        <v>0</v>
      </c>
      <c r="BP121" s="42">
        <v>9.1832117831586579</v>
      </c>
      <c r="BQ121" s="42">
        <v>0</v>
      </c>
      <c r="BR121" s="42">
        <v>0</v>
      </c>
      <c r="BS121" s="42">
        <v>0</v>
      </c>
      <c r="BT121" s="42">
        <v>0</v>
      </c>
      <c r="BU121" s="42">
        <v>0</v>
      </c>
      <c r="BV121" s="42">
        <v>0</v>
      </c>
      <c r="BW121" s="42">
        <v>0</v>
      </c>
      <c r="BX121" s="42">
        <v>30.866564339822212</v>
      </c>
      <c r="BY121" s="42"/>
      <c r="BZ121" s="42">
        <v>0</v>
      </c>
      <c r="CA121" s="42">
        <v>0</v>
      </c>
      <c r="CB121" s="42">
        <v>42.133383623717087</v>
      </c>
      <c r="CC121" s="42">
        <v>30.866564339822212</v>
      </c>
      <c r="CD121" s="244">
        <v>1.3650169536153751</v>
      </c>
      <c r="CE121" s="42">
        <v>25.201415902341672</v>
      </c>
      <c r="CF121" s="42">
        <v>0.60144970891727434</v>
      </c>
      <c r="CG121" s="42">
        <v>0</v>
      </c>
      <c r="CH121" s="42">
        <v>0.60144970891727434</v>
      </c>
      <c r="CI121" s="42">
        <v>3.0072200869190296E-2</v>
      </c>
      <c r="CJ121" s="42">
        <v>0</v>
      </c>
      <c r="CK121" s="42">
        <v>3.0072200869190296E-2</v>
      </c>
      <c r="CL121" s="42"/>
      <c r="CM121" s="42">
        <v>0</v>
      </c>
      <c r="CN121" s="42" t="s">
        <v>785</v>
      </c>
      <c r="CO121" s="42">
        <v>0</v>
      </c>
      <c r="CP121" s="42">
        <v>0</v>
      </c>
      <c r="CQ121" s="42">
        <v>0</v>
      </c>
      <c r="CR121" s="42">
        <v>0</v>
      </c>
      <c r="CS121" s="42">
        <v>0</v>
      </c>
      <c r="CT121" s="42">
        <v>0</v>
      </c>
      <c r="CU121" s="42">
        <v>0</v>
      </c>
      <c r="CV121" s="42">
        <v>9999</v>
      </c>
      <c r="CW121" s="244">
        <v>9999</v>
      </c>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row>
    <row r="122" spans="1:131">
      <c r="A122" s="18" t="s">
        <v>499</v>
      </c>
      <c r="B122" s="18" t="s">
        <v>539</v>
      </c>
      <c r="C122" s="42">
        <v>5</v>
      </c>
      <c r="D122" s="42">
        <v>189.06025135222922</v>
      </c>
      <c r="E122" s="42">
        <v>0</v>
      </c>
      <c r="F122" s="42">
        <v>19.037316976439751</v>
      </c>
      <c r="G122" s="42">
        <v>0</v>
      </c>
      <c r="H122" s="42">
        <v>0</v>
      </c>
      <c r="I122" s="42" t="s">
        <v>920</v>
      </c>
      <c r="J122" s="42"/>
      <c r="K122" s="42"/>
      <c r="L122" s="42">
        <v>203.20107118910394</v>
      </c>
      <c r="M122" s="42">
        <v>3.8199031674323411E-2</v>
      </c>
      <c r="N122" s="42">
        <v>3.7923328193808586E-2</v>
      </c>
      <c r="O122" s="42">
        <v>0</v>
      </c>
      <c r="P122" s="42">
        <v>0</v>
      </c>
      <c r="Q122" s="42">
        <v>0</v>
      </c>
      <c r="R122" s="42">
        <v>3.7962953151422698</v>
      </c>
      <c r="S122" s="42">
        <v>8.7726610600358406</v>
      </c>
      <c r="T122" s="42">
        <v>0</v>
      </c>
      <c r="U122" s="42">
        <v>53.477789109230919</v>
      </c>
      <c r="V122" s="42" t="s">
        <v>752</v>
      </c>
      <c r="W122" s="42" t="s">
        <v>752</v>
      </c>
      <c r="X122" s="42" t="s">
        <v>752</v>
      </c>
      <c r="Y122" s="42" t="s">
        <v>752</v>
      </c>
      <c r="Z122" s="42">
        <v>0</v>
      </c>
      <c r="AA122" s="42">
        <v>0</v>
      </c>
      <c r="AB122" s="42">
        <v>0</v>
      </c>
      <c r="AC122" s="42">
        <v>0</v>
      </c>
      <c r="AD122" s="42">
        <v>0</v>
      </c>
      <c r="AE122" s="42">
        <v>0</v>
      </c>
      <c r="AF122" s="42">
        <v>0</v>
      </c>
      <c r="AG122" s="42">
        <v>0</v>
      </c>
      <c r="AH122" s="42">
        <v>3.7962953151422698</v>
      </c>
      <c r="AI122" s="42">
        <v>8.7726610600358406</v>
      </c>
      <c r="AJ122" s="42">
        <v>0</v>
      </c>
      <c r="AK122" s="42">
        <v>53.477789109230919</v>
      </c>
      <c r="AL122" s="42">
        <v>66.04674548440903</v>
      </c>
      <c r="AM122" s="42">
        <v>105.7577184131196</v>
      </c>
      <c r="AN122" s="42">
        <v>13.497569969411124</v>
      </c>
      <c r="AO122" s="42">
        <v>0</v>
      </c>
      <c r="AP122" s="42">
        <v>0</v>
      </c>
      <c r="AQ122" s="42">
        <v>119.25528838253072</v>
      </c>
      <c r="AR122" s="42">
        <v>3.7962953151422698</v>
      </c>
      <c r="AS122" s="244">
        <v>31.413596278155065</v>
      </c>
      <c r="AT122" s="42">
        <v>105.7577184131196</v>
      </c>
      <c r="AU122" s="42">
        <v>15.977102593476351</v>
      </c>
      <c r="AV122" s="42">
        <v>0</v>
      </c>
      <c r="AW122" s="42">
        <v>0</v>
      </c>
      <c r="AX122" s="42">
        <v>121.73482100659595</v>
      </c>
      <c r="AY122" s="42">
        <v>8.7726610600358406</v>
      </c>
      <c r="AZ122" s="244">
        <v>13.876612828593494</v>
      </c>
      <c r="BA122" s="42">
        <v>105.7577184131196</v>
      </c>
      <c r="BB122" s="42">
        <v>29.474672562887477</v>
      </c>
      <c r="BC122" s="42">
        <v>0</v>
      </c>
      <c r="BD122" s="42">
        <v>0</v>
      </c>
      <c r="BE122" s="42">
        <v>135.23239097600708</v>
      </c>
      <c r="BF122" s="42">
        <v>12.568956375178111</v>
      </c>
      <c r="BG122" s="42">
        <v>-6.1217796755265947</v>
      </c>
      <c r="BH122" s="244">
        <v>10.759237834819102</v>
      </c>
      <c r="BI122" s="42">
        <v>1.3746879010917366</v>
      </c>
      <c r="BJ122" s="42">
        <v>3.17669465057355</v>
      </c>
      <c r="BK122" s="42">
        <v>0</v>
      </c>
      <c r="BL122" s="42">
        <v>19.365002868023751</v>
      </c>
      <c r="BM122" s="42">
        <v>23.916385419689036</v>
      </c>
      <c r="BN122" s="42">
        <v>105.7577184131196</v>
      </c>
      <c r="BO122" s="42">
        <v>0</v>
      </c>
      <c r="BP122" s="42">
        <v>29.474672562887477</v>
      </c>
      <c r="BQ122" s="42">
        <v>0</v>
      </c>
      <c r="BR122" s="42">
        <v>0</v>
      </c>
      <c r="BS122" s="42">
        <v>0</v>
      </c>
      <c r="BT122" s="42">
        <v>0</v>
      </c>
      <c r="BU122" s="42">
        <v>0</v>
      </c>
      <c r="BV122" s="42">
        <v>0</v>
      </c>
      <c r="BW122" s="42">
        <v>0</v>
      </c>
      <c r="BX122" s="42">
        <v>66.04674548440903</v>
      </c>
      <c r="BY122" s="42"/>
      <c r="BZ122" s="42">
        <v>0</v>
      </c>
      <c r="CA122" s="42">
        <v>0</v>
      </c>
      <c r="CB122" s="42">
        <v>135.23239097600708</v>
      </c>
      <c r="CC122" s="42">
        <v>66.04674548440903</v>
      </c>
      <c r="CD122" s="244">
        <v>2.0475254304230628</v>
      </c>
      <c r="CE122" s="42">
        <v>13.243223192497155</v>
      </c>
      <c r="CF122" s="42">
        <v>1.9304284439885859</v>
      </c>
      <c r="CG122" s="42">
        <v>0</v>
      </c>
      <c r="CH122" s="42">
        <v>1.9304284439885859</v>
      </c>
      <c r="CI122" s="42">
        <v>9.6520508814824338E-2</v>
      </c>
      <c r="CJ122" s="42">
        <v>0</v>
      </c>
      <c r="CK122" s="42">
        <v>9.6520508814824338E-2</v>
      </c>
      <c r="CL122" s="42"/>
      <c r="CM122" s="42">
        <v>0</v>
      </c>
      <c r="CN122" s="42" t="s">
        <v>785</v>
      </c>
      <c r="CO122" s="42">
        <v>0</v>
      </c>
      <c r="CP122" s="42">
        <v>0</v>
      </c>
      <c r="CQ122" s="42">
        <v>0</v>
      </c>
      <c r="CR122" s="42">
        <v>0</v>
      </c>
      <c r="CS122" s="42">
        <v>0</v>
      </c>
      <c r="CT122" s="42">
        <v>0</v>
      </c>
      <c r="CU122" s="42">
        <v>0</v>
      </c>
      <c r="CV122" s="42">
        <v>9999</v>
      </c>
      <c r="CW122" s="244">
        <v>9999</v>
      </c>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row>
    <row r="123" spans="1:131">
      <c r="A123" s="18" t="s">
        <v>501</v>
      </c>
      <c r="B123" s="18" t="s">
        <v>540</v>
      </c>
      <c r="C123" s="42">
        <v>5</v>
      </c>
      <c r="D123" s="42">
        <v>60.741133563872978</v>
      </c>
      <c r="E123" s="42">
        <v>0</v>
      </c>
      <c r="F123" s="42">
        <v>7.2239701170944741</v>
      </c>
      <c r="G123" s="42">
        <v>0</v>
      </c>
      <c r="H123" s="42">
        <v>0</v>
      </c>
      <c r="I123" s="42" t="s">
        <v>920</v>
      </c>
      <c r="J123" s="42"/>
      <c r="K123" s="42"/>
      <c r="L123" s="42">
        <v>65.284285391244879</v>
      </c>
      <c r="M123" s="42">
        <v>1.2272555803482669E-2</v>
      </c>
      <c r="N123" s="42">
        <v>1.2183977999241966E-2</v>
      </c>
      <c r="O123" s="42">
        <v>0</v>
      </c>
      <c r="P123" s="42">
        <v>0</v>
      </c>
      <c r="Q123" s="42">
        <v>0</v>
      </c>
      <c r="R123" s="42">
        <v>1.4405561427691396</v>
      </c>
      <c r="S123" s="42">
        <v>3.3289061385870236</v>
      </c>
      <c r="T123" s="42">
        <v>0</v>
      </c>
      <c r="U123" s="42">
        <v>20.292877979153772</v>
      </c>
      <c r="V123" s="42" t="s">
        <v>752</v>
      </c>
      <c r="W123" s="42" t="s">
        <v>752</v>
      </c>
      <c r="X123" s="42" t="s">
        <v>752</v>
      </c>
      <c r="Y123" s="42" t="s">
        <v>752</v>
      </c>
      <c r="Z123" s="42">
        <v>0</v>
      </c>
      <c r="AA123" s="42">
        <v>0</v>
      </c>
      <c r="AB123" s="42">
        <v>0</v>
      </c>
      <c r="AC123" s="42">
        <v>0</v>
      </c>
      <c r="AD123" s="42">
        <v>0</v>
      </c>
      <c r="AE123" s="42">
        <v>0</v>
      </c>
      <c r="AF123" s="42">
        <v>0</v>
      </c>
      <c r="AG123" s="42">
        <v>0</v>
      </c>
      <c r="AH123" s="42">
        <v>1.4405561427691396</v>
      </c>
      <c r="AI123" s="42">
        <v>3.3289061385870236</v>
      </c>
      <c r="AJ123" s="42">
        <v>0</v>
      </c>
      <c r="AK123" s="42">
        <v>20.292877979153772</v>
      </c>
      <c r="AL123" s="42">
        <v>25.062340260509934</v>
      </c>
      <c r="AM123" s="42">
        <v>33.977759225411212</v>
      </c>
      <c r="AN123" s="42">
        <v>4.3364889998600695</v>
      </c>
      <c r="AO123" s="42">
        <v>0</v>
      </c>
      <c r="AP123" s="42">
        <v>0</v>
      </c>
      <c r="AQ123" s="42">
        <v>38.314248225271285</v>
      </c>
      <c r="AR123" s="42">
        <v>1.4405561427691396</v>
      </c>
      <c r="AS123" s="244">
        <v>26.596844848837971</v>
      </c>
      <c r="AT123" s="42">
        <v>33.977759225411212</v>
      </c>
      <c r="AU123" s="42">
        <v>5.1331113528777461</v>
      </c>
      <c r="AV123" s="42">
        <v>0</v>
      </c>
      <c r="AW123" s="42">
        <v>0</v>
      </c>
      <c r="AX123" s="42">
        <v>39.11087057828896</v>
      </c>
      <c r="AY123" s="42">
        <v>3.3289061385870236</v>
      </c>
      <c r="AZ123" s="244">
        <v>11.748865528209164</v>
      </c>
      <c r="BA123" s="42">
        <v>33.977759225411212</v>
      </c>
      <c r="BB123" s="42">
        <v>9.4696003527378156</v>
      </c>
      <c r="BC123" s="42">
        <v>0</v>
      </c>
      <c r="BD123" s="42">
        <v>0</v>
      </c>
      <c r="BE123" s="42">
        <v>43.447359578149033</v>
      </c>
      <c r="BF123" s="42">
        <v>4.7694622813561631</v>
      </c>
      <c r="BG123" s="42">
        <v>-5.2975135441226513</v>
      </c>
      <c r="BH123" s="244">
        <v>9.1094880334801775</v>
      </c>
      <c r="BI123" s="42">
        <v>1.6236471272737047</v>
      </c>
      <c r="BJ123" s="42">
        <v>3.7520015557955317</v>
      </c>
      <c r="BK123" s="42">
        <v>0</v>
      </c>
      <c r="BL123" s="42">
        <v>22.872050631524115</v>
      </c>
      <c r="BM123" s="42">
        <v>28.247699314593348</v>
      </c>
      <c r="BN123" s="42">
        <v>33.977759225411212</v>
      </c>
      <c r="BO123" s="42">
        <v>0</v>
      </c>
      <c r="BP123" s="42">
        <v>9.4696003527378156</v>
      </c>
      <c r="BQ123" s="42">
        <v>0</v>
      </c>
      <c r="BR123" s="42">
        <v>0</v>
      </c>
      <c r="BS123" s="42">
        <v>0</v>
      </c>
      <c r="BT123" s="42">
        <v>0</v>
      </c>
      <c r="BU123" s="42">
        <v>0</v>
      </c>
      <c r="BV123" s="42">
        <v>0</v>
      </c>
      <c r="BW123" s="42">
        <v>0</v>
      </c>
      <c r="BX123" s="42">
        <v>25.062340260509934</v>
      </c>
      <c r="BY123" s="42"/>
      <c r="BZ123" s="42">
        <v>0</v>
      </c>
      <c r="CA123" s="42">
        <v>0</v>
      </c>
      <c r="CB123" s="42">
        <v>43.447359578149033</v>
      </c>
      <c r="CC123" s="42">
        <v>25.062340260509934</v>
      </c>
      <c r="CD123" s="244">
        <v>1.7335715310915272</v>
      </c>
      <c r="CE123" s="42">
        <v>17.574537087401463</v>
      </c>
      <c r="CF123" s="42">
        <v>0.62020658024703068</v>
      </c>
      <c r="CG123" s="42">
        <v>0</v>
      </c>
      <c r="CH123" s="42">
        <v>0.62020658024703068</v>
      </c>
      <c r="CI123" s="42">
        <v>3.1010035560841316E-2</v>
      </c>
      <c r="CJ123" s="42">
        <v>0</v>
      </c>
      <c r="CK123" s="42">
        <v>3.1010035560841316E-2</v>
      </c>
      <c r="CL123" s="42"/>
      <c r="CM123" s="42">
        <v>0</v>
      </c>
      <c r="CN123" s="42" t="s">
        <v>785</v>
      </c>
      <c r="CO123" s="42">
        <v>0</v>
      </c>
      <c r="CP123" s="42">
        <v>0</v>
      </c>
      <c r="CQ123" s="42">
        <v>0</v>
      </c>
      <c r="CR123" s="42">
        <v>0</v>
      </c>
      <c r="CS123" s="42">
        <v>0</v>
      </c>
      <c r="CT123" s="42">
        <v>0</v>
      </c>
      <c r="CU123" s="42">
        <v>0</v>
      </c>
      <c r="CV123" s="42">
        <v>9999</v>
      </c>
      <c r="CW123" s="244">
        <v>9999</v>
      </c>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row>
    <row r="124" spans="1:131">
      <c r="A124" s="18" t="s">
        <v>503</v>
      </c>
      <c r="B124" s="18" t="s">
        <v>541</v>
      </c>
      <c r="C124" s="42">
        <v>5</v>
      </c>
      <c r="D124" s="42">
        <v>28.141235998868684</v>
      </c>
      <c r="E124" s="42">
        <v>0</v>
      </c>
      <c r="F124" s="42">
        <v>4.5005285512896611</v>
      </c>
      <c r="G124" s="42">
        <v>0</v>
      </c>
      <c r="H124" s="42">
        <v>0</v>
      </c>
      <c r="I124" s="42" t="s">
        <v>920</v>
      </c>
      <c r="J124" s="42"/>
      <c r="K124" s="42"/>
      <c r="L124" s="42">
        <v>30.246068428746245</v>
      </c>
      <c r="M124" s="42">
        <v>5.6858485989880183E-3</v>
      </c>
      <c r="N124" s="42">
        <v>5.6448106935828119E-3</v>
      </c>
      <c r="O124" s="42">
        <v>0</v>
      </c>
      <c r="P124" s="42">
        <v>0</v>
      </c>
      <c r="Q124" s="42">
        <v>0</v>
      </c>
      <c r="R124" s="42">
        <v>0.89746551344758707</v>
      </c>
      <c r="S124" s="42">
        <v>2.0739062978433394</v>
      </c>
      <c r="T124" s="42">
        <v>0</v>
      </c>
      <c r="U124" s="42">
        <v>12.642449408380408</v>
      </c>
      <c r="V124" s="42" t="s">
        <v>752</v>
      </c>
      <c r="W124" s="42" t="s">
        <v>752</v>
      </c>
      <c r="X124" s="42" t="s">
        <v>752</v>
      </c>
      <c r="Y124" s="42" t="s">
        <v>752</v>
      </c>
      <c r="Z124" s="42">
        <v>0</v>
      </c>
      <c r="AA124" s="42">
        <v>0</v>
      </c>
      <c r="AB124" s="42">
        <v>0</v>
      </c>
      <c r="AC124" s="42">
        <v>0</v>
      </c>
      <c r="AD124" s="42">
        <v>0</v>
      </c>
      <c r="AE124" s="42">
        <v>0</v>
      </c>
      <c r="AF124" s="42">
        <v>0</v>
      </c>
      <c r="AG124" s="42">
        <v>0</v>
      </c>
      <c r="AH124" s="42">
        <v>0.89746551344758707</v>
      </c>
      <c r="AI124" s="42">
        <v>2.0739062978433394</v>
      </c>
      <c r="AJ124" s="42">
        <v>0</v>
      </c>
      <c r="AK124" s="42">
        <v>12.642449408380408</v>
      </c>
      <c r="AL124" s="42">
        <v>15.613821219671333</v>
      </c>
      <c r="AM124" s="42">
        <v>15.741822468122978</v>
      </c>
      <c r="AN124" s="42">
        <v>2.0090859882164365</v>
      </c>
      <c r="AO124" s="42">
        <v>0</v>
      </c>
      <c r="AP124" s="42">
        <v>0</v>
      </c>
      <c r="AQ124" s="42">
        <v>17.750908456339413</v>
      </c>
      <c r="AR124" s="42">
        <v>0.89746551344758707</v>
      </c>
      <c r="AS124" s="244">
        <v>19.778930989949494</v>
      </c>
      <c r="AT124" s="42">
        <v>15.741822468122978</v>
      </c>
      <c r="AU124" s="42">
        <v>2.378159403921968</v>
      </c>
      <c r="AV124" s="42">
        <v>0</v>
      </c>
      <c r="AW124" s="42">
        <v>0</v>
      </c>
      <c r="AX124" s="42">
        <v>18.119981872044946</v>
      </c>
      <c r="AY124" s="42">
        <v>2.0739062978433394</v>
      </c>
      <c r="AZ124" s="244">
        <v>8.7371265957810937</v>
      </c>
      <c r="BA124" s="42">
        <v>15.741822468122978</v>
      </c>
      <c r="BB124" s="42">
        <v>4.3872453921384045</v>
      </c>
      <c r="BC124" s="42">
        <v>0</v>
      </c>
      <c r="BD124" s="42">
        <v>0</v>
      </c>
      <c r="BE124" s="42">
        <v>20.129067860261383</v>
      </c>
      <c r="BF124" s="42">
        <v>2.9713718112909264</v>
      </c>
      <c r="BG124" s="42">
        <v>-3.4444958216058463</v>
      </c>
      <c r="BH124" s="244">
        <v>6.7743349330342522</v>
      </c>
      <c r="BI124" s="42">
        <v>2.1833278429104053</v>
      </c>
      <c r="BJ124" s="42">
        <v>5.0453385626756377</v>
      </c>
      <c r="BK124" s="42">
        <v>0</v>
      </c>
      <c r="BL124" s="42">
        <v>30.756181025684775</v>
      </c>
      <c r="BM124" s="42">
        <v>37.984847431270815</v>
      </c>
      <c r="BN124" s="42">
        <v>15.741822468122978</v>
      </c>
      <c r="BO124" s="42">
        <v>0</v>
      </c>
      <c r="BP124" s="42">
        <v>4.3872453921384045</v>
      </c>
      <c r="BQ124" s="42">
        <v>0</v>
      </c>
      <c r="BR124" s="42">
        <v>0</v>
      </c>
      <c r="BS124" s="42">
        <v>0</v>
      </c>
      <c r="BT124" s="42">
        <v>0</v>
      </c>
      <c r="BU124" s="42">
        <v>0</v>
      </c>
      <c r="BV124" s="42">
        <v>0</v>
      </c>
      <c r="BW124" s="42">
        <v>0</v>
      </c>
      <c r="BX124" s="42">
        <v>15.613821219671333</v>
      </c>
      <c r="BY124" s="42"/>
      <c r="BZ124" s="42">
        <v>0</v>
      </c>
      <c r="CA124" s="42">
        <v>0</v>
      </c>
      <c r="CB124" s="42">
        <v>20.12906786026138</v>
      </c>
      <c r="CC124" s="42">
        <v>15.613821219671333</v>
      </c>
      <c r="CD124" s="244">
        <v>1.2891826784145215</v>
      </c>
      <c r="CE124" s="42">
        <v>27.311685204078938</v>
      </c>
      <c r="CF124" s="42">
        <v>0.28734036918210809</v>
      </c>
      <c r="CG124" s="42">
        <v>0</v>
      </c>
      <c r="CH124" s="42">
        <v>0.28734036918210809</v>
      </c>
      <c r="CI124" s="42">
        <v>1.4366882503654465E-2</v>
      </c>
      <c r="CJ124" s="42">
        <v>0</v>
      </c>
      <c r="CK124" s="42">
        <v>1.4366882503654465E-2</v>
      </c>
      <c r="CL124" s="42"/>
      <c r="CM124" s="42">
        <v>0</v>
      </c>
      <c r="CN124" s="42" t="s">
        <v>785</v>
      </c>
      <c r="CO124" s="42">
        <v>0</v>
      </c>
      <c r="CP124" s="42">
        <v>0</v>
      </c>
      <c r="CQ124" s="42">
        <v>0</v>
      </c>
      <c r="CR124" s="42">
        <v>0</v>
      </c>
      <c r="CS124" s="42">
        <v>0</v>
      </c>
      <c r="CT124" s="42">
        <v>0</v>
      </c>
      <c r="CU124" s="42">
        <v>0</v>
      </c>
      <c r="CV124" s="42">
        <v>9999</v>
      </c>
      <c r="CW124" s="244">
        <v>9999</v>
      </c>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row>
    <row r="125" spans="1:131">
      <c r="A125" s="18" t="s">
        <v>505</v>
      </c>
      <c r="B125" s="18" t="s">
        <v>542</v>
      </c>
      <c r="C125" s="42">
        <v>5</v>
      </c>
      <c r="D125" s="42">
        <v>53.301446766421194</v>
      </c>
      <c r="E125" s="42">
        <v>0</v>
      </c>
      <c r="F125" s="42">
        <v>8.5243122586004478</v>
      </c>
      <c r="G125" s="42">
        <v>0</v>
      </c>
      <c r="H125" s="42">
        <v>0</v>
      </c>
      <c r="I125" s="42" t="s">
        <v>920</v>
      </c>
      <c r="J125" s="42"/>
      <c r="K125" s="42"/>
      <c r="L125" s="42">
        <v>57.288144924166147</v>
      </c>
      <c r="M125" s="42">
        <v>1.0769390386160507E-2</v>
      </c>
      <c r="N125" s="42">
        <v>1.0691661755817157E-2</v>
      </c>
      <c r="O125" s="42">
        <v>0</v>
      </c>
      <c r="P125" s="42">
        <v>0</v>
      </c>
      <c r="Q125" s="42">
        <v>0</v>
      </c>
      <c r="R125" s="42">
        <v>1.6998617364087525</v>
      </c>
      <c r="S125" s="42">
        <v>3.9281219253300161</v>
      </c>
      <c r="T125" s="42">
        <v>0</v>
      </c>
      <c r="U125" s="42">
        <v>23.945673323128084</v>
      </c>
      <c r="V125" s="42" t="s">
        <v>752</v>
      </c>
      <c r="W125" s="42" t="s">
        <v>752</v>
      </c>
      <c r="X125" s="42" t="s">
        <v>752</v>
      </c>
      <c r="Y125" s="42" t="s">
        <v>752</v>
      </c>
      <c r="Z125" s="42">
        <v>0</v>
      </c>
      <c r="AA125" s="42">
        <v>0</v>
      </c>
      <c r="AB125" s="42">
        <v>0</v>
      </c>
      <c r="AC125" s="42">
        <v>0</v>
      </c>
      <c r="AD125" s="42">
        <v>0</v>
      </c>
      <c r="AE125" s="42">
        <v>0</v>
      </c>
      <c r="AF125" s="42">
        <v>0</v>
      </c>
      <c r="AG125" s="42">
        <v>0</v>
      </c>
      <c r="AH125" s="42">
        <v>1.6998617364087525</v>
      </c>
      <c r="AI125" s="42">
        <v>3.9281219253300161</v>
      </c>
      <c r="AJ125" s="42">
        <v>0</v>
      </c>
      <c r="AK125" s="42">
        <v>23.945673323128084</v>
      </c>
      <c r="AL125" s="42">
        <v>29.573656984866851</v>
      </c>
      <c r="AM125" s="42">
        <v>29.816100199893175</v>
      </c>
      <c r="AN125" s="42">
        <v>3.8053477769912489</v>
      </c>
      <c r="AO125" s="42">
        <v>0</v>
      </c>
      <c r="AP125" s="42">
        <v>0</v>
      </c>
      <c r="AQ125" s="42">
        <v>33.621447976884426</v>
      </c>
      <c r="AR125" s="42">
        <v>1.6998617364087525</v>
      </c>
      <c r="AS125" s="244">
        <v>19.77893098994949</v>
      </c>
      <c r="AT125" s="42">
        <v>29.816100199893175</v>
      </c>
      <c r="AU125" s="42">
        <v>4.5043983453785268</v>
      </c>
      <c r="AV125" s="42">
        <v>0</v>
      </c>
      <c r="AW125" s="42">
        <v>0</v>
      </c>
      <c r="AX125" s="42">
        <v>34.320498545271704</v>
      </c>
      <c r="AY125" s="42">
        <v>3.9281219253300161</v>
      </c>
      <c r="AZ125" s="244">
        <v>8.7371265957810902</v>
      </c>
      <c r="BA125" s="42">
        <v>29.816100199893175</v>
      </c>
      <c r="BB125" s="42">
        <v>8.3097461223697753</v>
      </c>
      <c r="BC125" s="42">
        <v>0</v>
      </c>
      <c r="BD125" s="42">
        <v>0</v>
      </c>
      <c r="BE125" s="42">
        <v>38.125846322262952</v>
      </c>
      <c r="BF125" s="42">
        <v>5.6279836617387691</v>
      </c>
      <c r="BG125" s="42">
        <v>-3.4444958216058432</v>
      </c>
      <c r="BH125" s="244">
        <v>6.7743349330342486</v>
      </c>
      <c r="BI125" s="42">
        <v>2.1833278429104048</v>
      </c>
      <c r="BJ125" s="42">
        <v>5.0453385626756377</v>
      </c>
      <c r="BK125" s="42">
        <v>0</v>
      </c>
      <c r="BL125" s="42">
        <v>30.756181025684786</v>
      </c>
      <c r="BM125" s="42">
        <v>37.984847431270822</v>
      </c>
      <c r="BN125" s="42">
        <v>29.816100199893175</v>
      </c>
      <c r="BO125" s="42">
        <v>0</v>
      </c>
      <c r="BP125" s="42">
        <v>8.3097461223697753</v>
      </c>
      <c r="BQ125" s="42">
        <v>0</v>
      </c>
      <c r="BR125" s="42">
        <v>0</v>
      </c>
      <c r="BS125" s="42">
        <v>0</v>
      </c>
      <c r="BT125" s="42">
        <v>0</v>
      </c>
      <c r="BU125" s="42">
        <v>0</v>
      </c>
      <c r="BV125" s="42">
        <v>0</v>
      </c>
      <c r="BW125" s="42">
        <v>0</v>
      </c>
      <c r="BX125" s="42">
        <v>29.573656984866851</v>
      </c>
      <c r="BY125" s="42"/>
      <c r="BZ125" s="42">
        <v>0</v>
      </c>
      <c r="CA125" s="42">
        <v>0</v>
      </c>
      <c r="CB125" s="42">
        <v>38.125846322262952</v>
      </c>
      <c r="CC125" s="42">
        <v>29.573656984866851</v>
      </c>
      <c r="CD125" s="244">
        <v>1.2891826784145208</v>
      </c>
      <c r="CE125" s="42">
        <v>27.311685204078938</v>
      </c>
      <c r="CF125" s="42">
        <v>0.54424252696006881</v>
      </c>
      <c r="CG125" s="42">
        <v>0</v>
      </c>
      <c r="CH125" s="42">
        <v>0.54424252696006881</v>
      </c>
      <c r="CI125" s="42">
        <v>2.7211868838978914E-2</v>
      </c>
      <c r="CJ125" s="42">
        <v>0</v>
      </c>
      <c r="CK125" s="42">
        <v>2.7211868838978914E-2</v>
      </c>
      <c r="CL125" s="42"/>
      <c r="CM125" s="42">
        <v>0</v>
      </c>
      <c r="CN125" s="42" t="s">
        <v>785</v>
      </c>
      <c r="CO125" s="42">
        <v>0</v>
      </c>
      <c r="CP125" s="42">
        <v>0</v>
      </c>
      <c r="CQ125" s="42">
        <v>0</v>
      </c>
      <c r="CR125" s="42">
        <v>0</v>
      </c>
      <c r="CS125" s="42">
        <v>0</v>
      </c>
      <c r="CT125" s="42">
        <v>0</v>
      </c>
      <c r="CU125" s="42">
        <v>0</v>
      </c>
      <c r="CV125" s="42">
        <v>9999</v>
      </c>
      <c r="CW125" s="244">
        <v>9999</v>
      </c>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row>
    <row r="126" spans="1:131">
      <c r="A126" s="18" t="s">
        <v>471</v>
      </c>
      <c r="B126" s="18" t="s">
        <v>543</v>
      </c>
      <c r="C126" s="42">
        <v>5</v>
      </c>
      <c r="D126" s="42">
        <v>176.94643086880305</v>
      </c>
      <c r="E126" s="42">
        <v>0</v>
      </c>
      <c r="F126" s="42">
        <v>39.561933299716969</v>
      </c>
      <c r="G126" s="42">
        <v>0</v>
      </c>
      <c r="H126" s="42">
        <v>0</v>
      </c>
      <c r="I126" s="42" t="s">
        <v>920</v>
      </c>
      <c r="J126" s="42"/>
      <c r="K126" s="42"/>
      <c r="L126" s="42">
        <v>190.18119376474399</v>
      </c>
      <c r="M126" s="42">
        <v>3.5751472184511024E-2</v>
      </c>
      <c r="N126" s="42">
        <v>3.5493434090801329E-2</v>
      </c>
      <c r="O126" s="42">
        <v>0</v>
      </c>
      <c r="P126" s="42">
        <v>0</v>
      </c>
      <c r="Q126" s="42">
        <v>0</v>
      </c>
      <c r="R126" s="42">
        <v>7.8891779881354864</v>
      </c>
      <c r="S126" s="42">
        <v>18.230690393382737</v>
      </c>
      <c r="T126" s="42">
        <v>0</v>
      </c>
      <c r="U126" s="42">
        <v>111.13355565671667</v>
      </c>
      <c r="V126" s="42" t="s">
        <v>752</v>
      </c>
      <c r="W126" s="42" t="s">
        <v>752</v>
      </c>
      <c r="X126" s="42" t="s">
        <v>752</v>
      </c>
      <c r="Y126" s="42" t="s">
        <v>752</v>
      </c>
      <c r="Z126" s="42">
        <v>0</v>
      </c>
      <c r="AA126" s="42">
        <v>0</v>
      </c>
      <c r="AB126" s="42">
        <v>0</v>
      </c>
      <c r="AC126" s="42">
        <v>0</v>
      </c>
      <c r="AD126" s="42">
        <v>0</v>
      </c>
      <c r="AE126" s="42">
        <v>0</v>
      </c>
      <c r="AF126" s="42">
        <v>0</v>
      </c>
      <c r="AG126" s="42">
        <v>0</v>
      </c>
      <c r="AH126" s="42">
        <v>7.8891779881354864</v>
      </c>
      <c r="AI126" s="42">
        <v>18.230690393382737</v>
      </c>
      <c r="AJ126" s="42">
        <v>0</v>
      </c>
      <c r="AK126" s="42">
        <v>111.13355565671667</v>
      </c>
      <c r="AL126" s="42">
        <v>137.2534240382349</v>
      </c>
      <c r="AM126" s="42">
        <v>98.981412942085086</v>
      </c>
      <c r="AN126" s="42">
        <v>12.632728531814029</v>
      </c>
      <c r="AO126" s="42">
        <v>0</v>
      </c>
      <c r="AP126" s="42">
        <v>0</v>
      </c>
      <c r="AQ126" s="42">
        <v>111.61414147389911</v>
      </c>
      <c r="AR126" s="42">
        <v>7.8891779881354864</v>
      </c>
      <c r="AS126" s="244">
        <v>14.147752990457981</v>
      </c>
      <c r="AT126" s="42">
        <v>98.981412942085086</v>
      </c>
      <c r="AU126" s="42">
        <v>14.953387924325332</v>
      </c>
      <c r="AV126" s="42">
        <v>0</v>
      </c>
      <c r="AW126" s="42">
        <v>0</v>
      </c>
      <c r="AX126" s="42">
        <v>113.93480086641041</v>
      </c>
      <c r="AY126" s="42">
        <v>18.230690393382737</v>
      </c>
      <c r="AZ126" s="244">
        <v>6.2496152590998832</v>
      </c>
      <c r="BA126" s="42">
        <v>98.981412942085086</v>
      </c>
      <c r="BB126" s="42">
        <v>27.586116456139361</v>
      </c>
      <c r="BC126" s="42">
        <v>0</v>
      </c>
      <c r="BD126" s="42">
        <v>0</v>
      </c>
      <c r="BE126" s="42">
        <v>126.56752939822444</v>
      </c>
      <c r="BF126" s="42">
        <v>26.119868381518224</v>
      </c>
      <c r="BG126" s="42">
        <v>-0.56729636411928241</v>
      </c>
      <c r="BH126" s="244">
        <v>4.8456419285703793</v>
      </c>
      <c r="BI126" s="42">
        <v>3.0523497803846125</v>
      </c>
      <c r="BJ126" s="42">
        <v>7.053516082687981</v>
      </c>
      <c r="BK126" s="42">
        <v>0</v>
      </c>
      <c r="BL126" s="42">
        <v>42.997950447092201</v>
      </c>
      <c r="BM126" s="42">
        <v>53.103816310164795</v>
      </c>
      <c r="BN126" s="42">
        <v>98.981412942085086</v>
      </c>
      <c r="BO126" s="42">
        <v>0</v>
      </c>
      <c r="BP126" s="42">
        <v>27.586116456139361</v>
      </c>
      <c r="BQ126" s="42">
        <v>0</v>
      </c>
      <c r="BR126" s="42">
        <v>0</v>
      </c>
      <c r="BS126" s="42">
        <v>0</v>
      </c>
      <c r="BT126" s="42">
        <v>0</v>
      </c>
      <c r="BU126" s="42">
        <v>0</v>
      </c>
      <c r="BV126" s="42">
        <v>0</v>
      </c>
      <c r="BW126" s="42">
        <v>0</v>
      </c>
      <c r="BX126" s="42">
        <v>137.2534240382349</v>
      </c>
      <c r="BY126" s="42"/>
      <c r="BZ126" s="42">
        <v>0</v>
      </c>
      <c r="CA126" s="42">
        <v>0</v>
      </c>
      <c r="CB126" s="42">
        <v>126.56752939822444</v>
      </c>
      <c r="CC126" s="42">
        <v>137.2534240382349</v>
      </c>
      <c r="CD126" s="245">
        <v>0.92214478644238651</v>
      </c>
      <c r="CE126" s="42">
        <v>42.430654082972914</v>
      </c>
      <c r="CF126" s="42">
        <v>1.8067384379755824</v>
      </c>
      <c r="CG126" s="42">
        <v>0</v>
      </c>
      <c r="CH126" s="42">
        <v>1.8067384379755824</v>
      </c>
      <c r="CI126" s="42">
        <v>9.0336067038253379E-2</v>
      </c>
      <c r="CJ126" s="42">
        <v>0</v>
      </c>
      <c r="CK126" s="42">
        <v>9.0336067038253379E-2</v>
      </c>
      <c r="CL126" s="42"/>
      <c r="CM126" s="42">
        <v>0</v>
      </c>
      <c r="CN126" s="42" t="s">
        <v>785</v>
      </c>
      <c r="CO126" s="42">
        <v>0</v>
      </c>
      <c r="CP126" s="42">
        <v>0</v>
      </c>
      <c r="CQ126" s="42">
        <v>0</v>
      </c>
      <c r="CR126" s="42">
        <v>0</v>
      </c>
      <c r="CS126" s="42">
        <v>0</v>
      </c>
      <c r="CT126" s="42">
        <v>0</v>
      </c>
      <c r="CU126" s="42">
        <v>0</v>
      </c>
      <c r="CV126" s="42">
        <v>9999</v>
      </c>
      <c r="CW126" s="244">
        <v>9999</v>
      </c>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row>
    <row r="127" spans="1:131">
      <c r="A127" s="18" t="s">
        <v>473</v>
      </c>
      <c r="B127" s="18" t="s">
        <v>544</v>
      </c>
      <c r="C127" s="42">
        <v>5</v>
      </c>
      <c r="D127" s="42">
        <v>23.298810484265367</v>
      </c>
      <c r="E127" s="42">
        <v>0</v>
      </c>
      <c r="F127" s="42">
        <v>6.234610335048866</v>
      </c>
      <c r="G127" s="42">
        <v>0</v>
      </c>
      <c r="H127" s="42">
        <v>0</v>
      </c>
      <c r="I127" s="42" t="s">
        <v>920</v>
      </c>
      <c r="J127" s="42"/>
      <c r="K127" s="42"/>
      <c r="L127" s="42">
        <v>25.041452203585177</v>
      </c>
      <c r="M127" s="42">
        <v>4.7074516895907912E-3</v>
      </c>
      <c r="N127" s="42">
        <v>4.6734754143218041E-3</v>
      </c>
      <c r="O127" s="42">
        <v>0</v>
      </c>
      <c r="P127" s="42">
        <v>0</v>
      </c>
      <c r="Q127" s="42">
        <v>0</v>
      </c>
      <c r="R127" s="42">
        <v>1.2432645858644478</v>
      </c>
      <c r="S127" s="42">
        <v>2.8729953584566923</v>
      </c>
      <c r="T127" s="42">
        <v>0</v>
      </c>
      <c r="U127" s="42">
        <v>17.513664193783242</v>
      </c>
      <c r="V127" s="42" t="s">
        <v>752</v>
      </c>
      <c r="W127" s="42" t="s">
        <v>752</v>
      </c>
      <c r="X127" s="42" t="s">
        <v>752</v>
      </c>
      <c r="Y127" s="42" t="s">
        <v>752</v>
      </c>
      <c r="Z127" s="42">
        <v>0</v>
      </c>
      <c r="AA127" s="42">
        <v>0</v>
      </c>
      <c r="AB127" s="42">
        <v>0</v>
      </c>
      <c r="AC127" s="42">
        <v>0</v>
      </c>
      <c r="AD127" s="42">
        <v>0</v>
      </c>
      <c r="AE127" s="42">
        <v>0</v>
      </c>
      <c r="AF127" s="42">
        <v>0</v>
      </c>
      <c r="AG127" s="42">
        <v>0</v>
      </c>
      <c r="AH127" s="42">
        <v>1.2432645858644478</v>
      </c>
      <c r="AI127" s="42">
        <v>2.8729953584566923</v>
      </c>
      <c r="AJ127" s="42">
        <v>0</v>
      </c>
      <c r="AK127" s="42">
        <v>17.513664193783242</v>
      </c>
      <c r="AL127" s="42">
        <v>21.629924138104382</v>
      </c>
      <c r="AM127" s="42">
        <v>13.033035875769352</v>
      </c>
      <c r="AN127" s="42">
        <v>1.6633709225824176</v>
      </c>
      <c r="AO127" s="42">
        <v>0</v>
      </c>
      <c r="AP127" s="42">
        <v>0</v>
      </c>
      <c r="AQ127" s="42">
        <v>14.69640679835177</v>
      </c>
      <c r="AR127" s="42">
        <v>1.2432645858644478</v>
      </c>
      <c r="AS127" s="244">
        <v>11.820819932816866</v>
      </c>
      <c r="AT127" s="42">
        <v>13.033035875769352</v>
      </c>
      <c r="AU127" s="42">
        <v>1.9689357374203076</v>
      </c>
      <c r="AV127" s="42">
        <v>0</v>
      </c>
      <c r="AW127" s="42">
        <v>0</v>
      </c>
      <c r="AX127" s="42">
        <v>15.00197161318966</v>
      </c>
      <c r="AY127" s="42">
        <v>2.8729953584566923</v>
      </c>
      <c r="AZ127" s="244">
        <v>5.2217180125374023</v>
      </c>
      <c r="BA127" s="42">
        <v>13.033035875769352</v>
      </c>
      <c r="BB127" s="42">
        <v>3.6323066600027252</v>
      </c>
      <c r="BC127" s="42">
        <v>0</v>
      </c>
      <c r="BD127" s="42">
        <v>0</v>
      </c>
      <c r="BE127" s="42">
        <v>16.665342535772076</v>
      </c>
      <c r="BF127" s="42">
        <v>4.1162599443211398</v>
      </c>
      <c r="BG127" s="42">
        <v>1.4220473097139028</v>
      </c>
      <c r="BH127" s="244">
        <v>4.0486613482134084</v>
      </c>
      <c r="BI127" s="42">
        <v>3.6532060363658361</v>
      </c>
      <c r="BJ127" s="42">
        <v>8.4420035005399487</v>
      </c>
      <c r="BK127" s="42">
        <v>0</v>
      </c>
      <c r="BL127" s="42">
        <v>51.462113920929255</v>
      </c>
      <c r="BM127" s="42">
        <v>63.557323457835039</v>
      </c>
      <c r="BN127" s="42">
        <v>13.033035875769352</v>
      </c>
      <c r="BO127" s="42">
        <v>0</v>
      </c>
      <c r="BP127" s="42">
        <v>3.6323066600027252</v>
      </c>
      <c r="BQ127" s="42">
        <v>0</v>
      </c>
      <c r="BR127" s="42">
        <v>0</v>
      </c>
      <c r="BS127" s="42">
        <v>0</v>
      </c>
      <c r="BT127" s="42">
        <v>0</v>
      </c>
      <c r="BU127" s="42">
        <v>0</v>
      </c>
      <c r="BV127" s="42">
        <v>0</v>
      </c>
      <c r="BW127" s="42">
        <v>0</v>
      </c>
      <c r="BX127" s="42">
        <v>21.629924138104382</v>
      </c>
      <c r="BY127" s="42"/>
      <c r="BZ127" s="42">
        <v>0</v>
      </c>
      <c r="CA127" s="42">
        <v>0</v>
      </c>
      <c r="CB127" s="42">
        <v>16.665342535772076</v>
      </c>
      <c r="CC127" s="42">
        <v>21.629924138104382</v>
      </c>
      <c r="CD127" s="245">
        <v>0.77047623604067828</v>
      </c>
      <c r="CE127" s="42">
        <v>52.884161230643166</v>
      </c>
      <c r="CF127" s="42">
        <v>0.23789604715023585</v>
      </c>
      <c r="CG127" s="42">
        <v>0</v>
      </c>
      <c r="CH127" s="42">
        <v>0.23789604715023585</v>
      </c>
      <c r="CI127" s="42">
        <v>1.1894689796702961E-2</v>
      </c>
      <c r="CJ127" s="42">
        <v>0</v>
      </c>
      <c r="CK127" s="42">
        <v>1.1894689796702961E-2</v>
      </c>
      <c r="CL127" s="42"/>
      <c r="CM127" s="42">
        <v>0</v>
      </c>
      <c r="CN127" s="42" t="s">
        <v>785</v>
      </c>
      <c r="CO127" s="42">
        <v>0</v>
      </c>
      <c r="CP127" s="42">
        <v>0</v>
      </c>
      <c r="CQ127" s="42">
        <v>0</v>
      </c>
      <c r="CR127" s="42">
        <v>0</v>
      </c>
      <c r="CS127" s="42">
        <v>0</v>
      </c>
      <c r="CT127" s="42">
        <v>0</v>
      </c>
      <c r="CU127" s="42">
        <v>0</v>
      </c>
      <c r="CV127" s="42">
        <v>9999</v>
      </c>
      <c r="CW127" s="244">
        <v>9999</v>
      </c>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row>
    <row r="128" spans="1:131">
      <c r="A128" s="18" t="s">
        <v>475</v>
      </c>
      <c r="B128" s="18" t="s">
        <v>545</v>
      </c>
      <c r="C128" s="42">
        <v>5</v>
      </c>
      <c r="D128" s="42">
        <v>8.3896576374604308</v>
      </c>
      <c r="E128" s="42">
        <v>0</v>
      </c>
      <c r="F128" s="42">
        <v>5.9214386557231435</v>
      </c>
      <c r="G128" s="42">
        <v>0</v>
      </c>
      <c r="H128" s="42">
        <v>0</v>
      </c>
      <c r="I128" s="42" t="s">
        <v>920</v>
      </c>
      <c r="J128" s="42"/>
      <c r="K128" s="42"/>
      <c r="L128" s="42">
        <v>9.0171646691916099</v>
      </c>
      <c r="M128" s="42">
        <v>1.6951040503644266E-3</v>
      </c>
      <c r="N128" s="42">
        <v>1.6828695494874215E-3</v>
      </c>
      <c r="O128" s="42">
        <v>0</v>
      </c>
      <c r="P128" s="42">
        <v>0</v>
      </c>
      <c r="Q128" s="42">
        <v>0</v>
      </c>
      <c r="R128" s="42">
        <v>1.1808139695023401</v>
      </c>
      <c r="S128" s="42">
        <v>2.72868148272899</v>
      </c>
      <c r="T128" s="42">
        <v>0</v>
      </c>
      <c r="U128" s="42">
        <v>16.633932609616664</v>
      </c>
      <c r="V128" s="42" t="s">
        <v>752</v>
      </c>
      <c r="W128" s="42" t="s">
        <v>752</v>
      </c>
      <c r="X128" s="42" t="s">
        <v>752</v>
      </c>
      <c r="Y128" s="42" t="s">
        <v>752</v>
      </c>
      <c r="Z128" s="42">
        <v>0</v>
      </c>
      <c r="AA128" s="42">
        <v>0</v>
      </c>
      <c r="AB128" s="42">
        <v>0</v>
      </c>
      <c r="AC128" s="42">
        <v>0</v>
      </c>
      <c r="AD128" s="42">
        <v>0</v>
      </c>
      <c r="AE128" s="42">
        <v>0</v>
      </c>
      <c r="AF128" s="42">
        <v>0</v>
      </c>
      <c r="AG128" s="42">
        <v>0</v>
      </c>
      <c r="AH128" s="42">
        <v>1.1808139695023401</v>
      </c>
      <c r="AI128" s="42">
        <v>2.72868148272899</v>
      </c>
      <c r="AJ128" s="42">
        <v>0</v>
      </c>
      <c r="AK128" s="42">
        <v>16.633932609616664</v>
      </c>
      <c r="AL128" s="42">
        <v>20.543428061847994</v>
      </c>
      <c r="AM128" s="42">
        <v>4.6930597185760945</v>
      </c>
      <c r="AN128" s="42">
        <v>0.59896244806135657</v>
      </c>
      <c r="AO128" s="42">
        <v>0</v>
      </c>
      <c r="AP128" s="42">
        <v>0</v>
      </c>
      <c r="AQ128" s="42">
        <v>5.2920221666374507</v>
      </c>
      <c r="AR128" s="42">
        <v>1.1808139695023401</v>
      </c>
      <c r="AS128" s="244">
        <v>4.4816730690167903</v>
      </c>
      <c r="AT128" s="42">
        <v>4.6930597185760945</v>
      </c>
      <c r="AU128" s="42">
        <v>0.70899313757982707</v>
      </c>
      <c r="AV128" s="42">
        <v>0</v>
      </c>
      <c r="AW128" s="42">
        <v>0</v>
      </c>
      <c r="AX128" s="42">
        <v>5.4020528561559216</v>
      </c>
      <c r="AY128" s="42">
        <v>2.72868148272899</v>
      </c>
      <c r="AZ128" s="244">
        <v>1.979730096879339</v>
      </c>
      <c r="BA128" s="42">
        <v>4.6930597185760945</v>
      </c>
      <c r="BB128" s="42">
        <v>1.3079555856411837</v>
      </c>
      <c r="BC128" s="42">
        <v>0</v>
      </c>
      <c r="BD128" s="42">
        <v>0</v>
      </c>
      <c r="BE128" s="42">
        <v>6.0010153042172778</v>
      </c>
      <c r="BF128" s="42">
        <v>3.9094954522313303</v>
      </c>
      <c r="BG128" s="42">
        <v>21.229051919994706</v>
      </c>
      <c r="BH128" s="244">
        <v>1.5349845977675252</v>
      </c>
      <c r="BI128" s="42">
        <v>9.6356628581196482</v>
      </c>
      <c r="BJ128" s="42">
        <v>22.266551289066939</v>
      </c>
      <c r="BK128" s="42">
        <v>0</v>
      </c>
      <c r="BL128" s="42">
        <v>135.73600141138144</v>
      </c>
      <c r="BM128" s="42">
        <v>167.63821555856799</v>
      </c>
      <c r="BN128" s="42">
        <v>4.6930597185760945</v>
      </c>
      <c r="BO128" s="42">
        <v>0</v>
      </c>
      <c r="BP128" s="42">
        <v>1.3079555856411837</v>
      </c>
      <c r="BQ128" s="42">
        <v>0</v>
      </c>
      <c r="BR128" s="42">
        <v>0</v>
      </c>
      <c r="BS128" s="42">
        <v>0</v>
      </c>
      <c r="BT128" s="42">
        <v>0</v>
      </c>
      <c r="BU128" s="42">
        <v>0</v>
      </c>
      <c r="BV128" s="42">
        <v>0</v>
      </c>
      <c r="BW128" s="42">
        <v>0</v>
      </c>
      <c r="BX128" s="42">
        <v>20.543428061847994</v>
      </c>
      <c r="BY128" s="42"/>
      <c r="BZ128" s="42">
        <v>0</v>
      </c>
      <c r="CA128" s="42">
        <v>0</v>
      </c>
      <c r="CB128" s="42">
        <v>6.0010153042172778</v>
      </c>
      <c r="CC128" s="42">
        <v>20.543428061847994</v>
      </c>
      <c r="CD128" s="245">
        <v>0.29211362807369035</v>
      </c>
      <c r="CE128" s="42">
        <v>156.96505333137608</v>
      </c>
      <c r="CF128" s="42">
        <v>8.5663874996687622E-2</v>
      </c>
      <c r="CG128" s="42">
        <v>0</v>
      </c>
      <c r="CH128" s="42">
        <v>8.5663874996687622E-2</v>
      </c>
      <c r="CI128" s="42">
        <v>4.2831532178660139E-3</v>
      </c>
      <c r="CJ128" s="42">
        <v>0</v>
      </c>
      <c r="CK128" s="42">
        <v>4.2831532178660139E-3</v>
      </c>
      <c r="CL128" s="42"/>
      <c r="CM128" s="42">
        <v>0</v>
      </c>
      <c r="CN128" s="42" t="s">
        <v>785</v>
      </c>
      <c r="CO128" s="42">
        <v>0</v>
      </c>
      <c r="CP128" s="42">
        <v>0</v>
      </c>
      <c r="CQ128" s="42">
        <v>0</v>
      </c>
      <c r="CR128" s="42">
        <v>0</v>
      </c>
      <c r="CS128" s="42">
        <v>0</v>
      </c>
      <c r="CT128" s="42">
        <v>0</v>
      </c>
      <c r="CU128" s="42">
        <v>0</v>
      </c>
      <c r="CV128" s="42">
        <v>9999</v>
      </c>
      <c r="CW128" s="244">
        <v>9999</v>
      </c>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row>
    <row r="129" spans="1:131">
      <c r="A129" s="18" t="s">
        <v>477</v>
      </c>
      <c r="B129" s="18" t="s">
        <v>546</v>
      </c>
      <c r="C129" s="42">
        <v>5</v>
      </c>
      <c r="D129" s="42">
        <v>1.1363148748567709</v>
      </c>
      <c r="E129" s="42">
        <v>0</v>
      </c>
      <c r="F129" s="42">
        <v>0.30407047893866596</v>
      </c>
      <c r="G129" s="42">
        <v>0</v>
      </c>
      <c r="H129" s="42">
        <v>0</v>
      </c>
      <c r="I129" s="42" t="s">
        <v>920</v>
      </c>
      <c r="J129" s="42"/>
      <c r="K129" s="42"/>
      <c r="L129" s="42">
        <v>1.2213058965463279</v>
      </c>
      <c r="M129" s="42">
        <v>2.2958886167876043E-4</v>
      </c>
      <c r="N129" s="42">
        <v>2.2793179223281373E-4</v>
      </c>
      <c r="O129" s="42">
        <v>0</v>
      </c>
      <c r="P129" s="42">
        <v>0</v>
      </c>
      <c r="Q129" s="42">
        <v>0</v>
      </c>
      <c r="R129" s="42">
        <v>6.0635715426523407E-2</v>
      </c>
      <c r="S129" s="42">
        <v>0.14011991571044086</v>
      </c>
      <c r="T129" s="42">
        <v>0</v>
      </c>
      <c r="U129" s="42">
        <v>0.85416537252330083</v>
      </c>
      <c r="V129" s="42" t="s">
        <v>752</v>
      </c>
      <c r="W129" s="42" t="s">
        <v>752</v>
      </c>
      <c r="X129" s="42" t="s">
        <v>752</v>
      </c>
      <c r="Y129" s="42" t="s">
        <v>752</v>
      </c>
      <c r="Z129" s="42">
        <v>0</v>
      </c>
      <c r="AA129" s="42">
        <v>0</v>
      </c>
      <c r="AB129" s="42">
        <v>0</v>
      </c>
      <c r="AC129" s="42">
        <v>0</v>
      </c>
      <c r="AD129" s="42">
        <v>0</v>
      </c>
      <c r="AE129" s="42">
        <v>0</v>
      </c>
      <c r="AF129" s="42">
        <v>0</v>
      </c>
      <c r="AG129" s="42">
        <v>0</v>
      </c>
      <c r="AH129" s="42">
        <v>6.0635715426523407E-2</v>
      </c>
      <c r="AI129" s="42">
        <v>0.14011991571044086</v>
      </c>
      <c r="AJ129" s="42">
        <v>0</v>
      </c>
      <c r="AK129" s="42">
        <v>0.85416537252330083</v>
      </c>
      <c r="AL129" s="42">
        <v>1.0549210036602652</v>
      </c>
      <c r="AM129" s="42">
        <v>0.63563899711447513</v>
      </c>
      <c r="AN129" s="42">
        <v>8.1124876439984006E-2</v>
      </c>
      <c r="AO129" s="42">
        <v>0</v>
      </c>
      <c r="AP129" s="42">
        <v>0</v>
      </c>
      <c r="AQ129" s="42">
        <v>0.71676387355445914</v>
      </c>
      <c r="AR129" s="42">
        <v>6.0635715426523407E-2</v>
      </c>
      <c r="AS129" s="244">
        <v>11.820819932816867</v>
      </c>
      <c r="AT129" s="42">
        <v>0.63563899711447513</v>
      </c>
      <c r="AU129" s="42">
        <v>9.6027690665956567E-2</v>
      </c>
      <c r="AV129" s="42">
        <v>0</v>
      </c>
      <c r="AW129" s="42">
        <v>0</v>
      </c>
      <c r="AX129" s="42">
        <v>0.73166668778043165</v>
      </c>
      <c r="AY129" s="42">
        <v>0.14011991571044086</v>
      </c>
      <c r="AZ129" s="244">
        <v>5.2217180125374032</v>
      </c>
      <c r="BA129" s="42">
        <v>0.63563899711447513</v>
      </c>
      <c r="BB129" s="42">
        <v>0.17715256710594057</v>
      </c>
      <c r="BC129" s="42">
        <v>0</v>
      </c>
      <c r="BD129" s="42">
        <v>0</v>
      </c>
      <c r="BE129" s="42">
        <v>0.81279156422041565</v>
      </c>
      <c r="BF129" s="42">
        <v>0.20075563113696426</v>
      </c>
      <c r="BG129" s="42">
        <v>1.4220473097139006</v>
      </c>
      <c r="BH129" s="244">
        <v>4.0486613482134093</v>
      </c>
      <c r="BI129" s="42">
        <v>3.6532060363658352</v>
      </c>
      <c r="BJ129" s="42">
        <v>8.442003500539947</v>
      </c>
      <c r="BK129" s="42">
        <v>0</v>
      </c>
      <c r="BL129" s="42">
        <v>51.462113920929255</v>
      </c>
      <c r="BM129" s="42">
        <v>63.557323457835039</v>
      </c>
      <c r="BN129" s="42">
        <v>0.63563899711447513</v>
      </c>
      <c r="BO129" s="42">
        <v>0</v>
      </c>
      <c r="BP129" s="42">
        <v>0.17715256710594057</v>
      </c>
      <c r="BQ129" s="42">
        <v>0</v>
      </c>
      <c r="BR129" s="42">
        <v>0</v>
      </c>
      <c r="BS129" s="42">
        <v>0</v>
      </c>
      <c r="BT129" s="42">
        <v>0</v>
      </c>
      <c r="BU129" s="42">
        <v>0</v>
      </c>
      <c r="BV129" s="42">
        <v>0</v>
      </c>
      <c r="BW129" s="42">
        <v>0</v>
      </c>
      <c r="BX129" s="42">
        <v>1.0549210036602652</v>
      </c>
      <c r="BY129" s="42"/>
      <c r="BZ129" s="42">
        <v>0</v>
      </c>
      <c r="CA129" s="42">
        <v>0</v>
      </c>
      <c r="CB129" s="42">
        <v>0.81279156422041576</v>
      </c>
      <c r="CC129" s="42">
        <v>1.0549210036602652</v>
      </c>
      <c r="CD129" s="245">
        <v>0.77047623604067828</v>
      </c>
      <c r="CE129" s="42">
        <v>52.884161230643159</v>
      </c>
      <c r="CF129" s="42">
        <v>1.1602515812084137E-2</v>
      </c>
      <c r="CG129" s="42">
        <v>0</v>
      </c>
      <c r="CH129" s="42">
        <v>1.1602515812084137E-2</v>
      </c>
      <c r="CI129" s="42">
        <v>5.8012030085950565E-4</v>
      </c>
      <c r="CJ129" s="42">
        <v>0</v>
      </c>
      <c r="CK129" s="42">
        <v>5.8012030085950565E-4</v>
      </c>
      <c r="CL129" s="42"/>
      <c r="CM129" s="42">
        <v>0</v>
      </c>
      <c r="CN129" s="42" t="s">
        <v>785</v>
      </c>
      <c r="CO129" s="42">
        <v>0</v>
      </c>
      <c r="CP129" s="42">
        <v>0</v>
      </c>
      <c r="CQ129" s="42">
        <v>0</v>
      </c>
      <c r="CR129" s="42">
        <v>0</v>
      </c>
      <c r="CS129" s="42">
        <v>0</v>
      </c>
      <c r="CT129" s="42">
        <v>0</v>
      </c>
      <c r="CU129" s="42">
        <v>0</v>
      </c>
      <c r="CV129" s="42">
        <v>9999</v>
      </c>
      <c r="CW129" s="244">
        <v>9999</v>
      </c>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row>
    <row r="130" spans="1:131">
      <c r="A130" s="18" t="s">
        <v>479</v>
      </c>
      <c r="B130" s="18" t="s">
        <v>547</v>
      </c>
      <c r="C130" s="42">
        <v>5</v>
      </c>
      <c r="D130" s="42">
        <v>1.6479335209205117</v>
      </c>
      <c r="E130" s="42">
        <v>0</v>
      </c>
      <c r="F130" s="42">
        <v>0.88895223412750846</v>
      </c>
      <c r="G130" s="42">
        <v>0</v>
      </c>
      <c r="H130" s="42">
        <v>0</v>
      </c>
      <c r="I130" s="42" t="s">
        <v>920</v>
      </c>
      <c r="J130" s="42"/>
      <c r="K130" s="42"/>
      <c r="L130" s="42">
        <v>1.7711912171089539</v>
      </c>
      <c r="M130" s="42">
        <v>3.3295980679483897E-4</v>
      </c>
      <c r="N130" s="42">
        <v>3.3055665222308085E-4</v>
      </c>
      <c r="O130" s="42">
        <v>0</v>
      </c>
      <c r="P130" s="42">
        <v>0</v>
      </c>
      <c r="Q130" s="42">
        <v>0</v>
      </c>
      <c r="R130" s="42">
        <v>0.17726895055537578</v>
      </c>
      <c r="S130" s="42">
        <v>0.40964158227829661</v>
      </c>
      <c r="T130" s="42">
        <v>0</v>
      </c>
      <c r="U130" s="42">
        <v>2.4971586155593375</v>
      </c>
      <c r="V130" s="42" t="s">
        <v>752</v>
      </c>
      <c r="W130" s="42" t="s">
        <v>752</v>
      </c>
      <c r="X130" s="42" t="s">
        <v>752</v>
      </c>
      <c r="Y130" s="42" t="s">
        <v>752</v>
      </c>
      <c r="Z130" s="42">
        <v>0</v>
      </c>
      <c r="AA130" s="42">
        <v>0</v>
      </c>
      <c r="AB130" s="42">
        <v>0</v>
      </c>
      <c r="AC130" s="42">
        <v>0</v>
      </c>
      <c r="AD130" s="42">
        <v>0</v>
      </c>
      <c r="AE130" s="42">
        <v>0</v>
      </c>
      <c r="AF130" s="42">
        <v>0</v>
      </c>
      <c r="AG130" s="42">
        <v>0</v>
      </c>
      <c r="AH130" s="42">
        <v>0.17726895055537578</v>
      </c>
      <c r="AI130" s="42">
        <v>0.40964158227829661</v>
      </c>
      <c r="AJ130" s="42">
        <v>0</v>
      </c>
      <c r="AK130" s="42">
        <v>2.4971586155593375</v>
      </c>
      <c r="AL130" s="42">
        <v>3.0840691483930098</v>
      </c>
      <c r="AM130" s="42">
        <v>0.92183146918786329</v>
      </c>
      <c r="AN130" s="42">
        <v>0.1176508432865805</v>
      </c>
      <c r="AO130" s="42">
        <v>0</v>
      </c>
      <c r="AP130" s="42">
        <v>0</v>
      </c>
      <c r="AQ130" s="42">
        <v>1.0394823124744439</v>
      </c>
      <c r="AR130" s="42">
        <v>0.17726895055537578</v>
      </c>
      <c r="AS130" s="244">
        <v>5.8638713052556115</v>
      </c>
      <c r="AT130" s="42">
        <v>0.92183146918786329</v>
      </c>
      <c r="AU130" s="42">
        <v>0.13926355615556132</v>
      </c>
      <c r="AV130" s="42">
        <v>0</v>
      </c>
      <c r="AW130" s="42">
        <v>0</v>
      </c>
      <c r="AX130" s="42">
        <v>1.0610950253434246</v>
      </c>
      <c r="AY130" s="42">
        <v>0.40964158227829661</v>
      </c>
      <c r="AZ130" s="244">
        <v>2.5903010613374513</v>
      </c>
      <c r="BA130" s="42">
        <v>0.92183146918786329</v>
      </c>
      <c r="BB130" s="42">
        <v>0.25691439944214184</v>
      </c>
      <c r="BC130" s="42">
        <v>0</v>
      </c>
      <c r="BD130" s="42">
        <v>0</v>
      </c>
      <c r="BE130" s="42">
        <v>1.1787458686300052</v>
      </c>
      <c r="BF130" s="42">
        <v>0.58691053283367234</v>
      </c>
      <c r="BG130" s="42">
        <v>13.709244299586439</v>
      </c>
      <c r="BH130" s="244">
        <v>2.0083910624995651</v>
      </c>
      <c r="BI130" s="42">
        <v>7.3643994701343036</v>
      </c>
      <c r="BJ130" s="42">
        <v>17.01800705664402</v>
      </c>
      <c r="BK130" s="42">
        <v>0</v>
      </c>
      <c r="BL130" s="42">
        <v>103.74108679298439</v>
      </c>
      <c r="BM130" s="42">
        <v>128.1234933197627</v>
      </c>
      <c r="BN130" s="42">
        <v>0.92183146918786329</v>
      </c>
      <c r="BO130" s="42">
        <v>0</v>
      </c>
      <c r="BP130" s="42">
        <v>0.25691439944214184</v>
      </c>
      <c r="BQ130" s="42">
        <v>0</v>
      </c>
      <c r="BR130" s="42">
        <v>0</v>
      </c>
      <c r="BS130" s="42">
        <v>0</v>
      </c>
      <c r="BT130" s="42">
        <v>0</v>
      </c>
      <c r="BU130" s="42">
        <v>0</v>
      </c>
      <c r="BV130" s="42">
        <v>0</v>
      </c>
      <c r="BW130" s="42">
        <v>0</v>
      </c>
      <c r="BX130" s="42">
        <v>3.0840691483930098</v>
      </c>
      <c r="BY130" s="42"/>
      <c r="BZ130" s="42">
        <v>0</v>
      </c>
      <c r="CA130" s="42">
        <v>0</v>
      </c>
      <c r="CB130" s="42">
        <v>1.1787458686300052</v>
      </c>
      <c r="CC130" s="42">
        <v>3.0840691483930098</v>
      </c>
      <c r="CD130" s="245">
        <v>0.382204747012305</v>
      </c>
      <c r="CE130" s="42">
        <v>117.45033109257079</v>
      </c>
      <c r="CF130" s="42">
        <v>1.6826475791891549E-2</v>
      </c>
      <c r="CG130" s="42">
        <v>0</v>
      </c>
      <c r="CH130" s="42">
        <v>1.6826475791891549E-2</v>
      </c>
      <c r="CI130" s="42">
        <v>8.4131582812675286E-4</v>
      </c>
      <c r="CJ130" s="42">
        <v>0</v>
      </c>
      <c r="CK130" s="42">
        <v>8.4131582812675286E-4</v>
      </c>
      <c r="CL130" s="42"/>
      <c r="CM130" s="42">
        <v>0</v>
      </c>
      <c r="CN130" s="42" t="s">
        <v>785</v>
      </c>
      <c r="CO130" s="42">
        <v>0</v>
      </c>
      <c r="CP130" s="42">
        <v>0</v>
      </c>
      <c r="CQ130" s="42">
        <v>0</v>
      </c>
      <c r="CR130" s="42">
        <v>0</v>
      </c>
      <c r="CS130" s="42">
        <v>0</v>
      </c>
      <c r="CT130" s="42">
        <v>0</v>
      </c>
      <c r="CU130" s="42">
        <v>0</v>
      </c>
      <c r="CV130" s="42">
        <v>9999</v>
      </c>
      <c r="CW130" s="244">
        <v>9999</v>
      </c>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row>
    <row r="131" spans="1:131">
      <c r="A131" s="18" t="s">
        <v>481</v>
      </c>
      <c r="B131" s="18" t="s">
        <v>548</v>
      </c>
      <c r="C131" s="42">
        <v>5</v>
      </c>
      <c r="D131" s="42">
        <v>2.7830012915988616</v>
      </c>
      <c r="E131" s="42">
        <v>0</v>
      </c>
      <c r="F131" s="42">
        <v>1.0778183420989182</v>
      </c>
      <c r="G131" s="42">
        <v>0</v>
      </c>
      <c r="H131" s="42">
        <v>0</v>
      </c>
      <c r="I131" s="42" t="s">
        <v>920</v>
      </c>
      <c r="J131" s="42"/>
      <c r="K131" s="42"/>
      <c r="L131" s="42">
        <v>2.9911567319350256</v>
      </c>
      <c r="M131" s="42">
        <v>5.6229669498011274E-4</v>
      </c>
      <c r="N131" s="42">
        <v>5.5823828959408804E-4</v>
      </c>
      <c r="O131" s="42">
        <v>0</v>
      </c>
      <c r="P131" s="42">
        <v>0</v>
      </c>
      <c r="Q131" s="42">
        <v>0</v>
      </c>
      <c r="R131" s="42">
        <v>0.21493137545318852</v>
      </c>
      <c r="S131" s="42">
        <v>0.49667371779465169</v>
      </c>
      <c r="T131" s="42">
        <v>0</v>
      </c>
      <c r="U131" s="42">
        <v>3.0277030144615598</v>
      </c>
      <c r="V131" s="42" t="s">
        <v>752</v>
      </c>
      <c r="W131" s="42" t="s">
        <v>752</v>
      </c>
      <c r="X131" s="42" t="s">
        <v>752</v>
      </c>
      <c r="Y131" s="42" t="s">
        <v>752</v>
      </c>
      <c r="Z131" s="42">
        <v>0</v>
      </c>
      <c r="AA131" s="42">
        <v>0</v>
      </c>
      <c r="AB131" s="42">
        <v>0</v>
      </c>
      <c r="AC131" s="42">
        <v>0</v>
      </c>
      <c r="AD131" s="42">
        <v>0</v>
      </c>
      <c r="AE131" s="42">
        <v>0</v>
      </c>
      <c r="AF131" s="42">
        <v>0</v>
      </c>
      <c r="AG131" s="42">
        <v>0</v>
      </c>
      <c r="AH131" s="42">
        <v>0.21493137545318852</v>
      </c>
      <c r="AI131" s="42">
        <v>0.49667371779465169</v>
      </c>
      <c r="AJ131" s="42">
        <v>0</v>
      </c>
      <c r="AK131" s="42">
        <v>3.0277030144615598</v>
      </c>
      <c r="AL131" s="42">
        <v>3.7393081077093999</v>
      </c>
      <c r="AM131" s="42">
        <v>1.556772853284321</v>
      </c>
      <c r="AN131" s="42">
        <v>0.1986866852743886</v>
      </c>
      <c r="AO131" s="42">
        <v>0</v>
      </c>
      <c r="AP131" s="42">
        <v>0</v>
      </c>
      <c r="AQ131" s="42">
        <v>1.7554595385587097</v>
      </c>
      <c r="AR131" s="42">
        <v>0.21493137545318852</v>
      </c>
      <c r="AS131" s="244">
        <v>8.1675350323203233</v>
      </c>
      <c r="AT131" s="42">
        <v>1.556772853284321</v>
      </c>
      <c r="AU131" s="42">
        <v>0.23518585654904725</v>
      </c>
      <c r="AV131" s="42">
        <v>0</v>
      </c>
      <c r="AW131" s="42">
        <v>0</v>
      </c>
      <c r="AX131" s="42">
        <v>1.7919587098333682</v>
      </c>
      <c r="AY131" s="42">
        <v>0.49667371779465169</v>
      </c>
      <c r="AZ131" s="244">
        <v>3.6079193354343109</v>
      </c>
      <c r="BA131" s="42">
        <v>1.556772853284321</v>
      </c>
      <c r="BB131" s="42">
        <v>0.43387254182343582</v>
      </c>
      <c r="BC131" s="42">
        <v>0</v>
      </c>
      <c r="BD131" s="42">
        <v>0</v>
      </c>
      <c r="BE131" s="42">
        <v>1.990645395107757</v>
      </c>
      <c r="BF131" s="42">
        <v>0.71160509324784016</v>
      </c>
      <c r="BG131" s="42">
        <v>6.8321552792130644</v>
      </c>
      <c r="BH131" s="244">
        <v>2.7974018370529685</v>
      </c>
      <c r="BI131" s="42">
        <v>5.2872611580451414</v>
      </c>
      <c r="BJ131" s="42">
        <v>12.218056348359809</v>
      </c>
      <c r="BK131" s="42">
        <v>0</v>
      </c>
      <c r="BL131" s="42">
        <v>74.480780261629818</v>
      </c>
      <c r="BM131" s="42">
        <v>91.986097768034767</v>
      </c>
      <c r="BN131" s="42">
        <v>1.556772853284321</v>
      </c>
      <c r="BO131" s="42">
        <v>0</v>
      </c>
      <c r="BP131" s="42">
        <v>0.43387254182343582</v>
      </c>
      <c r="BQ131" s="42">
        <v>0</v>
      </c>
      <c r="BR131" s="42">
        <v>0</v>
      </c>
      <c r="BS131" s="42">
        <v>0</v>
      </c>
      <c r="BT131" s="42">
        <v>0</v>
      </c>
      <c r="BU131" s="42">
        <v>0</v>
      </c>
      <c r="BV131" s="42">
        <v>0</v>
      </c>
      <c r="BW131" s="42">
        <v>0</v>
      </c>
      <c r="BX131" s="42">
        <v>3.7393081077093999</v>
      </c>
      <c r="BY131" s="42"/>
      <c r="BZ131" s="42">
        <v>0</v>
      </c>
      <c r="CA131" s="42">
        <v>0</v>
      </c>
      <c r="CB131" s="42">
        <v>1.990645395107757</v>
      </c>
      <c r="CC131" s="42">
        <v>3.7393081077093999</v>
      </c>
      <c r="CD131" s="245">
        <v>0.53235661190999661</v>
      </c>
      <c r="CE131" s="42">
        <v>81.312935540842886</v>
      </c>
      <c r="CF131" s="42">
        <v>2.8416257857133538E-2</v>
      </c>
      <c r="CG131" s="42">
        <v>0</v>
      </c>
      <c r="CH131" s="42">
        <v>2.8416257857133538E-2</v>
      </c>
      <c r="CI131" s="42">
        <v>1.4207994476691372E-3</v>
      </c>
      <c r="CJ131" s="42">
        <v>0</v>
      </c>
      <c r="CK131" s="42">
        <v>1.4207994476691372E-3</v>
      </c>
      <c r="CL131" s="42"/>
      <c r="CM131" s="42">
        <v>0</v>
      </c>
      <c r="CN131" s="42" t="s">
        <v>785</v>
      </c>
      <c r="CO131" s="42">
        <v>0</v>
      </c>
      <c r="CP131" s="42">
        <v>0</v>
      </c>
      <c r="CQ131" s="42">
        <v>0</v>
      </c>
      <c r="CR131" s="42">
        <v>0</v>
      </c>
      <c r="CS131" s="42">
        <v>0</v>
      </c>
      <c r="CT131" s="42">
        <v>0</v>
      </c>
      <c r="CU131" s="42">
        <v>0</v>
      </c>
      <c r="CV131" s="42">
        <v>9999</v>
      </c>
      <c r="CW131" s="244">
        <v>9999</v>
      </c>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row>
    <row r="132" spans="1:131">
      <c r="A132" s="18" t="s">
        <v>483</v>
      </c>
      <c r="B132" s="18" t="s">
        <v>549</v>
      </c>
      <c r="C132" s="42">
        <v>5</v>
      </c>
      <c r="D132" s="42">
        <v>24.206350922658835</v>
      </c>
      <c r="E132" s="42">
        <v>0</v>
      </c>
      <c r="F132" s="42">
        <v>4.062408430307328</v>
      </c>
      <c r="G132" s="42">
        <v>0</v>
      </c>
      <c r="H132" s="42">
        <v>0</v>
      </c>
      <c r="I132" s="42" t="s">
        <v>920</v>
      </c>
      <c r="J132" s="42"/>
      <c r="K132" s="42"/>
      <c r="L132" s="42">
        <v>26.016872409101619</v>
      </c>
      <c r="M132" s="42">
        <v>4.8908173928730462E-3</v>
      </c>
      <c r="N132" s="42">
        <v>4.85551766618694E-3</v>
      </c>
      <c r="O132" s="42">
        <v>0</v>
      </c>
      <c r="P132" s="42">
        <v>0</v>
      </c>
      <c r="Q132" s="42">
        <v>0</v>
      </c>
      <c r="R132" s="42">
        <v>0.8100985086951219</v>
      </c>
      <c r="S132" s="42">
        <v>1.8720144383068025</v>
      </c>
      <c r="T132" s="42">
        <v>0</v>
      </c>
      <c r="U132" s="42">
        <v>11.411724749889922</v>
      </c>
      <c r="V132" s="42" t="s">
        <v>752</v>
      </c>
      <c r="W132" s="42" t="s">
        <v>752</v>
      </c>
      <c r="X132" s="42" t="s">
        <v>752</v>
      </c>
      <c r="Y132" s="42" t="s">
        <v>752</v>
      </c>
      <c r="Z132" s="42">
        <v>0</v>
      </c>
      <c r="AA132" s="42">
        <v>0</v>
      </c>
      <c r="AB132" s="42">
        <v>0</v>
      </c>
      <c r="AC132" s="42">
        <v>0</v>
      </c>
      <c r="AD132" s="42">
        <v>0</v>
      </c>
      <c r="AE132" s="42">
        <v>0</v>
      </c>
      <c r="AF132" s="42">
        <v>0</v>
      </c>
      <c r="AG132" s="42">
        <v>0</v>
      </c>
      <c r="AH132" s="42">
        <v>0.8100985086951219</v>
      </c>
      <c r="AI132" s="42">
        <v>1.8720144383068025</v>
      </c>
      <c r="AJ132" s="42">
        <v>0</v>
      </c>
      <c r="AK132" s="42">
        <v>11.411724749889922</v>
      </c>
      <c r="AL132" s="42">
        <v>14.093837696891846</v>
      </c>
      <c r="AM132" s="42">
        <v>13.540701582577942</v>
      </c>
      <c r="AN132" s="42">
        <v>1.7281629160325067</v>
      </c>
      <c r="AO132" s="42">
        <v>0</v>
      </c>
      <c r="AP132" s="42">
        <v>0</v>
      </c>
      <c r="AQ132" s="42">
        <v>15.268864498610448</v>
      </c>
      <c r="AR132" s="42">
        <v>0.8100985086951219</v>
      </c>
      <c r="AS132" s="244">
        <v>18.84815776689306</v>
      </c>
      <c r="AT132" s="42">
        <v>13.540701582577942</v>
      </c>
      <c r="AU132" s="42">
        <v>2.045630159374328</v>
      </c>
      <c r="AV132" s="42">
        <v>0</v>
      </c>
      <c r="AW132" s="42">
        <v>0</v>
      </c>
      <c r="AX132" s="42">
        <v>15.58633174195227</v>
      </c>
      <c r="AY132" s="42">
        <v>1.8720144383068025</v>
      </c>
      <c r="AZ132" s="244">
        <v>8.3259676971561056</v>
      </c>
      <c r="BA132" s="42">
        <v>13.540701582577942</v>
      </c>
      <c r="BB132" s="42">
        <v>3.773793075406835</v>
      </c>
      <c r="BC132" s="42">
        <v>0</v>
      </c>
      <c r="BD132" s="42">
        <v>0</v>
      </c>
      <c r="BE132" s="42">
        <v>17.314494657984778</v>
      </c>
      <c r="BF132" s="42">
        <v>2.6821129470019245</v>
      </c>
      <c r="BG132" s="42">
        <v>-3.0875246410830774</v>
      </c>
      <c r="BH132" s="244">
        <v>6.4555427008914679</v>
      </c>
      <c r="BI132" s="42">
        <v>2.2911465018195609</v>
      </c>
      <c r="BJ132" s="42">
        <v>5.2944910842892501</v>
      </c>
      <c r="BK132" s="42">
        <v>0</v>
      </c>
      <c r="BL132" s="42">
        <v>32.275004780039581</v>
      </c>
      <c r="BM132" s="42">
        <v>39.86064236614839</v>
      </c>
      <c r="BN132" s="42">
        <v>13.540701582577942</v>
      </c>
      <c r="BO132" s="42">
        <v>0</v>
      </c>
      <c r="BP132" s="42">
        <v>3.773793075406835</v>
      </c>
      <c r="BQ132" s="42">
        <v>0</v>
      </c>
      <c r="BR132" s="42">
        <v>0</v>
      </c>
      <c r="BS132" s="42">
        <v>0</v>
      </c>
      <c r="BT132" s="42">
        <v>0</v>
      </c>
      <c r="BU132" s="42">
        <v>0</v>
      </c>
      <c r="BV132" s="42">
        <v>0</v>
      </c>
      <c r="BW132" s="42">
        <v>0</v>
      </c>
      <c r="BX132" s="42">
        <v>14.093837696891846</v>
      </c>
      <c r="BY132" s="42"/>
      <c r="BZ132" s="42">
        <v>0</v>
      </c>
      <c r="CA132" s="42">
        <v>0</v>
      </c>
      <c r="CB132" s="42">
        <v>17.314494657984774</v>
      </c>
      <c r="CC132" s="42">
        <v>14.093837696891846</v>
      </c>
      <c r="CD132" s="244">
        <v>1.2285152582538388</v>
      </c>
      <c r="CE132" s="42">
        <v>29.187480138956516</v>
      </c>
      <c r="CF132" s="42">
        <v>0.24716262679251436</v>
      </c>
      <c r="CG132" s="42">
        <v>0</v>
      </c>
      <c r="CH132" s="42">
        <v>0.24716262679251436</v>
      </c>
      <c r="CI132" s="42">
        <v>1.2358014394323267E-2</v>
      </c>
      <c r="CJ132" s="42">
        <v>0</v>
      </c>
      <c r="CK132" s="42">
        <v>1.2358014394323267E-2</v>
      </c>
      <c r="CL132" s="42"/>
      <c r="CM132" s="42">
        <v>0</v>
      </c>
      <c r="CN132" s="42" t="s">
        <v>785</v>
      </c>
      <c r="CO132" s="42">
        <v>0</v>
      </c>
      <c r="CP132" s="42">
        <v>0</v>
      </c>
      <c r="CQ132" s="42">
        <v>0</v>
      </c>
      <c r="CR132" s="42">
        <v>0</v>
      </c>
      <c r="CS132" s="42">
        <v>0</v>
      </c>
      <c r="CT132" s="42">
        <v>0</v>
      </c>
      <c r="CU132" s="42">
        <v>0</v>
      </c>
      <c r="CV132" s="42">
        <v>9999</v>
      </c>
      <c r="CW132" s="244">
        <v>9999</v>
      </c>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row>
    <row r="133" spans="1:131">
      <c r="A133" s="18" t="s">
        <v>485</v>
      </c>
      <c r="B133" s="18" t="s">
        <v>550</v>
      </c>
      <c r="C133" s="42">
        <v>5</v>
      </c>
      <c r="D133" s="42">
        <v>23.013113030791118</v>
      </c>
      <c r="E133" s="42">
        <v>0</v>
      </c>
      <c r="F133" s="42">
        <v>7.7243087719090573</v>
      </c>
      <c r="G133" s="42">
        <v>0</v>
      </c>
      <c r="H133" s="42">
        <v>0</v>
      </c>
      <c r="I133" s="42" t="s">
        <v>920</v>
      </c>
      <c r="J133" s="42"/>
      <c r="K133" s="42"/>
      <c r="L133" s="42">
        <v>24.73438592092268</v>
      </c>
      <c r="M133" s="42">
        <v>4.6497274138824927E-3</v>
      </c>
      <c r="N133" s="42">
        <v>4.6161677665494862E-3</v>
      </c>
      <c r="O133" s="42">
        <v>0</v>
      </c>
      <c r="P133" s="42">
        <v>0</v>
      </c>
      <c r="Q133" s="42">
        <v>0</v>
      </c>
      <c r="R133" s="42">
        <v>1.5403303543141746</v>
      </c>
      <c r="S133" s="42">
        <v>3.5594691658956896</v>
      </c>
      <c r="T133" s="42">
        <v>0</v>
      </c>
      <c r="U133" s="42">
        <v>21.698380923633003</v>
      </c>
      <c r="V133" s="42" t="s">
        <v>752</v>
      </c>
      <c r="W133" s="42" t="s">
        <v>752</v>
      </c>
      <c r="X133" s="42" t="s">
        <v>752</v>
      </c>
      <c r="Y133" s="42" t="s">
        <v>752</v>
      </c>
      <c r="Z133" s="42">
        <v>0</v>
      </c>
      <c r="AA133" s="42">
        <v>0</v>
      </c>
      <c r="AB133" s="42">
        <v>0</v>
      </c>
      <c r="AC133" s="42">
        <v>0</v>
      </c>
      <c r="AD133" s="42">
        <v>0</v>
      </c>
      <c r="AE133" s="42">
        <v>0</v>
      </c>
      <c r="AF133" s="42">
        <v>0</v>
      </c>
      <c r="AG133" s="42">
        <v>0</v>
      </c>
      <c r="AH133" s="42">
        <v>1.5403303543141746</v>
      </c>
      <c r="AI133" s="42">
        <v>3.5594691658956896</v>
      </c>
      <c r="AJ133" s="42">
        <v>0</v>
      </c>
      <c r="AK133" s="42">
        <v>21.698380923633003</v>
      </c>
      <c r="AL133" s="42">
        <v>26.798180443842867</v>
      </c>
      <c r="AM133" s="42">
        <v>12.873220628408962</v>
      </c>
      <c r="AN133" s="42">
        <v>1.6429741372149489</v>
      </c>
      <c r="AO133" s="42">
        <v>0</v>
      </c>
      <c r="AP133" s="42">
        <v>0</v>
      </c>
      <c r="AQ133" s="42">
        <v>14.516194765623911</v>
      </c>
      <c r="AR133" s="42">
        <v>1.5403303543141746</v>
      </c>
      <c r="AS133" s="244">
        <v>9.424078883446521</v>
      </c>
      <c r="AT133" s="42">
        <v>12.873220628408962</v>
      </c>
      <c r="AU133" s="42">
        <v>1.944792018726371</v>
      </c>
      <c r="AV133" s="42">
        <v>0</v>
      </c>
      <c r="AW133" s="42">
        <v>0</v>
      </c>
      <c r="AX133" s="42">
        <v>14.818012647135333</v>
      </c>
      <c r="AY133" s="42">
        <v>3.5594691658956896</v>
      </c>
      <c r="AZ133" s="244">
        <v>4.1629838485780484</v>
      </c>
      <c r="BA133" s="42">
        <v>12.873220628408962</v>
      </c>
      <c r="BB133" s="42">
        <v>3.5877661559413196</v>
      </c>
      <c r="BC133" s="42">
        <v>0</v>
      </c>
      <c r="BD133" s="42">
        <v>0</v>
      </c>
      <c r="BE133" s="42">
        <v>16.460986784350283</v>
      </c>
      <c r="BF133" s="42">
        <v>5.0997995202098645</v>
      </c>
      <c r="BG133" s="42">
        <v>4.4981129450257376</v>
      </c>
      <c r="BH133" s="244">
        <v>3.2277713504457304</v>
      </c>
      <c r="BI133" s="42">
        <v>4.5822930036391227</v>
      </c>
      <c r="BJ133" s="42">
        <v>10.588982168578502</v>
      </c>
      <c r="BK133" s="42">
        <v>0</v>
      </c>
      <c r="BL133" s="42">
        <v>64.550009560079161</v>
      </c>
      <c r="BM133" s="42">
        <v>79.721284732296795</v>
      </c>
      <c r="BN133" s="42">
        <v>12.873220628408962</v>
      </c>
      <c r="BO133" s="42">
        <v>0</v>
      </c>
      <c r="BP133" s="42">
        <v>3.5877661559413196</v>
      </c>
      <c r="BQ133" s="42">
        <v>0</v>
      </c>
      <c r="BR133" s="42">
        <v>0</v>
      </c>
      <c r="BS133" s="42">
        <v>0</v>
      </c>
      <c r="BT133" s="42">
        <v>0</v>
      </c>
      <c r="BU133" s="42">
        <v>0</v>
      </c>
      <c r="BV133" s="42">
        <v>0</v>
      </c>
      <c r="BW133" s="42">
        <v>0</v>
      </c>
      <c r="BX133" s="42">
        <v>26.798180443842867</v>
      </c>
      <c r="BY133" s="42"/>
      <c r="BZ133" s="42">
        <v>0</v>
      </c>
      <c r="CA133" s="42">
        <v>0</v>
      </c>
      <c r="CB133" s="42">
        <v>16.460986784350283</v>
      </c>
      <c r="CC133" s="42">
        <v>26.798180443842867</v>
      </c>
      <c r="CD133" s="245">
        <v>0.61425762912691895</v>
      </c>
      <c r="CE133" s="42">
        <v>69.048122505104914</v>
      </c>
      <c r="CF133" s="42">
        <v>0.23497888985981061</v>
      </c>
      <c r="CG133" s="42">
        <v>0</v>
      </c>
      <c r="CH133" s="42">
        <v>0.23497888985981061</v>
      </c>
      <c r="CI133" s="42">
        <v>1.1748833312438272E-2</v>
      </c>
      <c r="CJ133" s="42">
        <v>0</v>
      </c>
      <c r="CK133" s="42">
        <v>1.1748833312438272E-2</v>
      </c>
      <c r="CL133" s="42"/>
      <c r="CM133" s="42">
        <v>0</v>
      </c>
      <c r="CN133" s="42" t="s">
        <v>785</v>
      </c>
      <c r="CO133" s="42">
        <v>0</v>
      </c>
      <c r="CP133" s="42">
        <v>0</v>
      </c>
      <c r="CQ133" s="42">
        <v>0</v>
      </c>
      <c r="CR133" s="42">
        <v>0</v>
      </c>
      <c r="CS133" s="42">
        <v>0</v>
      </c>
      <c r="CT133" s="42">
        <v>0</v>
      </c>
      <c r="CU133" s="42">
        <v>0</v>
      </c>
      <c r="CV133" s="42">
        <v>9999</v>
      </c>
      <c r="CW133" s="244">
        <v>9999</v>
      </c>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row>
    <row r="134" spans="1:131">
      <c r="A134" s="18" t="s">
        <v>487</v>
      </c>
      <c r="B134" s="18" t="s">
        <v>551</v>
      </c>
      <c r="C134" s="42">
        <v>5</v>
      </c>
      <c r="D134" s="42">
        <v>100.48569215069605</v>
      </c>
      <c r="E134" s="42">
        <v>0</v>
      </c>
      <c r="F134" s="42">
        <v>21.682180597992456</v>
      </c>
      <c r="G134" s="42">
        <v>0</v>
      </c>
      <c r="H134" s="42">
        <v>0</v>
      </c>
      <c r="I134" s="42" t="s">
        <v>920</v>
      </c>
      <c r="J134" s="42"/>
      <c r="K134" s="42"/>
      <c r="L134" s="42">
        <v>108.00155050126676</v>
      </c>
      <c r="M134" s="42">
        <v>2.0302819391314061E-2</v>
      </c>
      <c r="N134" s="42">
        <v>2.0156282745616528E-2</v>
      </c>
      <c r="O134" s="42">
        <v>0</v>
      </c>
      <c r="P134" s="42">
        <v>0</v>
      </c>
      <c r="Q134" s="42">
        <v>0</v>
      </c>
      <c r="R134" s="42">
        <v>4.3237164526963126</v>
      </c>
      <c r="S134" s="42">
        <v>9.9914510886210532</v>
      </c>
      <c r="T134" s="42">
        <v>0</v>
      </c>
      <c r="U134" s="42">
        <v>60.907484120934399</v>
      </c>
      <c r="V134" s="42" t="s">
        <v>752</v>
      </c>
      <c r="W134" s="42" t="s">
        <v>752</v>
      </c>
      <c r="X134" s="42" t="s">
        <v>752</v>
      </c>
      <c r="Y134" s="42" t="s">
        <v>752</v>
      </c>
      <c r="Z134" s="42">
        <v>0</v>
      </c>
      <c r="AA134" s="42">
        <v>0</v>
      </c>
      <c r="AB134" s="42">
        <v>0</v>
      </c>
      <c r="AC134" s="42">
        <v>0</v>
      </c>
      <c r="AD134" s="42">
        <v>0</v>
      </c>
      <c r="AE134" s="42">
        <v>0</v>
      </c>
      <c r="AF134" s="42">
        <v>0</v>
      </c>
      <c r="AG134" s="42">
        <v>0</v>
      </c>
      <c r="AH134" s="42">
        <v>4.3237164526963126</v>
      </c>
      <c r="AI134" s="42">
        <v>9.9914510886210532</v>
      </c>
      <c r="AJ134" s="42">
        <v>0</v>
      </c>
      <c r="AK134" s="42">
        <v>60.907484120934399</v>
      </c>
      <c r="AL134" s="42">
        <v>75.222651662251764</v>
      </c>
      <c r="AM134" s="42">
        <v>56.210321625045403</v>
      </c>
      <c r="AN134" s="42">
        <v>7.1739704725233029</v>
      </c>
      <c r="AO134" s="42">
        <v>0</v>
      </c>
      <c r="AP134" s="42">
        <v>0</v>
      </c>
      <c r="AQ134" s="42">
        <v>63.384292097568704</v>
      </c>
      <c r="AR134" s="42">
        <v>4.3237164526963126</v>
      </c>
      <c r="AS134" s="244">
        <v>14.659678263139025</v>
      </c>
      <c r="AT134" s="42">
        <v>56.210321625045403</v>
      </c>
      <c r="AU134" s="42">
        <v>8.4918442728454639</v>
      </c>
      <c r="AV134" s="42">
        <v>0</v>
      </c>
      <c r="AW134" s="42">
        <v>0</v>
      </c>
      <c r="AX134" s="42">
        <v>64.702165897890865</v>
      </c>
      <c r="AY134" s="42">
        <v>9.9914510886210532</v>
      </c>
      <c r="AZ134" s="244">
        <v>6.475752653343628</v>
      </c>
      <c r="BA134" s="42">
        <v>56.210321625045403</v>
      </c>
      <c r="BB134" s="42">
        <v>15.665814745368767</v>
      </c>
      <c r="BC134" s="42">
        <v>0</v>
      </c>
      <c r="BD134" s="42">
        <v>0</v>
      </c>
      <c r="BE134" s="42">
        <v>71.876136370414173</v>
      </c>
      <c r="BF134" s="42">
        <v>14.315167541317365</v>
      </c>
      <c r="BG134" s="42">
        <v>-0.92019961648055648</v>
      </c>
      <c r="BH134" s="244">
        <v>5.0209776562489123</v>
      </c>
      <c r="BI134" s="42">
        <v>2.9457597880537207</v>
      </c>
      <c r="BJ134" s="42">
        <v>6.8072028226576071</v>
      </c>
      <c r="BK134" s="42">
        <v>0</v>
      </c>
      <c r="BL134" s="42">
        <v>41.496434717193758</v>
      </c>
      <c r="BM134" s="42">
        <v>51.249397327905086</v>
      </c>
      <c r="BN134" s="42">
        <v>56.210321625045403</v>
      </c>
      <c r="BO134" s="42">
        <v>0</v>
      </c>
      <c r="BP134" s="42">
        <v>15.665814745368767</v>
      </c>
      <c r="BQ134" s="42">
        <v>0</v>
      </c>
      <c r="BR134" s="42">
        <v>0</v>
      </c>
      <c r="BS134" s="42">
        <v>0</v>
      </c>
      <c r="BT134" s="42">
        <v>0</v>
      </c>
      <c r="BU134" s="42">
        <v>0</v>
      </c>
      <c r="BV134" s="42">
        <v>0</v>
      </c>
      <c r="BW134" s="42">
        <v>0</v>
      </c>
      <c r="BX134" s="42">
        <v>75.222651662251764</v>
      </c>
      <c r="BY134" s="42"/>
      <c r="BZ134" s="42">
        <v>0</v>
      </c>
      <c r="CA134" s="42">
        <v>0</v>
      </c>
      <c r="CB134" s="42">
        <v>71.876136370414173</v>
      </c>
      <c r="CC134" s="42">
        <v>75.222651662251764</v>
      </c>
      <c r="CD134" s="245">
        <v>0.95551186753076212</v>
      </c>
      <c r="CE134" s="42">
        <v>40.576235100713198</v>
      </c>
      <c r="CF134" s="42">
        <v>1.0260244390566708</v>
      </c>
      <c r="CG134" s="42">
        <v>0</v>
      </c>
      <c r="CH134" s="42">
        <v>1.0260244390566708</v>
      </c>
      <c r="CI134" s="42">
        <v>5.1300736488101711E-2</v>
      </c>
      <c r="CJ134" s="42">
        <v>0</v>
      </c>
      <c r="CK134" s="42">
        <v>5.1300736488101711E-2</v>
      </c>
      <c r="CL134" s="42"/>
      <c r="CM134" s="42">
        <v>0</v>
      </c>
      <c r="CN134" s="42" t="s">
        <v>785</v>
      </c>
      <c r="CO134" s="42">
        <v>0</v>
      </c>
      <c r="CP134" s="42">
        <v>0</v>
      </c>
      <c r="CQ134" s="42">
        <v>0</v>
      </c>
      <c r="CR134" s="42">
        <v>0</v>
      </c>
      <c r="CS134" s="42">
        <v>0</v>
      </c>
      <c r="CT134" s="42">
        <v>0</v>
      </c>
      <c r="CU134" s="42">
        <v>0</v>
      </c>
      <c r="CV134" s="42">
        <v>9999</v>
      </c>
      <c r="CW134" s="244">
        <v>9999</v>
      </c>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row>
    <row r="135" spans="1:131">
      <c r="A135" s="18" t="s">
        <v>489</v>
      </c>
      <c r="B135" s="18" t="s">
        <v>552</v>
      </c>
      <c r="C135" s="42">
        <v>5</v>
      </c>
      <c r="D135" s="42">
        <v>0.31897988269712574</v>
      </c>
      <c r="E135" s="42">
        <v>0</v>
      </c>
      <c r="F135" s="42">
        <v>9.6358506231423419E-2</v>
      </c>
      <c r="G135" s="42">
        <v>0</v>
      </c>
      <c r="H135" s="42">
        <v>0</v>
      </c>
      <c r="I135" s="42" t="s">
        <v>920</v>
      </c>
      <c r="J135" s="42"/>
      <c r="K135" s="42"/>
      <c r="L135" s="42">
        <v>0.34283808144882383</v>
      </c>
      <c r="M135" s="42">
        <v>6.444888629666894E-5</v>
      </c>
      <c r="N135" s="42">
        <v>6.3983723137068754E-5</v>
      </c>
      <c r="O135" s="42">
        <v>0</v>
      </c>
      <c r="P135" s="42">
        <v>0</v>
      </c>
      <c r="Q135" s="42">
        <v>0</v>
      </c>
      <c r="R135" s="42">
        <v>1.9215173347860635E-2</v>
      </c>
      <c r="S135" s="42">
        <v>4.440334299553781E-2</v>
      </c>
      <c r="T135" s="42">
        <v>0</v>
      </c>
      <c r="U135" s="42">
        <v>0.27068099362435821</v>
      </c>
      <c r="V135" s="42" t="s">
        <v>752</v>
      </c>
      <c r="W135" s="42" t="s">
        <v>752</v>
      </c>
      <c r="X135" s="42" t="s">
        <v>752</v>
      </c>
      <c r="Y135" s="42" t="s">
        <v>752</v>
      </c>
      <c r="Z135" s="42">
        <v>0</v>
      </c>
      <c r="AA135" s="42">
        <v>0</v>
      </c>
      <c r="AB135" s="42">
        <v>0</v>
      </c>
      <c r="AC135" s="42">
        <v>0</v>
      </c>
      <c r="AD135" s="42">
        <v>0</v>
      </c>
      <c r="AE135" s="42">
        <v>0</v>
      </c>
      <c r="AF135" s="42">
        <v>0</v>
      </c>
      <c r="AG135" s="42">
        <v>0</v>
      </c>
      <c r="AH135" s="42">
        <v>1.9215173347860635E-2</v>
      </c>
      <c r="AI135" s="42">
        <v>4.440334299553781E-2</v>
      </c>
      <c r="AJ135" s="42">
        <v>0</v>
      </c>
      <c r="AK135" s="42">
        <v>0.27068099362435821</v>
      </c>
      <c r="AL135" s="42">
        <v>0.33429950996775665</v>
      </c>
      <c r="AM135" s="42">
        <v>0.1784329829906087</v>
      </c>
      <c r="AN135" s="42">
        <v>2.2772916330877614E-2</v>
      </c>
      <c r="AO135" s="42">
        <v>0</v>
      </c>
      <c r="AP135" s="42">
        <v>0</v>
      </c>
      <c r="AQ135" s="42">
        <v>0.2012058993214863</v>
      </c>
      <c r="AR135" s="42">
        <v>1.9215173347860635E-2</v>
      </c>
      <c r="AS135" s="244">
        <v>10.471198759385016</v>
      </c>
      <c r="AT135" s="42">
        <v>0.1784329829906087</v>
      </c>
      <c r="AU135" s="42">
        <v>2.6956350024163533E-2</v>
      </c>
      <c r="AV135" s="42">
        <v>0</v>
      </c>
      <c r="AW135" s="42">
        <v>0</v>
      </c>
      <c r="AX135" s="42">
        <v>0.20538933301477222</v>
      </c>
      <c r="AY135" s="42">
        <v>4.440334299553781E-2</v>
      </c>
      <c r="AZ135" s="244">
        <v>4.625537609531162</v>
      </c>
      <c r="BA135" s="42">
        <v>0.1784329829906087</v>
      </c>
      <c r="BB135" s="42">
        <v>4.9729266355041143E-2</v>
      </c>
      <c r="BC135" s="42">
        <v>0</v>
      </c>
      <c r="BD135" s="42">
        <v>0</v>
      </c>
      <c r="BE135" s="42">
        <v>0.22816224934564983</v>
      </c>
      <c r="BF135" s="42">
        <v>6.3618516343398449E-2</v>
      </c>
      <c r="BG135" s="42">
        <v>2.9809854278039816</v>
      </c>
      <c r="BH135" s="244">
        <v>3.5864126116063648</v>
      </c>
      <c r="BI135" s="42">
        <v>4.1240637032752101</v>
      </c>
      <c r="BJ135" s="42">
        <v>9.5300839517206519</v>
      </c>
      <c r="BK135" s="42">
        <v>0</v>
      </c>
      <c r="BL135" s="42">
        <v>58.095008604071261</v>
      </c>
      <c r="BM135" s="42">
        <v>71.749156259067121</v>
      </c>
      <c r="BN135" s="42">
        <v>0.1784329829906087</v>
      </c>
      <c r="BO135" s="42">
        <v>0</v>
      </c>
      <c r="BP135" s="42">
        <v>4.9729266355041143E-2</v>
      </c>
      <c r="BQ135" s="42">
        <v>0</v>
      </c>
      <c r="BR135" s="42">
        <v>0</v>
      </c>
      <c r="BS135" s="42">
        <v>0</v>
      </c>
      <c r="BT135" s="42">
        <v>0</v>
      </c>
      <c r="BU135" s="42">
        <v>0</v>
      </c>
      <c r="BV135" s="42">
        <v>0</v>
      </c>
      <c r="BW135" s="42">
        <v>0</v>
      </c>
      <c r="BX135" s="42">
        <v>0.33429950996775665</v>
      </c>
      <c r="BY135" s="42"/>
      <c r="BZ135" s="42">
        <v>0</v>
      </c>
      <c r="CA135" s="42">
        <v>0</v>
      </c>
      <c r="CB135" s="42">
        <v>0.22816224934564983</v>
      </c>
      <c r="CC135" s="42">
        <v>0.33429950996775665</v>
      </c>
      <c r="CD135" s="245">
        <v>0.68250847680768723</v>
      </c>
      <c r="CE135" s="42">
        <v>61.075994031875247</v>
      </c>
      <c r="CF135" s="42">
        <v>3.2569925947652837E-3</v>
      </c>
      <c r="CG135" s="42">
        <v>0</v>
      </c>
      <c r="CH135" s="42">
        <v>3.2569925947652837E-3</v>
      </c>
      <c r="CI135" s="42">
        <v>1.6284808868819128E-4</v>
      </c>
      <c r="CJ135" s="42">
        <v>0</v>
      </c>
      <c r="CK135" s="42">
        <v>1.6284808868819128E-4</v>
      </c>
      <c r="CL135" s="42"/>
      <c r="CM135" s="42">
        <v>0</v>
      </c>
      <c r="CN135" s="42" t="s">
        <v>785</v>
      </c>
      <c r="CO135" s="42">
        <v>0</v>
      </c>
      <c r="CP135" s="42">
        <v>0</v>
      </c>
      <c r="CQ135" s="42">
        <v>0</v>
      </c>
      <c r="CR135" s="42">
        <v>0</v>
      </c>
      <c r="CS135" s="42">
        <v>0</v>
      </c>
      <c r="CT135" s="42">
        <v>0</v>
      </c>
      <c r="CU135" s="42">
        <v>0</v>
      </c>
      <c r="CV135" s="42">
        <v>9999</v>
      </c>
      <c r="CW135" s="244">
        <v>9999</v>
      </c>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row>
    <row r="136" spans="1:131">
      <c r="A136" s="18" t="s">
        <v>491</v>
      </c>
      <c r="B136" s="18" t="s">
        <v>553</v>
      </c>
      <c r="C136" s="42">
        <v>5</v>
      </c>
      <c r="D136" s="42">
        <v>8.2237928213161151</v>
      </c>
      <c r="E136" s="42">
        <v>0</v>
      </c>
      <c r="F136" s="42">
        <v>1.4905624488635456</v>
      </c>
      <c r="G136" s="42">
        <v>0</v>
      </c>
      <c r="H136" s="42">
        <v>0</v>
      </c>
      <c r="I136" s="42" t="s">
        <v>920</v>
      </c>
      <c r="J136" s="42"/>
      <c r="K136" s="42"/>
      <c r="L136" s="42">
        <v>8.838893942944047</v>
      </c>
      <c r="M136" s="42">
        <v>1.6615915837288647E-3</v>
      </c>
      <c r="N136" s="42">
        <v>1.6495989608075847E-3</v>
      </c>
      <c r="O136" s="42">
        <v>0</v>
      </c>
      <c r="P136" s="42">
        <v>0</v>
      </c>
      <c r="Q136" s="42">
        <v>0</v>
      </c>
      <c r="R136" s="42">
        <v>0.297238063985102</v>
      </c>
      <c r="S136" s="42">
        <v>0.68687195621524633</v>
      </c>
      <c r="T136" s="42">
        <v>0</v>
      </c>
      <c r="U136" s="42">
        <v>4.1871438287818412</v>
      </c>
      <c r="V136" s="42" t="s">
        <v>752</v>
      </c>
      <c r="W136" s="42" t="s">
        <v>752</v>
      </c>
      <c r="X136" s="42" t="s">
        <v>752</v>
      </c>
      <c r="Y136" s="42" t="s">
        <v>752</v>
      </c>
      <c r="Z136" s="42">
        <v>0</v>
      </c>
      <c r="AA136" s="42">
        <v>0</v>
      </c>
      <c r="AB136" s="42">
        <v>0</v>
      </c>
      <c r="AC136" s="42">
        <v>0</v>
      </c>
      <c r="AD136" s="42">
        <v>0</v>
      </c>
      <c r="AE136" s="42">
        <v>0</v>
      </c>
      <c r="AF136" s="42">
        <v>0</v>
      </c>
      <c r="AG136" s="42">
        <v>0</v>
      </c>
      <c r="AH136" s="42">
        <v>0.297238063985102</v>
      </c>
      <c r="AI136" s="42">
        <v>0.68687195621524633</v>
      </c>
      <c r="AJ136" s="42">
        <v>0</v>
      </c>
      <c r="AK136" s="42">
        <v>4.1871438287818412</v>
      </c>
      <c r="AL136" s="42">
        <v>5.1712538489821895</v>
      </c>
      <c r="AM136" s="42">
        <v>4.6002772093232416</v>
      </c>
      <c r="AN136" s="42">
        <v>0.58712086874810143</v>
      </c>
      <c r="AO136" s="42">
        <v>0</v>
      </c>
      <c r="AP136" s="42">
        <v>0</v>
      </c>
      <c r="AQ136" s="42">
        <v>5.1873980780713431</v>
      </c>
      <c r="AR136" s="42">
        <v>0.297238063985102</v>
      </c>
      <c r="AS136" s="244">
        <v>17.45199793230837</v>
      </c>
      <c r="AT136" s="42">
        <v>4.6002772093232416</v>
      </c>
      <c r="AU136" s="42">
        <v>0.69497623468653358</v>
      </c>
      <c r="AV136" s="42">
        <v>0</v>
      </c>
      <c r="AW136" s="42">
        <v>0</v>
      </c>
      <c r="AX136" s="42">
        <v>5.2952534440097754</v>
      </c>
      <c r="AY136" s="42">
        <v>0.68687195621524633</v>
      </c>
      <c r="AZ136" s="244">
        <v>7.7092293492186075</v>
      </c>
      <c r="BA136" s="42">
        <v>4.6002772093232416</v>
      </c>
      <c r="BB136" s="42">
        <v>1.2820971034346349</v>
      </c>
      <c r="BC136" s="42">
        <v>0</v>
      </c>
      <c r="BD136" s="42">
        <v>0</v>
      </c>
      <c r="BE136" s="42">
        <v>5.8823743127578769</v>
      </c>
      <c r="BF136" s="42">
        <v>0.98411002020034832</v>
      </c>
      <c r="BG136" s="42">
        <v>-2.4806736341943738</v>
      </c>
      <c r="BH136" s="244">
        <v>5.9773543526772785</v>
      </c>
      <c r="BI136" s="42">
        <v>2.4744382219651246</v>
      </c>
      <c r="BJ136" s="42">
        <v>5.7180503710323887</v>
      </c>
      <c r="BK136" s="42">
        <v>0</v>
      </c>
      <c r="BL136" s="42">
        <v>34.857005162442732</v>
      </c>
      <c r="BM136" s="42">
        <v>43.049493755440245</v>
      </c>
      <c r="BN136" s="42">
        <v>4.6002772093232416</v>
      </c>
      <c r="BO136" s="42">
        <v>0</v>
      </c>
      <c r="BP136" s="42">
        <v>1.2820971034346349</v>
      </c>
      <c r="BQ136" s="42">
        <v>0</v>
      </c>
      <c r="BR136" s="42">
        <v>0</v>
      </c>
      <c r="BS136" s="42">
        <v>0</v>
      </c>
      <c r="BT136" s="42">
        <v>0</v>
      </c>
      <c r="BU136" s="42">
        <v>0</v>
      </c>
      <c r="BV136" s="42">
        <v>0</v>
      </c>
      <c r="BW136" s="42">
        <v>0</v>
      </c>
      <c r="BX136" s="42">
        <v>5.1712538489821895</v>
      </c>
      <c r="BY136" s="42"/>
      <c r="BZ136" s="42">
        <v>0</v>
      </c>
      <c r="CA136" s="42">
        <v>0</v>
      </c>
      <c r="CB136" s="42">
        <v>5.8823743127578769</v>
      </c>
      <c r="CC136" s="42">
        <v>5.1712538489821895</v>
      </c>
      <c r="CD136" s="244">
        <v>1.1375141280128127</v>
      </c>
      <c r="CE136" s="42">
        <v>32.376331528248365</v>
      </c>
      <c r="CF136" s="42">
        <v>8.3970287070871452E-2</v>
      </c>
      <c r="CG136" s="42">
        <v>0</v>
      </c>
      <c r="CH136" s="42">
        <v>8.3970287070871452E-2</v>
      </c>
      <c r="CI136" s="42">
        <v>4.1984746228984227E-3</v>
      </c>
      <c r="CJ136" s="42">
        <v>0</v>
      </c>
      <c r="CK136" s="42">
        <v>4.1984746228984227E-3</v>
      </c>
      <c r="CL136" s="42"/>
      <c r="CM136" s="42">
        <v>0</v>
      </c>
      <c r="CN136" s="42" t="s">
        <v>785</v>
      </c>
      <c r="CO136" s="42">
        <v>0</v>
      </c>
      <c r="CP136" s="42">
        <v>0</v>
      </c>
      <c r="CQ136" s="42">
        <v>0</v>
      </c>
      <c r="CR136" s="42">
        <v>0</v>
      </c>
      <c r="CS136" s="42">
        <v>0</v>
      </c>
      <c r="CT136" s="42">
        <v>0</v>
      </c>
      <c r="CU136" s="42">
        <v>0</v>
      </c>
      <c r="CV136" s="42">
        <v>9999</v>
      </c>
      <c r="CW136" s="244">
        <v>9999</v>
      </c>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row>
    <row r="137" spans="1:131">
      <c r="A137" s="18" t="s">
        <v>493</v>
      </c>
      <c r="B137" s="18" t="s">
        <v>554</v>
      </c>
      <c r="C137" s="42">
        <v>5</v>
      </c>
      <c r="D137" s="42">
        <v>0</v>
      </c>
      <c r="E137" s="42">
        <v>0</v>
      </c>
      <c r="F137" s="42">
        <v>0</v>
      </c>
      <c r="G137" s="42">
        <v>0</v>
      </c>
      <c r="H137" s="42">
        <v>0</v>
      </c>
      <c r="I137" s="42" t="s">
        <v>920</v>
      </c>
      <c r="J137" s="42"/>
      <c r="K137" s="42"/>
      <c r="L137" s="42">
        <v>0</v>
      </c>
      <c r="M137" s="42">
        <v>0</v>
      </c>
      <c r="N137" s="42">
        <v>0</v>
      </c>
      <c r="O137" s="42">
        <v>0</v>
      </c>
      <c r="P137" s="42">
        <v>0</v>
      </c>
      <c r="Q137" s="42">
        <v>0</v>
      </c>
      <c r="R137" s="42">
        <v>0</v>
      </c>
      <c r="S137" s="42">
        <v>0</v>
      </c>
      <c r="T137" s="42">
        <v>0</v>
      </c>
      <c r="U137" s="42">
        <v>0</v>
      </c>
      <c r="V137" s="42" t="s">
        <v>752</v>
      </c>
      <c r="W137" s="42" t="s">
        <v>752</v>
      </c>
      <c r="X137" s="42" t="s">
        <v>752</v>
      </c>
      <c r="Y137" s="42" t="s">
        <v>752</v>
      </c>
      <c r="Z137" s="42">
        <v>0</v>
      </c>
      <c r="AA137" s="42">
        <v>0</v>
      </c>
      <c r="AB137" s="42">
        <v>0</v>
      </c>
      <c r="AC137" s="42">
        <v>0</v>
      </c>
      <c r="AD137" s="42">
        <v>0</v>
      </c>
      <c r="AE137" s="42">
        <v>0</v>
      </c>
      <c r="AF137" s="42">
        <v>0</v>
      </c>
      <c r="AG137" s="42">
        <v>0</v>
      </c>
      <c r="AH137" s="42">
        <v>0</v>
      </c>
      <c r="AI137" s="42">
        <v>0</v>
      </c>
      <c r="AJ137" s="42">
        <v>0</v>
      </c>
      <c r="AK137" s="42">
        <v>0</v>
      </c>
      <c r="AL137" s="42">
        <v>0</v>
      </c>
      <c r="AM137" s="42">
        <v>0</v>
      </c>
      <c r="AN137" s="42">
        <v>0</v>
      </c>
      <c r="AO137" s="42">
        <v>0</v>
      </c>
      <c r="AP137" s="42">
        <v>0</v>
      </c>
      <c r="AQ137" s="42">
        <v>0</v>
      </c>
      <c r="AR137" s="42">
        <v>0</v>
      </c>
      <c r="AS137" s="244">
        <v>9999</v>
      </c>
      <c r="AT137" s="42">
        <v>0</v>
      </c>
      <c r="AU137" s="42">
        <v>0</v>
      </c>
      <c r="AV137" s="42">
        <v>0</v>
      </c>
      <c r="AW137" s="42">
        <v>0</v>
      </c>
      <c r="AX137" s="42">
        <v>0</v>
      </c>
      <c r="AY137" s="42">
        <v>0</v>
      </c>
      <c r="AZ137" s="244">
        <v>9999</v>
      </c>
      <c r="BA137" s="42">
        <v>0</v>
      </c>
      <c r="BB137" s="42">
        <v>0</v>
      </c>
      <c r="BC137" s="42">
        <v>0</v>
      </c>
      <c r="BD137" s="42">
        <v>0</v>
      </c>
      <c r="BE137" s="42">
        <v>0</v>
      </c>
      <c r="BF137" s="42">
        <v>0</v>
      </c>
      <c r="BG137" s="42">
        <v>9999</v>
      </c>
      <c r="BH137" s="244">
        <v>9999</v>
      </c>
      <c r="BI137" s="42">
        <v>9999</v>
      </c>
      <c r="BJ137" s="42">
        <v>9999</v>
      </c>
      <c r="BK137" s="42">
        <v>9999</v>
      </c>
      <c r="BL137" s="42">
        <v>9999</v>
      </c>
      <c r="BM137" s="42">
        <v>9999</v>
      </c>
      <c r="BN137" s="42">
        <v>0</v>
      </c>
      <c r="BO137" s="42">
        <v>0</v>
      </c>
      <c r="BP137" s="42">
        <v>0</v>
      </c>
      <c r="BQ137" s="42">
        <v>0</v>
      </c>
      <c r="BR137" s="42">
        <v>0</v>
      </c>
      <c r="BS137" s="42">
        <v>0</v>
      </c>
      <c r="BT137" s="42">
        <v>0</v>
      </c>
      <c r="BU137" s="42">
        <v>0</v>
      </c>
      <c r="BV137" s="42">
        <v>0</v>
      </c>
      <c r="BW137" s="42">
        <v>0</v>
      </c>
      <c r="BX137" s="42">
        <v>0</v>
      </c>
      <c r="BY137" s="42"/>
      <c r="BZ137" s="42">
        <v>0</v>
      </c>
      <c r="CA137" s="42">
        <v>0</v>
      </c>
      <c r="CB137" s="42">
        <v>0</v>
      </c>
      <c r="CC137" s="42">
        <v>0</v>
      </c>
      <c r="CD137" s="244">
        <v>9999</v>
      </c>
      <c r="CE137" s="42">
        <v>9999</v>
      </c>
      <c r="CF137" s="42">
        <v>0</v>
      </c>
      <c r="CG137" s="42">
        <v>0</v>
      </c>
      <c r="CH137" s="42">
        <v>0</v>
      </c>
      <c r="CI137" s="42">
        <v>0</v>
      </c>
      <c r="CJ137" s="42">
        <v>0</v>
      </c>
      <c r="CK137" s="42">
        <v>0</v>
      </c>
      <c r="CL137" s="42"/>
      <c r="CM137" s="42">
        <v>0</v>
      </c>
      <c r="CN137" s="42" t="s">
        <v>785</v>
      </c>
      <c r="CO137" s="42">
        <v>0</v>
      </c>
      <c r="CP137" s="42">
        <v>0</v>
      </c>
      <c r="CQ137" s="42">
        <v>0</v>
      </c>
      <c r="CR137" s="42">
        <v>0</v>
      </c>
      <c r="CS137" s="42">
        <v>0</v>
      </c>
      <c r="CT137" s="42">
        <v>0</v>
      </c>
      <c r="CU137" s="42">
        <v>0</v>
      </c>
      <c r="CV137" s="42">
        <v>9999</v>
      </c>
      <c r="CW137" s="244">
        <v>9999</v>
      </c>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row>
    <row r="138" spans="1:131">
      <c r="A138" s="18" t="s">
        <v>495</v>
      </c>
      <c r="B138" s="18" t="s">
        <v>555</v>
      </c>
      <c r="C138" s="42">
        <v>5</v>
      </c>
      <c r="D138" s="42">
        <v>9.1883895919813803</v>
      </c>
      <c r="E138" s="42">
        <v>0</v>
      </c>
      <c r="F138" s="42">
        <v>2.3130494632592016</v>
      </c>
      <c r="G138" s="42">
        <v>0</v>
      </c>
      <c r="H138" s="42">
        <v>0</v>
      </c>
      <c r="I138" s="42" t="s">
        <v>920</v>
      </c>
      <c r="J138" s="42"/>
      <c r="K138" s="42"/>
      <c r="L138" s="42">
        <v>9.8756380267100248</v>
      </c>
      <c r="M138" s="42">
        <v>1.8564853402538428E-3</v>
      </c>
      <c r="N138" s="42">
        <v>1.8430860615968191E-3</v>
      </c>
      <c r="O138" s="42">
        <v>0</v>
      </c>
      <c r="P138" s="42">
        <v>0</v>
      </c>
      <c r="Q138" s="42">
        <v>0</v>
      </c>
      <c r="R138" s="42">
        <v>0.46125296185016423</v>
      </c>
      <c r="S138" s="42">
        <v>1.0658854386562626</v>
      </c>
      <c r="T138" s="42">
        <v>0</v>
      </c>
      <c r="U138" s="42">
        <v>6.4975947791634869</v>
      </c>
      <c r="V138" s="42" t="s">
        <v>752</v>
      </c>
      <c r="W138" s="42" t="s">
        <v>752</v>
      </c>
      <c r="X138" s="42" t="s">
        <v>752</v>
      </c>
      <c r="Y138" s="42" t="s">
        <v>752</v>
      </c>
      <c r="Z138" s="42">
        <v>0</v>
      </c>
      <c r="AA138" s="42">
        <v>0</v>
      </c>
      <c r="AB138" s="42">
        <v>0</v>
      </c>
      <c r="AC138" s="42">
        <v>0</v>
      </c>
      <c r="AD138" s="42">
        <v>0</v>
      </c>
      <c r="AE138" s="42">
        <v>0</v>
      </c>
      <c r="AF138" s="42">
        <v>0</v>
      </c>
      <c r="AG138" s="42">
        <v>0</v>
      </c>
      <c r="AH138" s="42">
        <v>0.46125296185016423</v>
      </c>
      <c r="AI138" s="42">
        <v>1.0658854386562626</v>
      </c>
      <c r="AJ138" s="42">
        <v>0</v>
      </c>
      <c r="AK138" s="42">
        <v>6.4975947791634869</v>
      </c>
      <c r="AL138" s="42">
        <v>8.024733179669914</v>
      </c>
      <c r="AM138" s="42">
        <v>5.1398594479195774</v>
      </c>
      <c r="AN138" s="42">
        <v>0.65598628234615042</v>
      </c>
      <c r="AO138" s="42">
        <v>0</v>
      </c>
      <c r="AP138" s="42">
        <v>0</v>
      </c>
      <c r="AQ138" s="42">
        <v>5.7958457302657278</v>
      </c>
      <c r="AR138" s="42">
        <v>0.46125296185016423</v>
      </c>
      <c r="AS138" s="244">
        <v>12.565438511262027</v>
      </c>
      <c r="AT138" s="42">
        <v>5.1398594479195774</v>
      </c>
      <c r="AU138" s="42">
        <v>0.77649237282782135</v>
      </c>
      <c r="AV138" s="42">
        <v>0</v>
      </c>
      <c r="AW138" s="42">
        <v>0</v>
      </c>
      <c r="AX138" s="42">
        <v>5.9163518207473986</v>
      </c>
      <c r="AY138" s="42">
        <v>1.0658854386562626</v>
      </c>
      <c r="AZ138" s="244">
        <v>5.5506451314373972</v>
      </c>
      <c r="BA138" s="42">
        <v>5.1398594479195774</v>
      </c>
      <c r="BB138" s="42">
        <v>1.4324786551739717</v>
      </c>
      <c r="BC138" s="42">
        <v>0</v>
      </c>
      <c r="BD138" s="42">
        <v>0</v>
      </c>
      <c r="BE138" s="42">
        <v>6.572338103093549</v>
      </c>
      <c r="BF138" s="42">
        <v>1.5271384005064268</v>
      </c>
      <c r="BG138" s="42">
        <v>0.70529415197133538</v>
      </c>
      <c r="BH138" s="244">
        <v>4.3036951339276408</v>
      </c>
      <c r="BI138" s="42">
        <v>3.4367197527293403</v>
      </c>
      <c r="BJ138" s="42">
        <v>7.9417366264338725</v>
      </c>
      <c r="BK138" s="42">
        <v>0</v>
      </c>
      <c r="BL138" s="42">
        <v>48.412507170059357</v>
      </c>
      <c r="BM138" s="42">
        <v>59.790963549222568</v>
      </c>
      <c r="BN138" s="42">
        <v>5.1398594479195774</v>
      </c>
      <c r="BO138" s="42">
        <v>0</v>
      </c>
      <c r="BP138" s="42">
        <v>1.4324786551739717</v>
      </c>
      <c r="BQ138" s="42">
        <v>0</v>
      </c>
      <c r="BR138" s="42">
        <v>0</v>
      </c>
      <c r="BS138" s="42">
        <v>0</v>
      </c>
      <c r="BT138" s="42">
        <v>0</v>
      </c>
      <c r="BU138" s="42">
        <v>0</v>
      </c>
      <c r="BV138" s="42">
        <v>0</v>
      </c>
      <c r="BW138" s="42">
        <v>0</v>
      </c>
      <c r="BX138" s="42">
        <v>8.024733179669914</v>
      </c>
      <c r="BY138" s="42"/>
      <c r="BZ138" s="42">
        <v>0</v>
      </c>
      <c r="CA138" s="42">
        <v>0</v>
      </c>
      <c r="CB138" s="42">
        <v>6.572338103093549</v>
      </c>
      <c r="CC138" s="42">
        <v>8.024733179669914</v>
      </c>
      <c r="CD138" s="245">
        <v>0.819010172169225</v>
      </c>
      <c r="CE138" s="42">
        <v>49.117801322030694</v>
      </c>
      <c r="CF138" s="42">
        <v>9.3819449069511576E-2</v>
      </c>
      <c r="CG138" s="42">
        <v>0</v>
      </c>
      <c r="CH138" s="42">
        <v>9.3819449069511576E-2</v>
      </c>
      <c r="CI138" s="42">
        <v>4.6909280626872612E-3</v>
      </c>
      <c r="CJ138" s="42">
        <v>0</v>
      </c>
      <c r="CK138" s="42">
        <v>4.6909280626872612E-3</v>
      </c>
      <c r="CL138" s="42"/>
      <c r="CM138" s="42">
        <v>0</v>
      </c>
      <c r="CN138" s="42" t="s">
        <v>785</v>
      </c>
      <c r="CO138" s="42">
        <v>0</v>
      </c>
      <c r="CP138" s="42">
        <v>0</v>
      </c>
      <c r="CQ138" s="42">
        <v>0</v>
      </c>
      <c r="CR138" s="42">
        <v>0</v>
      </c>
      <c r="CS138" s="42">
        <v>0</v>
      </c>
      <c r="CT138" s="42">
        <v>0</v>
      </c>
      <c r="CU138" s="42">
        <v>0</v>
      </c>
      <c r="CV138" s="42">
        <v>9999</v>
      </c>
      <c r="CW138" s="244">
        <v>9999</v>
      </c>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row>
    <row r="139" spans="1:131">
      <c r="A139" s="18" t="s">
        <v>497</v>
      </c>
      <c r="B139" s="18" t="s">
        <v>556</v>
      </c>
      <c r="C139" s="42">
        <v>5</v>
      </c>
      <c r="D139" s="42">
        <v>31.150897344347538</v>
      </c>
      <c r="E139" s="42">
        <v>0</v>
      </c>
      <c r="F139" s="42">
        <v>6.0493930110674903</v>
      </c>
      <c r="G139" s="42">
        <v>0</v>
      </c>
      <c r="H139" s="42">
        <v>0</v>
      </c>
      <c r="I139" s="42" t="s">
        <v>920</v>
      </c>
      <c r="J139" s="42"/>
      <c r="K139" s="42"/>
      <c r="L139" s="42">
        <v>33.48083832323011</v>
      </c>
      <c r="M139" s="42">
        <v>6.2939412479856415E-3</v>
      </c>
      <c r="N139" s="42">
        <v>6.2485144025352136E-3</v>
      </c>
      <c r="O139" s="42">
        <v>0</v>
      </c>
      <c r="P139" s="42">
        <v>0</v>
      </c>
      <c r="Q139" s="42">
        <v>0</v>
      </c>
      <c r="R139" s="42">
        <v>1.2063297772365367</v>
      </c>
      <c r="S139" s="42">
        <v>2.7876446334702694</v>
      </c>
      <c r="T139" s="42">
        <v>0</v>
      </c>
      <c r="U139" s="42">
        <v>16.993369605868867</v>
      </c>
      <c r="V139" s="42" t="s">
        <v>752</v>
      </c>
      <c r="W139" s="42" t="s">
        <v>752</v>
      </c>
      <c r="X139" s="42" t="s">
        <v>752</v>
      </c>
      <c r="Y139" s="42" t="s">
        <v>752</v>
      </c>
      <c r="Z139" s="42">
        <v>0</v>
      </c>
      <c r="AA139" s="42">
        <v>0</v>
      </c>
      <c r="AB139" s="42">
        <v>0</v>
      </c>
      <c r="AC139" s="42">
        <v>0</v>
      </c>
      <c r="AD139" s="42">
        <v>0</v>
      </c>
      <c r="AE139" s="42">
        <v>0</v>
      </c>
      <c r="AF139" s="42">
        <v>0</v>
      </c>
      <c r="AG139" s="42">
        <v>0</v>
      </c>
      <c r="AH139" s="42">
        <v>1.2063297772365367</v>
      </c>
      <c r="AI139" s="42">
        <v>2.7876446334702694</v>
      </c>
      <c r="AJ139" s="42">
        <v>0</v>
      </c>
      <c r="AK139" s="42">
        <v>16.993369605868867</v>
      </c>
      <c r="AL139" s="42">
        <v>20.987344016575673</v>
      </c>
      <c r="AM139" s="42">
        <v>17.425385855019165</v>
      </c>
      <c r="AN139" s="42">
        <v>2.2239546044606291</v>
      </c>
      <c r="AO139" s="42">
        <v>0</v>
      </c>
      <c r="AP139" s="42">
        <v>0</v>
      </c>
      <c r="AQ139" s="42">
        <v>19.649340459479795</v>
      </c>
      <c r="AR139" s="42">
        <v>1.2063297772365367</v>
      </c>
      <c r="AS139" s="244">
        <v>16.28853140348782</v>
      </c>
      <c r="AT139" s="42">
        <v>17.425385855019165</v>
      </c>
      <c r="AU139" s="42">
        <v>2.6324998469522143</v>
      </c>
      <c r="AV139" s="42">
        <v>0</v>
      </c>
      <c r="AW139" s="42">
        <v>0</v>
      </c>
      <c r="AX139" s="42">
        <v>20.057885701971379</v>
      </c>
      <c r="AY139" s="42">
        <v>2.7876446334702694</v>
      </c>
      <c r="AZ139" s="244">
        <v>7.1952807259373719</v>
      </c>
      <c r="BA139" s="42">
        <v>17.425385855019165</v>
      </c>
      <c r="BB139" s="42">
        <v>4.8564544514128434</v>
      </c>
      <c r="BC139" s="42">
        <v>0</v>
      </c>
      <c r="BD139" s="42">
        <v>0</v>
      </c>
      <c r="BE139" s="42">
        <v>22.281840306432009</v>
      </c>
      <c r="BF139" s="42">
        <v>3.993974410706806</v>
      </c>
      <c r="BG139" s="42">
        <v>-1.895495877551693</v>
      </c>
      <c r="BH139" s="244">
        <v>5.5788640624987966</v>
      </c>
      <c r="BI139" s="42">
        <v>2.6511838092483488</v>
      </c>
      <c r="BJ139" s="42">
        <v>6.1264825403918453</v>
      </c>
      <c r="BK139" s="42">
        <v>0</v>
      </c>
      <c r="BL139" s="42">
        <v>37.346791245474371</v>
      </c>
      <c r="BM139" s="42">
        <v>46.124457595114556</v>
      </c>
      <c r="BN139" s="42">
        <v>17.425385855019165</v>
      </c>
      <c r="BO139" s="42">
        <v>0</v>
      </c>
      <c r="BP139" s="42">
        <v>4.8564544514128434</v>
      </c>
      <c r="BQ139" s="42">
        <v>0</v>
      </c>
      <c r="BR139" s="42">
        <v>0</v>
      </c>
      <c r="BS139" s="42">
        <v>0</v>
      </c>
      <c r="BT139" s="42">
        <v>0</v>
      </c>
      <c r="BU139" s="42">
        <v>0</v>
      </c>
      <c r="BV139" s="42">
        <v>0</v>
      </c>
      <c r="BW139" s="42">
        <v>0</v>
      </c>
      <c r="BX139" s="42">
        <v>20.987344016575673</v>
      </c>
      <c r="BY139" s="42"/>
      <c r="BZ139" s="42">
        <v>0</v>
      </c>
      <c r="CA139" s="42">
        <v>0</v>
      </c>
      <c r="CB139" s="42">
        <v>22.281840306432009</v>
      </c>
      <c r="CC139" s="42">
        <v>20.987344016575673</v>
      </c>
      <c r="CD139" s="244">
        <v>1.0616798528119591</v>
      </c>
      <c r="CE139" s="42">
        <v>35.451295367922675</v>
      </c>
      <c r="CF139" s="42">
        <v>0.318070973984178</v>
      </c>
      <c r="CG139" s="42">
        <v>0</v>
      </c>
      <c r="CH139" s="42">
        <v>0.318070973984178</v>
      </c>
      <c r="CI139" s="42">
        <v>1.59033982035343E-2</v>
      </c>
      <c r="CJ139" s="42">
        <v>0</v>
      </c>
      <c r="CK139" s="42">
        <v>1.59033982035343E-2</v>
      </c>
      <c r="CL139" s="42"/>
      <c r="CM139" s="42">
        <v>0</v>
      </c>
      <c r="CN139" s="42" t="s">
        <v>785</v>
      </c>
      <c r="CO139" s="42">
        <v>0</v>
      </c>
      <c r="CP139" s="42">
        <v>0</v>
      </c>
      <c r="CQ139" s="42">
        <v>0</v>
      </c>
      <c r="CR139" s="42">
        <v>0</v>
      </c>
      <c r="CS139" s="42">
        <v>0</v>
      </c>
      <c r="CT139" s="42">
        <v>0</v>
      </c>
      <c r="CU139" s="42">
        <v>0</v>
      </c>
      <c r="CV139" s="42">
        <v>9999</v>
      </c>
      <c r="CW139" s="244">
        <v>9999</v>
      </c>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row>
    <row r="140" spans="1:131">
      <c r="A140" s="18" t="s">
        <v>499</v>
      </c>
      <c r="B140" s="18" t="s">
        <v>557</v>
      </c>
      <c r="C140" s="42">
        <v>5</v>
      </c>
      <c r="D140" s="42">
        <v>18.906025135222919</v>
      </c>
      <c r="E140" s="42">
        <v>0</v>
      </c>
      <c r="F140" s="42">
        <v>2.3796646220549689</v>
      </c>
      <c r="G140" s="42">
        <v>0</v>
      </c>
      <c r="H140" s="42">
        <v>0</v>
      </c>
      <c r="I140" s="42" t="s">
        <v>920</v>
      </c>
      <c r="J140" s="42"/>
      <c r="K140" s="42"/>
      <c r="L140" s="42">
        <v>20.320107118910389</v>
      </c>
      <c r="M140" s="42">
        <v>3.8199031674323405E-3</v>
      </c>
      <c r="N140" s="42">
        <v>3.7923328193808577E-3</v>
      </c>
      <c r="O140" s="42">
        <v>0</v>
      </c>
      <c r="P140" s="42">
        <v>0</v>
      </c>
      <c r="Q140" s="42">
        <v>0</v>
      </c>
      <c r="R140" s="42">
        <v>0.47453691439278373</v>
      </c>
      <c r="S140" s="42">
        <v>1.0965826325044801</v>
      </c>
      <c r="T140" s="42">
        <v>0</v>
      </c>
      <c r="U140" s="42">
        <v>6.6847236386538649</v>
      </c>
      <c r="V140" s="42" t="s">
        <v>752</v>
      </c>
      <c r="W140" s="42" t="s">
        <v>752</v>
      </c>
      <c r="X140" s="42" t="s">
        <v>752</v>
      </c>
      <c r="Y140" s="42" t="s">
        <v>752</v>
      </c>
      <c r="Z140" s="42">
        <v>0</v>
      </c>
      <c r="AA140" s="42">
        <v>0</v>
      </c>
      <c r="AB140" s="42">
        <v>0</v>
      </c>
      <c r="AC140" s="42">
        <v>0</v>
      </c>
      <c r="AD140" s="42">
        <v>0</v>
      </c>
      <c r="AE140" s="42">
        <v>0</v>
      </c>
      <c r="AF140" s="42">
        <v>0</v>
      </c>
      <c r="AG140" s="42">
        <v>0</v>
      </c>
      <c r="AH140" s="42">
        <v>0.47453691439278373</v>
      </c>
      <c r="AI140" s="42">
        <v>1.0965826325044801</v>
      </c>
      <c r="AJ140" s="42">
        <v>0</v>
      </c>
      <c r="AK140" s="42">
        <v>6.6847236386538649</v>
      </c>
      <c r="AL140" s="42">
        <v>8.2558431855511287</v>
      </c>
      <c r="AM140" s="42">
        <v>10.575771841311962</v>
      </c>
      <c r="AN140" s="42">
        <v>1.3497569969411125</v>
      </c>
      <c r="AO140" s="42">
        <v>0</v>
      </c>
      <c r="AP140" s="42">
        <v>0</v>
      </c>
      <c r="AQ140" s="42">
        <v>11.925528838253074</v>
      </c>
      <c r="AR140" s="42">
        <v>0.47453691439278373</v>
      </c>
      <c r="AS140" s="244">
        <v>25.130877022524057</v>
      </c>
      <c r="AT140" s="42">
        <v>10.575771841311962</v>
      </c>
      <c r="AU140" s="42">
        <v>1.597710259347634</v>
      </c>
      <c r="AV140" s="42">
        <v>0</v>
      </c>
      <c r="AW140" s="42">
        <v>0</v>
      </c>
      <c r="AX140" s="42">
        <v>12.173482100659596</v>
      </c>
      <c r="AY140" s="42">
        <v>1.0965826325044801</v>
      </c>
      <c r="AZ140" s="244">
        <v>11.101290262874796</v>
      </c>
      <c r="BA140" s="42">
        <v>10.575771841311962</v>
      </c>
      <c r="BB140" s="42">
        <v>2.9474672562887463</v>
      </c>
      <c r="BC140" s="42">
        <v>0</v>
      </c>
      <c r="BD140" s="42">
        <v>0</v>
      </c>
      <c r="BE140" s="42">
        <v>13.523239097600708</v>
      </c>
      <c r="BF140" s="42">
        <v>1.5711195468972639</v>
      </c>
      <c r="BG140" s="42">
        <v>-4.9839340376102683</v>
      </c>
      <c r="BH140" s="244">
        <v>8.6073902678552816</v>
      </c>
      <c r="BI140" s="42">
        <v>1.718359876364671</v>
      </c>
      <c r="BJ140" s="42">
        <v>3.9708683132169384</v>
      </c>
      <c r="BK140" s="42">
        <v>0</v>
      </c>
      <c r="BL140" s="42">
        <v>24.206253585029696</v>
      </c>
      <c r="BM140" s="42">
        <v>29.895481774611302</v>
      </c>
      <c r="BN140" s="42">
        <v>10.575771841311962</v>
      </c>
      <c r="BO140" s="42">
        <v>0</v>
      </c>
      <c r="BP140" s="42">
        <v>2.9474672562887463</v>
      </c>
      <c r="BQ140" s="42">
        <v>0</v>
      </c>
      <c r="BR140" s="42">
        <v>0</v>
      </c>
      <c r="BS140" s="42">
        <v>0</v>
      </c>
      <c r="BT140" s="42">
        <v>0</v>
      </c>
      <c r="BU140" s="42">
        <v>0</v>
      </c>
      <c r="BV140" s="42">
        <v>0</v>
      </c>
      <c r="BW140" s="42">
        <v>0</v>
      </c>
      <c r="BX140" s="42">
        <v>8.2558431855511287</v>
      </c>
      <c r="BY140" s="42"/>
      <c r="BZ140" s="42">
        <v>0</v>
      </c>
      <c r="CA140" s="42">
        <v>0</v>
      </c>
      <c r="CB140" s="42">
        <v>13.523239097600708</v>
      </c>
      <c r="CC140" s="42">
        <v>8.2558431855511287</v>
      </c>
      <c r="CD140" s="244">
        <v>1.6380203443384502</v>
      </c>
      <c r="CE140" s="42">
        <v>19.222319547419424</v>
      </c>
      <c r="CF140" s="42">
        <v>0.19304284439885866</v>
      </c>
      <c r="CG140" s="42">
        <v>0</v>
      </c>
      <c r="CH140" s="42">
        <v>0.19304284439885866</v>
      </c>
      <c r="CI140" s="42">
        <v>9.6520508814824327E-3</v>
      </c>
      <c r="CJ140" s="42">
        <v>0</v>
      </c>
      <c r="CK140" s="42">
        <v>9.6520508814824327E-3</v>
      </c>
      <c r="CL140" s="42"/>
      <c r="CM140" s="42">
        <v>0</v>
      </c>
      <c r="CN140" s="42" t="s">
        <v>785</v>
      </c>
      <c r="CO140" s="42">
        <v>0</v>
      </c>
      <c r="CP140" s="42">
        <v>0</v>
      </c>
      <c r="CQ140" s="42">
        <v>0</v>
      </c>
      <c r="CR140" s="42">
        <v>0</v>
      </c>
      <c r="CS140" s="42">
        <v>0</v>
      </c>
      <c r="CT140" s="42">
        <v>0</v>
      </c>
      <c r="CU140" s="42">
        <v>0</v>
      </c>
      <c r="CV140" s="42">
        <v>9999</v>
      </c>
      <c r="CW140" s="244">
        <v>9999</v>
      </c>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row>
    <row r="141" spans="1:131">
      <c r="A141" s="18" t="s">
        <v>501</v>
      </c>
      <c r="B141" s="18" t="s">
        <v>558</v>
      </c>
      <c r="C141" s="42">
        <v>5</v>
      </c>
      <c r="D141" s="42">
        <v>36.542831054262564</v>
      </c>
      <c r="E141" s="42">
        <v>0</v>
      </c>
      <c r="F141" s="42">
        <v>5.4112648109355312</v>
      </c>
      <c r="G141" s="42">
        <v>0</v>
      </c>
      <c r="H141" s="42">
        <v>0</v>
      </c>
      <c r="I141" s="42" t="s">
        <v>920</v>
      </c>
      <c r="J141" s="42"/>
      <c r="K141" s="42"/>
      <c r="L141" s="42">
        <v>39.276063378729084</v>
      </c>
      <c r="M141" s="42">
        <v>7.3833645672595032E-3</v>
      </c>
      <c r="N141" s="42">
        <v>7.3300747528354483E-3</v>
      </c>
      <c r="O141" s="42">
        <v>0</v>
      </c>
      <c r="P141" s="42">
        <v>0</v>
      </c>
      <c r="Q141" s="42">
        <v>0</v>
      </c>
      <c r="R141" s="42">
        <v>1.0790784896932764</v>
      </c>
      <c r="S141" s="42">
        <v>2.493586262769373</v>
      </c>
      <c r="T141" s="42">
        <v>0</v>
      </c>
      <c r="U141" s="42">
        <v>15.200801600958124</v>
      </c>
      <c r="V141" s="42" t="s">
        <v>752</v>
      </c>
      <c r="W141" s="42" t="s">
        <v>752</v>
      </c>
      <c r="X141" s="42" t="s">
        <v>752</v>
      </c>
      <c r="Y141" s="42" t="s">
        <v>752</v>
      </c>
      <c r="Z141" s="42">
        <v>0</v>
      </c>
      <c r="AA141" s="42">
        <v>0</v>
      </c>
      <c r="AB141" s="42">
        <v>0</v>
      </c>
      <c r="AC141" s="42">
        <v>0</v>
      </c>
      <c r="AD141" s="42">
        <v>0</v>
      </c>
      <c r="AE141" s="42">
        <v>0</v>
      </c>
      <c r="AF141" s="42">
        <v>0</v>
      </c>
      <c r="AG141" s="42">
        <v>0</v>
      </c>
      <c r="AH141" s="42">
        <v>1.0790784896932764</v>
      </c>
      <c r="AI141" s="42">
        <v>2.493586262769373</v>
      </c>
      <c r="AJ141" s="42">
        <v>0</v>
      </c>
      <c r="AK141" s="42">
        <v>15.200801600958124</v>
      </c>
      <c r="AL141" s="42">
        <v>18.773466353420773</v>
      </c>
      <c r="AM141" s="42">
        <v>20.44155981499669</v>
      </c>
      <c r="AN141" s="42">
        <v>2.6089006838161213</v>
      </c>
      <c r="AO141" s="42">
        <v>0</v>
      </c>
      <c r="AP141" s="42">
        <v>0</v>
      </c>
      <c r="AQ141" s="42">
        <v>23.050460498812811</v>
      </c>
      <c r="AR141" s="42">
        <v>1.0790784896932764</v>
      </c>
      <c r="AS141" s="244">
        <v>21.361245469145448</v>
      </c>
      <c r="AT141" s="42">
        <v>20.44155981499669</v>
      </c>
      <c r="AU141" s="42">
        <v>3.0881613487453046</v>
      </c>
      <c r="AV141" s="42">
        <v>0</v>
      </c>
      <c r="AW141" s="42">
        <v>0</v>
      </c>
      <c r="AX141" s="42">
        <v>23.529721163741996</v>
      </c>
      <c r="AY141" s="42">
        <v>2.493586262769373</v>
      </c>
      <c r="AZ141" s="244">
        <v>9.436096723443578</v>
      </c>
      <c r="BA141" s="42">
        <v>20.44155981499669</v>
      </c>
      <c r="BB141" s="42">
        <v>5.6970620325614263</v>
      </c>
      <c r="BC141" s="42">
        <v>0</v>
      </c>
      <c r="BD141" s="42">
        <v>0</v>
      </c>
      <c r="BE141" s="42">
        <v>26.138621847558117</v>
      </c>
      <c r="BF141" s="42">
        <v>3.5726647524626491</v>
      </c>
      <c r="BG141" s="42">
        <v>-3.9799525923899899</v>
      </c>
      <c r="BH141" s="244">
        <v>7.3162817276769898</v>
      </c>
      <c r="BI141" s="42">
        <v>2.0215998545466713</v>
      </c>
      <c r="BJ141" s="42">
        <v>4.6716097802552206</v>
      </c>
      <c r="BK141" s="42">
        <v>0</v>
      </c>
      <c r="BL141" s="42">
        <v>28.47794539415257</v>
      </c>
      <c r="BM141" s="42">
        <v>35.171155028954459</v>
      </c>
      <c r="BN141" s="42">
        <v>20.44155981499669</v>
      </c>
      <c r="BO141" s="42">
        <v>0</v>
      </c>
      <c r="BP141" s="42">
        <v>5.6970620325614263</v>
      </c>
      <c r="BQ141" s="42">
        <v>0</v>
      </c>
      <c r="BR141" s="42">
        <v>0</v>
      </c>
      <c r="BS141" s="42">
        <v>0</v>
      </c>
      <c r="BT141" s="42">
        <v>0</v>
      </c>
      <c r="BU141" s="42">
        <v>0</v>
      </c>
      <c r="BV141" s="42">
        <v>0</v>
      </c>
      <c r="BW141" s="42">
        <v>0</v>
      </c>
      <c r="BX141" s="42">
        <v>18.773466353420773</v>
      </c>
      <c r="BY141" s="42"/>
      <c r="BZ141" s="42">
        <v>0</v>
      </c>
      <c r="CA141" s="42">
        <v>0</v>
      </c>
      <c r="CB141" s="42">
        <v>26.138621847558117</v>
      </c>
      <c r="CC141" s="42">
        <v>18.773466353420773</v>
      </c>
      <c r="CD141" s="244">
        <v>1.3923172926876828</v>
      </c>
      <c r="CE141" s="42">
        <v>24.497992801762578</v>
      </c>
      <c r="CF141" s="42">
        <v>0.37312613299974901</v>
      </c>
      <c r="CG141" s="42">
        <v>0</v>
      </c>
      <c r="CH141" s="42">
        <v>0.37312613299974901</v>
      </c>
      <c r="CI141" s="42">
        <v>1.865613010489631E-2</v>
      </c>
      <c r="CJ141" s="42">
        <v>0</v>
      </c>
      <c r="CK141" s="42">
        <v>1.865613010489631E-2</v>
      </c>
      <c r="CL141" s="42"/>
      <c r="CM141" s="42">
        <v>0</v>
      </c>
      <c r="CN141" s="42" t="s">
        <v>785</v>
      </c>
      <c r="CO141" s="42">
        <v>0</v>
      </c>
      <c r="CP141" s="42">
        <v>0</v>
      </c>
      <c r="CQ141" s="42">
        <v>0</v>
      </c>
      <c r="CR141" s="42">
        <v>0</v>
      </c>
      <c r="CS141" s="42">
        <v>0</v>
      </c>
      <c r="CT141" s="42">
        <v>0</v>
      </c>
      <c r="CU141" s="42">
        <v>0</v>
      </c>
      <c r="CV141" s="42">
        <v>9999</v>
      </c>
      <c r="CW141" s="244">
        <v>9999</v>
      </c>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row>
    <row r="142" spans="1:131">
      <c r="A142" s="18" t="s">
        <v>503</v>
      </c>
      <c r="B142" s="18" t="s">
        <v>559</v>
      </c>
      <c r="C142" s="42">
        <v>5</v>
      </c>
      <c r="D142" s="42">
        <v>23.348567287607068</v>
      </c>
      <c r="E142" s="42">
        <v>0</v>
      </c>
      <c r="F142" s="42">
        <v>4.8829936394755169</v>
      </c>
      <c r="G142" s="42">
        <v>0</v>
      </c>
      <c r="H142" s="42">
        <v>0</v>
      </c>
      <c r="I142" s="42" t="s">
        <v>920</v>
      </c>
      <c r="J142" s="42"/>
      <c r="K142" s="42"/>
      <c r="L142" s="42">
        <v>25.094930582385928</v>
      </c>
      <c r="M142" s="42">
        <v>4.7175048958743356E-3</v>
      </c>
      <c r="N142" s="42">
        <v>4.6834560610706892E-3</v>
      </c>
      <c r="O142" s="42">
        <v>0</v>
      </c>
      <c r="P142" s="42">
        <v>0</v>
      </c>
      <c r="Q142" s="42">
        <v>0</v>
      </c>
      <c r="R142" s="42">
        <v>0.97373416119255796</v>
      </c>
      <c r="S142" s="42">
        <v>2.2501515423861296</v>
      </c>
      <c r="T142" s="42">
        <v>0</v>
      </c>
      <c r="U142" s="42">
        <v>13.716833333014291</v>
      </c>
      <c r="V142" s="42" t="s">
        <v>752</v>
      </c>
      <c r="W142" s="42" t="s">
        <v>752</v>
      </c>
      <c r="X142" s="42" t="s">
        <v>752</v>
      </c>
      <c r="Y142" s="42" t="s">
        <v>752</v>
      </c>
      <c r="Z142" s="42">
        <v>0</v>
      </c>
      <c r="AA142" s="42">
        <v>0</v>
      </c>
      <c r="AB142" s="42">
        <v>0</v>
      </c>
      <c r="AC142" s="42">
        <v>0</v>
      </c>
      <c r="AD142" s="42">
        <v>0</v>
      </c>
      <c r="AE142" s="42">
        <v>0</v>
      </c>
      <c r="AF142" s="42">
        <v>0</v>
      </c>
      <c r="AG142" s="42">
        <v>0</v>
      </c>
      <c r="AH142" s="42">
        <v>0.97373416119255796</v>
      </c>
      <c r="AI142" s="42">
        <v>2.2501515423861296</v>
      </c>
      <c r="AJ142" s="42">
        <v>0</v>
      </c>
      <c r="AK142" s="42">
        <v>13.716833333014291</v>
      </c>
      <c r="AL142" s="42">
        <v>16.940719036592977</v>
      </c>
      <c r="AM142" s="42">
        <v>13.06086915092537</v>
      </c>
      <c r="AN142" s="42">
        <v>1.6669232077917908</v>
      </c>
      <c r="AO142" s="42">
        <v>0</v>
      </c>
      <c r="AP142" s="42">
        <v>0</v>
      </c>
      <c r="AQ142" s="42">
        <v>14.727792358717162</v>
      </c>
      <c r="AR142" s="42">
        <v>0.97373416119255796</v>
      </c>
      <c r="AS142" s="244">
        <v>15.125064874667276</v>
      </c>
      <c r="AT142" s="42">
        <v>13.06086915092537</v>
      </c>
      <c r="AU142" s="42">
        <v>1.9731405850602945</v>
      </c>
      <c r="AV142" s="42">
        <v>0</v>
      </c>
      <c r="AW142" s="42">
        <v>0</v>
      </c>
      <c r="AX142" s="42">
        <v>15.034009735985665</v>
      </c>
      <c r="AY142" s="42">
        <v>2.2501515423861296</v>
      </c>
      <c r="AZ142" s="244">
        <v>6.6813321026561354</v>
      </c>
      <c r="BA142" s="42">
        <v>13.06086915092537</v>
      </c>
      <c r="BB142" s="42">
        <v>3.6400637928520854</v>
      </c>
      <c r="BC142" s="42">
        <v>0</v>
      </c>
      <c r="BD142" s="42">
        <v>0</v>
      </c>
      <c r="BE142" s="42">
        <v>16.700932943777456</v>
      </c>
      <c r="BF142" s="42">
        <v>3.2238857035786874</v>
      </c>
      <c r="BG142" s="42">
        <v>-1.2202907737332123</v>
      </c>
      <c r="BH142" s="244">
        <v>5.1803737723203147</v>
      </c>
      <c r="BI142" s="42">
        <v>2.8551210253443755</v>
      </c>
      <c r="BJ142" s="42">
        <v>6.5977504281142965</v>
      </c>
      <c r="BK142" s="42">
        <v>0</v>
      </c>
      <c r="BL142" s="42">
        <v>40.219621341280089</v>
      </c>
      <c r="BM142" s="42">
        <v>49.672492794738758</v>
      </c>
      <c r="BN142" s="42">
        <v>13.06086915092537</v>
      </c>
      <c r="BO142" s="42">
        <v>0</v>
      </c>
      <c r="BP142" s="42">
        <v>3.6400637928520854</v>
      </c>
      <c r="BQ142" s="42">
        <v>0</v>
      </c>
      <c r="BR142" s="42">
        <v>0</v>
      </c>
      <c r="BS142" s="42">
        <v>0</v>
      </c>
      <c r="BT142" s="42">
        <v>0</v>
      </c>
      <c r="BU142" s="42">
        <v>0</v>
      </c>
      <c r="BV142" s="42">
        <v>0</v>
      </c>
      <c r="BW142" s="42">
        <v>0</v>
      </c>
      <c r="BX142" s="42">
        <v>16.940719036592977</v>
      </c>
      <c r="BY142" s="42"/>
      <c r="BZ142" s="42">
        <v>0</v>
      </c>
      <c r="CA142" s="42">
        <v>0</v>
      </c>
      <c r="CB142" s="42">
        <v>16.700932943777456</v>
      </c>
      <c r="CC142" s="42">
        <v>16.940719036592977</v>
      </c>
      <c r="CD142" s="245">
        <v>0.98584557761110558</v>
      </c>
      <c r="CE142" s="42">
        <v>38.99933056754687</v>
      </c>
      <c r="CF142" s="42">
        <v>0.23840409655652736</v>
      </c>
      <c r="CG142" s="42">
        <v>0</v>
      </c>
      <c r="CH142" s="42">
        <v>0.23840409655652736</v>
      </c>
      <c r="CI142" s="42">
        <v>1.1920092026633312E-2</v>
      </c>
      <c r="CJ142" s="42">
        <v>0</v>
      </c>
      <c r="CK142" s="42">
        <v>1.1920092026633312E-2</v>
      </c>
      <c r="CL142" s="42"/>
      <c r="CM142" s="42">
        <v>0</v>
      </c>
      <c r="CN142" s="42" t="s">
        <v>785</v>
      </c>
      <c r="CO142" s="42">
        <v>0</v>
      </c>
      <c r="CP142" s="42">
        <v>0</v>
      </c>
      <c r="CQ142" s="42">
        <v>0</v>
      </c>
      <c r="CR142" s="42">
        <v>0</v>
      </c>
      <c r="CS142" s="42">
        <v>0</v>
      </c>
      <c r="CT142" s="42">
        <v>0</v>
      </c>
      <c r="CU142" s="42">
        <v>0</v>
      </c>
      <c r="CV142" s="42">
        <v>9999</v>
      </c>
      <c r="CW142" s="244">
        <v>9999</v>
      </c>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row>
    <row r="143" spans="1:131">
      <c r="A143" s="18" t="s">
        <v>505</v>
      </c>
      <c r="B143" s="18" t="s">
        <v>560</v>
      </c>
      <c r="C143" s="42">
        <v>5</v>
      </c>
      <c r="D143" s="42">
        <v>25.238392208540706</v>
      </c>
      <c r="E143" s="42">
        <v>0</v>
      </c>
      <c r="F143" s="42">
        <v>5.2782214474592344</v>
      </c>
      <c r="G143" s="42">
        <v>0</v>
      </c>
      <c r="H143" s="42">
        <v>0</v>
      </c>
      <c r="I143" s="42" t="s">
        <v>920</v>
      </c>
      <c r="J143" s="42"/>
      <c r="K143" s="42"/>
      <c r="L143" s="42">
        <v>27.126105541410706</v>
      </c>
      <c r="M143" s="42">
        <v>5.0993381024703483E-3</v>
      </c>
      <c r="N143" s="42">
        <v>5.0625333668121407E-3</v>
      </c>
      <c r="O143" s="42">
        <v>0</v>
      </c>
      <c r="P143" s="42">
        <v>0</v>
      </c>
      <c r="Q143" s="42">
        <v>0</v>
      </c>
      <c r="R143" s="42">
        <v>1.0525478657560428</v>
      </c>
      <c r="S143" s="42">
        <v>2.4322780261355481</v>
      </c>
      <c r="T143" s="42">
        <v>0</v>
      </c>
      <c r="U143" s="42">
        <v>14.827069055391256</v>
      </c>
      <c r="V143" s="42" t="s">
        <v>752</v>
      </c>
      <c r="W143" s="42" t="s">
        <v>752</v>
      </c>
      <c r="X143" s="42" t="s">
        <v>752</v>
      </c>
      <c r="Y143" s="42" t="s">
        <v>752</v>
      </c>
      <c r="Z143" s="42">
        <v>0</v>
      </c>
      <c r="AA143" s="42">
        <v>0</v>
      </c>
      <c r="AB143" s="42">
        <v>0</v>
      </c>
      <c r="AC143" s="42">
        <v>0</v>
      </c>
      <c r="AD143" s="42">
        <v>0</v>
      </c>
      <c r="AE143" s="42">
        <v>0</v>
      </c>
      <c r="AF143" s="42">
        <v>0</v>
      </c>
      <c r="AG143" s="42">
        <v>0</v>
      </c>
      <c r="AH143" s="42">
        <v>1.0525478657560428</v>
      </c>
      <c r="AI143" s="42">
        <v>2.4322780261355481</v>
      </c>
      <c r="AJ143" s="42">
        <v>0</v>
      </c>
      <c r="AK143" s="42">
        <v>14.827069055391256</v>
      </c>
      <c r="AL143" s="42">
        <v>18.311894947282845</v>
      </c>
      <c r="AM143" s="42">
        <v>14.118011360399288</v>
      </c>
      <c r="AN143" s="42">
        <v>1.8018433928534079</v>
      </c>
      <c r="AO143" s="42">
        <v>0</v>
      </c>
      <c r="AP143" s="42">
        <v>0</v>
      </c>
      <c r="AQ143" s="42">
        <v>15.919854753252697</v>
      </c>
      <c r="AR143" s="42">
        <v>1.0525478657560428</v>
      </c>
      <c r="AS143" s="244">
        <v>15.125064874667245</v>
      </c>
      <c r="AT143" s="42">
        <v>14.118011360399288</v>
      </c>
      <c r="AU143" s="42">
        <v>2.1328458982052148</v>
      </c>
      <c r="AV143" s="42">
        <v>0</v>
      </c>
      <c r="AW143" s="42">
        <v>0</v>
      </c>
      <c r="AX143" s="42">
        <v>16.250857258604505</v>
      </c>
      <c r="AY143" s="42">
        <v>2.4322780261355481</v>
      </c>
      <c r="AZ143" s="244">
        <v>6.6813321026561221</v>
      </c>
      <c r="BA143" s="42">
        <v>14.118011360399288</v>
      </c>
      <c r="BB143" s="42">
        <v>3.9346892910586226</v>
      </c>
      <c r="BC143" s="42">
        <v>0</v>
      </c>
      <c r="BD143" s="42">
        <v>0</v>
      </c>
      <c r="BE143" s="42">
        <v>18.052700651457911</v>
      </c>
      <c r="BF143" s="42">
        <v>3.4848258918915906</v>
      </c>
      <c r="BG143" s="42">
        <v>-1.2202907737332134</v>
      </c>
      <c r="BH143" s="244">
        <v>5.1803737723203049</v>
      </c>
      <c r="BI143" s="42">
        <v>2.8551210253443755</v>
      </c>
      <c r="BJ143" s="42">
        <v>6.5977504281142973</v>
      </c>
      <c r="BK143" s="42">
        <v>0</v>
      </c>
      <c r="BL143" s="42">
        <v>40.219621341280089</v>
      </c>
      <c r="BM143" s="42">
        <v>49.672492794738758</v>
      </c>
      <c r="BN143" s="42">
        <v>14.118011360399288</v>
      </c>
      <c r="BO143" s="42">
        <v>0</v>
      </c>
      <c r="BP143" s="42">
        <v>3.9346892910586226</v>
      </c>
      <c r="BQ143" s="42">
        <v>0</v>
      </c>
      <c r="BR143" s="42">
        <v>0</v>
      </c>
      <c r="BS143" s="42">
        <v>0</v>
      </c>
      <c r="BT143" s="42">
        <v>0</v>
      </c>
      <c r="BU143" s="42">
        <v>0</v>
      </c>
      <c r="BV143" s="42">
        <v>0</v>
      </c>
      <c r="BW143" s="42">
        <v>0</v>
      </c>
      <c r="BX143" s="42">
        <v>18.311894947282845</v>
      </c>
      <c r="BY143" s="42"/>
      <c r="BZ143" s="42">
        <v>0</v>
      </c>
      <c r="CA143" s="42">
        <v>0</v>
      </c>
      <c r="CB143" s="42">
        <v>18.052700651457911</v>
      </c>
      <c r="CC143" s="42">
        <v>18.311894947282845</v>
      </c>
      <c r="CD143" s="245">
        <v>0.98584557761110392</v>
      </c>
      <c r="CE143" s="42">
        <v>38.99933056754687</v>
      </c>
      <c r="CF143" s="42">
        <v>0.25770044126904956</v>
      </c>
      <c r="CG143" s="42">
        <v>0</v>
      </c>
      <c r="CH143" s="42">
        <v>0.25770044126904956</v>
      </c>
      <c r="CI143" s="42">
        <v>1.2884900132170085E-2</v>
      </c>
      <c r="CJ143" s="42">
        <v>0</v>
      </c>
      <c r="CK143" s="42">
        <v>1.2884900132170085E-2</v>
      </c>
      <c r="CL143" s="42"/>
      <c r="CM143" s="42">
        <v>0</v>
      </c>
      <c r="CN143" s="42" t="s">
        <v>785</v>
      </c>
      <c r="CO143" s="42">
        <v>0</v>
      </c>
      <c r="CP143" s="42">
        <v>0</v>
      </c>
      <c r="CQ143" s="42">
        <v>0</v>
      </c>
      <c r="CR143" s="42">
        <v>0</v>
      </c>
      <c r="CS143" s="42">
        <v>0</v>
      </c>
      <c r="CT143" s="42">
        <v>0</v>
      </c>
      <c r="CU143" s="42">
        <v>0</v>
      </c>
      <c r="CV143" s="42">
        <v>9999</v>
      </c>
      <c r="CW143" s="244">
        <v>9999</v>
      </c>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row>
    <row r="144" spans="1:131">
      <c r="A144" s="18"/>
      <c r="B144" s="18"/>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c r="BM144" s="42"/>
      <c r="BN144" s="42"/>
      <c r="BO144" s="42"/>
      <c r="BP144" s="42"/>
      <c r="BQ144" s="42"/>
      <c r="BR144" s="42"/>
      <c r="BS144" s="42"/>
      <c r="BT144" s="42"/>
      <c r="BU144" s="42"/>
      <c r="BV144" s="42"/>
      <c r="BW144" s="42"/>
      <c r="BX144" s="42"/>
      <c r="BY144" s="42"/>
      <c r="BZ144" s="42"/>
      <c r="CA144" s="42"/>
      <c r="CB144" s="42"/>
      <c r="CC144" s="42"/>
      <c r="CD144" s="42"/>
      <c r="CE144" s="42"/>
      <c r="CF144" s="42"/>
      <c r="CG144" s="42"/>
      <c r="CH144" s="42"/>
      <c r="CI144" s="42"/>
      <c r="CJ144" s="42"/>
      <c r="CK144" s="42"/>
      <c r="CL144" s="42"/>
      <c r="CM144" s="42"/>
      <c r="CN144" s="42"/>
      <c r="CO144" s="42"/>
      <c r="CP144" s="42"/>
      <c r="CQ144" s="42"/>
      <c r="CR144" s="42"/>
      <c r="CS144" s="42"/>
      <c r="CT144" s="42"/>
      <c r="CU144" s="42"/>
      <c r="CV144" s="42"/>
      <c r="CW144" s="42"/>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row>
    <row r="145" spans="1:131">
      <c r="A145" s="18"/>
      <c r="B145" s="18"/>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42"/>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row>
    <row r="146" spans="1:131" ht="13.5" thickBot="1">
      <c r="A146" s="222" t="s">
        <v>753</v>
      </c>
      <c r="B146" s="224"/>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c r="AY146" s="42"/>
      <c r="AZ146" s="42"/>
      <c r="BA146" s="42"/>
      <c r="BB146" s="42"/>
      <c r="BC146" s="42"/>
      <c r="BD146" s="42"/>
      <c r="BE146" s="42"/>
      <c r="BF146" s="42"/>
      <c r="BG146" s="42"/>
      <c r="BH146" s="42"/>
      <c r="BI146" s="42"/>
      <c r="BJ146" s="42"/>
      <c r="BK146" s="42"/>
      <c r="BL146" s="42"/>
      <c r="BM146" s="42"/>
      <c r="BN146" s="42"/>
      <c r="BO146" s="42"/>
      <c r="BP146" s="42"/>
      <c r="BQ146" s="42"/>
      <c r="BR146" s="42"/>
      <c r="BS146" s="42"/>
      <c r="BT146" s="42"/>
      <c r="BU146" s="42"/>
      <c r="BV146" s="42"/>
      <c r="BW146" s="42"/>
      <c r="BX146" s="42"/>
      <c r="BY146" s="42"/>
      <c r="BZ146" s="42"/>
      <c r="CA146" s="42"/>
      <c r="CB146" s="42"/>
      <c r="CC146" s="42"/>
      <c r="CD146" s="42"/>
      <c r="CE146" s="42"/>
      <c r="CF146" s="42"/>
      <c r="CG146" s="42"/>
      <c r="CH146" s="42"/>
      <c r="CI146" s="42"/>
      <c r="CJ146" s="42"/>
      <c r="CK146" s="42"/>
      <c r="CL146" s="42"/>
      <c r="CM146" s="42"/>
      <c r="CN146" s="42"/>
      <c r="CO146" s="42"/>
      <c r="CP146" s="42"/>
      <c r="CQ146" s="42"/>
      <c r="CR146" s="42"/>
      <c r="CS146" s="42"/>
      <c r="CT146" s="42"/>
      <c r="CU146" s="42"/>
      <c r="CV146" s="42"/>
      <c r="CW146" s="42"/>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row>
    <row r="147" spans="1:131" ht="26.25" thickBot="1">
      <c r="A147" s="234" t="s">
        <v>653</v>
      </c>
      <c r="B147" s="235"/>
      <c r="C147" s="236" t="s">
        <v>654</v>
      </c>
      <c r="D147" s="237"/>
      <c r="E147" s="237"/>
      <c r="F147" s="237"/>
      <c r="G147" s="237"/>
      <c r="H147" s="237"/>
      <c r="I147" s="237"/>
      <c r="J147" s="237"/>
      <c r="K147" s="238"/>
      <c r="L147" s="236" t="s">
        <v>655</v>
      </c>
      <c r="M147" s="237"/>
      <c r="N147" s="237"/>
      <c r="O147" s="237"/>
      <c r="P147" s="237"/>
      <c r="Q147" s="238"/>
      <c r="R147" s="236" t="s">
        <v>656</v>
      </c>
      <c r="S147" s="237"/>
      <c r="T147" s="237"/>
      <c r="U147" s="238"/>
      <c r="V147" s="236" t="s">
        <v>657</v>
      </c>
      <c r="W147" s="237"/>
      <c r="X147" s="237"/>
      <c r="Y147" s="238"/>
      <c r="Z147" s="236" t="s">
        <v>658</v>
      </c>
      <c r="AA147" s="237"/>
      <c r="AB147" s="237"/>
      <c r="AC147" s="238"/>
      <c r="AD147" s="236" t="s">
        <v>659</v>
      </c>
      <c r="AE147" s="237"/>
      <c r="AF147" s="237"/>
      <c r="AG147" s="238"/>
      <c r="AH147" s="236" t="s">
        <v>660</v>
      </c>
      <c r="AI147" s="237"/>
      <c r="AJ147" s="237"/>
      <c r="AK147" s="237"/>
      <c r="AL147" s="238"/>
      <c r="AM147" s="236" t="s">
        <v>661</v>
      </c>
      <c r="AN147" s="237"/>
      <c r="AO147" s="237"/>
      <c r="AP147" s="237"/>
      <c r="AQ147" s="237"/>
      <c r="AR147" s="237"/>
      <c r="AS147" s="238"/>
      <c r="AT147" s="236" t="s">
        <v>662</v>
      </c>
      <c r="AU147" s="237"/>
      <c r="AV147" s="237"/>
      <c r="AW147" s="237"/>
      <c r="AX147" s="237"/>
      <c r="AY147" s="237"/>
      <c r="AZ147" s="238"/>
      <c r="BA147" s="236" t="s">
        <v>663</v>
      </c>
      <c r="BB147" s="237"/>
      <c r="BC147" s="237"/>
      <c r="BD147" s="237"/>
      <c r="BE147" s="237"/>
      <c r="BF147" s="238"/>
      <c r="BG147" s="236" t="s">
        <v>664</v>
      </c>
      <c r="BH147" s="238"/>
      <c r="BI147" s="236" t="s">
        <v>665</v>
      </c>
      <c r="BJ147" s="237"/>
      <c r="BK147" s="237"/>
      <c r="BL147" s="237"/>
      <c r="BM147" s="238"/>
      <c r="BN147" s="236" t="s">
        <v>666</v>
      </c>
      <c r="BO147" s="237"/>
      <c r="BP147" s="237"/>
      <c r="BQ147" s="237"/>
      <c r="BR147" s="237"/>
      <c r="BS147" s="237"/>
      <c r="BT147" s="237"/>
      <c r="BU147" s="237"/>
      <c r="BV147" s="237"/>
      <c r="BW147" s="237"/>
      <c r="BX147" s="237"/>
      <c r="BY147" s="237"/>
      <c r="BZ147" s="237"/>
      <c r="CA147" s="237"/>
      <c r="CB147" s="237"/>
      <c r="CC147" s="238"/>
      <c r="CD147" s="236" t="s">
        <v>667</v>
      </c>
      <c r="CE147" s="238"/>
      <c r="CF147" s="236" t="s">
        <v>668</v>
      </c>
      <c r="CG147" s="237"/>
      <c r="CH147" s="237"/>
      <c r="CI147" s="237"/>
      <c r="CJ147" s="237"/>
      <c r="CK147" s="238"/>
      <c r="CL147" s="239"/>
      <c r="CM147" s="236" t="s">
        <v>203</v>
      </c>
      <c r="CN147" s="237"/>
      <c r="CO147" s="237"/>
      <c r="CP147" s="238"/>
      <c r="CQ147" s="236" t="s">
        <v>669</v>
      </c>
      <c r="CR147" s="237"/>
      <c r="CS147" s="237"/>
      <c r="CT147" s="237"/>
      <c r="CU147" s="238"/>
      <c r="CV147" s="236" t="s">
        <v>670</v>
      </c>
      <c r="CW147" s="23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row>
    <row r="148" spans="1:131" ht="216.75">
      <c r="A148" s="240" t="s">
        <v>671</v>
      </c>
      <c r="B148" s="241" t="s">
        <v>672</v>
      </c>
      <c r="C148" s="242" t="s">
        <v>21</v>
      </c>
      <c r="D148" s="242" t="s">
        <v>673</v>
      </c>
      <c r="E148" s="242" t="s">
        <v>674</v>
      </c>
      <c r="F148" s="242" t="s">
        <v>675</v>
      </c>
      <c r="G148" s="242" t="s">
        <v>676</v>
      </c>
      <c r="H148" s="242" t="s">
        <v>677</v>
      </c>
      <c r="I148" s="242" t="s">
        <v>678</v>
      </c>
      <c r="J148" s="242" t="s">
        <v>679</v>
      </c>
      <c r="K148" s="242" t="s">
        <v>680</v>
      </c>
      <c r="L148" s="242" t="s">
        <v>681</v>
      </c>
      <c r="M148" s="242" t="s">
        <v>682</v>
      </c>
      <c r="N148" s="242" t="s">
        <v>683</v>
      </c>
      <c r="O148" s="242" t="s">
        <v>684</v>
      </c>
      <c r="P148" s="242" t="s">
        <v>685</v>
      </c>
      <c r="Q148" s="242" t="s">
        <v>686</v>
      </c>
      <c r="R148" s="242" t="s">
        <v>687</v>
      </c>
      <c r="S148" s="242" t="s">
        <v>688</v>
      </c>
      <c r="T148" s="242" t="s">
        <v>689</v>
      </c>
      <c r="U148" s="242" t="s">
        <v>593</v>
      </c>
      <c r="V148" s="242" t="s">
        <v>687</v>
      </c>
      <c r="W148" s="242" t="s">
        <v>688</v>
      </c>
      <c r="X148" s="242" t="s">
        <v>689</v>
      </c>
      <c r="Y148" s="242" t="s">
        <v>593</v>
      </c>
      <c r="Z148" s="242" t="s">
        <v>687</v>
      </c>
      <c r="AA148" s="242" t="s">
        <v>688</v>
      </c>
      <c r="AB148" s="242" t="s">
        <v>689</v>
      </c>
      <c r="AC148" s="242" t="s">
        <v>593</v>
      </c>
      <c r="AD148" s="242" t="s">
        <v>687</v>
      </c>
      <c r="AE148" s="242" t="s">
        <v>688</v>
      </c>
      <c r="AF148" s="242" t="s">
        <v>689</v>
      </c>
      <c r="AG148" s="242" t="s">
        <v>593</v>
      </c>
      <c r="AH148" s="242" t="s">
        <v>687</v>
      </c>
      <c r="AI148" s="242" t="s">
        <v>688</v>
      </c>
      <c r="AJ148" s="242" t="s">
        <v>689</v>
      </c>
      <c r="AK148" s="242" t="s">
        <v>593</v>
      </c>
      <c r="AL148" s="242" t="s">
        <v>27</v>
      </c>
      <c r="AM148" s="242" t="s">
        <v>690</v>
      </c>
      <c r="AN148" s="242" t="s">
        <v>691</v>
      </c>
      <c r="AO148" s="242" t="s">
        <v>692</v>
      </c>
      <c r="AP148" s="242" t="s">
        <v>693</v>
      </c>
      <c r="AQ148" s="242" t="s">
        <v>694</v>
      </c>
      <c r="AR148" s="242" t="s">
        <v>695</v>
      </c>
      <c r="AS148" s="242" t="s">
        <v>696</v>
      </c>
      <c r="AT148" s="242" t="s">
        <v>697</v>
      </c>
      <c r="AU148" s="242" t="s">
        <v>698</v>
      </c>
      <c r="AV148" s="242" t="s">
        <v>699</v>
      </c>
      <c r="AW148" s="242" t="s">
        <v>700</v>
      </c>
      <c r="AX148" s="242" t="s">
        <v>701</v>
      </c>
      <c r="AY148" s="242" t="s">
        <v>702</v>
      </c>
      <c r="AZ148" s="242" t="s">
        <v>703</v>
      </c>
      <c r="BA148" s="242" t="s">
        <v>704</v>
      </c>
      <c r="BB148" s="242" t="s">
        <v>705</v>
      </c>
      <c r="BC148" s="242" t="s">
        <v>706</v>
      </c>
      <c r="BD148" s="242" t="s">
        <v>707</v>
      </c>
      <c r="BE148" s="242" t="s">
        <v>708</v>
      </c>
      <c r="BF148" s="242" t="s">
        <v>709</v>
      </c>
      <c r="BG148" s="242" t="s">
        <v>710</v>
      </c>
      <c r="BH148" s="242" t="s">
        <v>711</v>
      </c>
      <c r="BI148" s="242" t="s">
        <v>712</v>
      </c>
      <c r="BJ148" s="242" t="s">
        <v>713</v>
      </c>
      <c r="BK148" s="242" t="s">
        <v>714</v>
      </c>
      <c r="BL148" s="242" t="s">
        <v>715</v>
      </c>
      <c r="BM148" s="242" t="s">
        <v>716</v>
      </c>
      <c r="BN148" s="242" t="s">
        <v>717</v>
      </c>
      <c r="BO148" s="242" t="s">
        <v>718</v>
      </c>
      <c r="BP148" s="242" t="s">
        <v>719</v>
      </c>
      <c r="BQ148" s="242" t="s">
        <v>720</v>
      </c>
      <c r="BR148" s="242" t="s">
        <v>721</v>
      </c>
      <c r="BS148" s="242" t="s">
        <v>722</v>
      </c>
      <c r="BT148" s="242" t="s">
        <v>723</v>
      </c>
      <c r="BU148" s="242" t="s">
        <v>724</v>
      </c>
      <c r="BV148" s="242" t="s">
        <v>725</v>
      </c>
      <c r="BW148" s="242" t="s">
        <v>726</v>
      </c>
      <c r="BX148" s="242" t="s">
        <v>727</v>
      </c>
      <c r="BY148" s="242" t="s">
        <v>728</v>
      </c>
      <c r="BZ148" s="242" t="s">
        <v>729</v>
      </c>
      <c r="CA148" s="242" t="s">
        <v>730</v>
      </c>
      <c r="CB148" s="242" t="s">
        <v>731</v>
      </c>
      <c r="CC148" s="242" t="s">
        <v>732</v>
      </c>
      <c r="CD148" s="242" t="s">
        <v>733</v>
      </c>
      <c r="CE148" s="242" t="s">
        <v>734</v>
      </c>
      <c r="CF148" s="242" t="s">
        <v>735</v>
      </c>
      <c r="CG148" s="242" t="s">
        <v>736</v>
      </c>
      <c r="CH148" s="242" t="s">
        <v>737</v>
      </c>
      <c r="CI148" s="242" t="s">
        <v>738</v>
      </c>
      <c r="CJ148" s="242" t="s">
        <v>739</v>
      </c>
      <c r="CK148" s="242" t="s">
        <v>740</v>
      </c>
      <c r="CL148" s="242"/>
      <c r="CM148" s="242" t="s">
        <v>741</v>
      </c>
      <c r="CN148" s="242" t="s">
        <v>742</v>
      </c>
      <c r="CO148" s="242" t="s">
        <v>743</v>
      </c>
      <c r="CP148" s="242" t="s">
        <v>744</v>
      </c>
      <c r="CQ148" s="242" t="s">
        <v>745</v>
      </c>
      <c r="CR148" s="242" t="s">
        <v>746</v>
      </c>
      <c r="CS148" s="242" t="s">
        <v>747</v>
      </c>
      <c r="CT148" s="242" t="s">
        <v>748</v>
      </c>
      <c r="CU148" s="242" t="s">
        <v>749</v>
      </c>
      <c r="CV148" s="242" t="s">
        <v>750</v>
      </c>
      <c r="CW148" s="242" t="s">
        <v>751</v>
      </c>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row>
    <row r="149" spans="1:131">
      <c r="A149" s="18" t="s">
        <v>493</v>
      </c>
      <c r="B149" s="18"/>
      <c r="C149" s="42">
        <v>0</v>
      </c>
      <c r="D149" s="42">
        <v>0</v>
      </c>
      <c r="E149" s="42">
        <v>0</v>
      </c>
      <c r="F149" s="42">
        <v>0</v>
      </c>
      <c r="G149" s="42">
        <v>0</v>
      </c>
      <c r="H149" s="42">
        <v>0</v>
      </c>
      <c r="I149" s="42"/>
      <c r="J149" s="42"/>
      <c r="K149" s="42"/>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2">
        <v>0</v>
      </c>
      <c r="AC149" s="42">
        <v>0</v>
      </c>
      <c r="AD149" s="42">
        <v>0</v>
      </c>
      <c r="AE149" s="42">
        <v>0</v>
      </c>
      <c r="AF149" s="42">
        <v>0</v>
      </c>
      <c r="AG149" s="42">
        <v>0</v>
      </c>
      <c r="AH149" s="42">
        <v>0</v>
      </c>
      <c r="AI149" s="42">
        <v>0</v>
      </c>
      <c r="AJ149" s="42">
        <v>0</v>
      </c>
      <c r="AK149" s="42">
        <v>0</v>
      </c>
      <c r="AL149" s="42">
        <v>0</v>
      </c>
      <c r="AM149" s="42">
        <v>0</v>
      </c>
      <c r="AN149" s="42">
        <v>0</v>
      </c>
      <c r="AO149" s="42">
        <v>0</v>
      </c>
      <c r="AP149" s="42">
        <v>0</v>
      </c>
      <c r="AQ149" s="42">
        <v>0</v>
      </c>
      <c r="AR149" s="42">
        <v>0</v>
      </c>
      <c r="AS149" s="244">
        <v>9999</v>
      </c>
      <c r="AT149" s="42">
        <v>0</v>
      </c>
      <c r="AU149" s="42">
        <v>0</v>
      </c>
      <c r="AV149" s="42">
        <v>0</v>
      </c>
      <c r="AW149" s="42">
        <v>0</v>
      </c>
      <c r="AX149" s="42">
        <v>0</v>
      </c>
      <c r="AY149" s="42">
        <v>0</v>
      </c>
      <c r="AZ149" s="244">
        <v>9999</v>
      </c>
      <c r="BA149" s="42">
        <v>0</v>
      </c>
      <c r="BB149" s="42">
        <v>0</v>
      </c>
      <c r="BC149" s="42">
        <v>0</v>
      </c>
      <c r="BD149" s="42">
        <v>0</v>
      </c>
      <c r="BE149" s="42">
        <v>0</v>
      </c>
      <c r="BF149" s="42">
        <v>0</v>
      </c>
      <c r="BG149" s="42">
        <v>9999</v>
      </c>
      <c r="BH149" s="244">
        <v>9999</v>
      </c>
      <c r="BI149" s="42">
        <v>9999</v>
      </c>
      <c r="BJ149" s="42">
        <v>9999</v>
      </c>
      <c r="BK149" s="42">
        <v>9999</v>
      </c>
      <c r="BL149" s="42">
        <v>9999</v>
      </c>
      <c r="BM149" s="42">
        <v>9999</v>
      </c>
      <c r="BN149" s="42">
        <v>0</v>
      </c>
      <c r="BO149" s="42">
        <v>0</v>
      </c>
      <c r="BP149" s="42">
        <v>0</v>
      </c>
      <c r="BQ149" s="42">
        <v>0</v>
      </c>
      <c r="BR149" s="42">
        <v>0</v>
      </c>
      <c r="BS149" s="42">
        <v>0</v>
      </c>
      <c r="BT149" s="42">
        <v>0</v>
      </c>
      <c r="BU149" s="42">
        <v>0</v>
      </c>
      <c r="BV149" s="42">
        <v>0</v>
      </c>
      <c r="BW149" s="42">
        <v>0</v>
      </c>
      <c r="BX149" s="42">
        <v>0</v>
      </c>
      <c r="BY149" s="42">
        <v>0</v>
      </c>
      <c r="BZ149" s="42">
        <v>0</v>
      </c>
      <c r="CA149" s="42">
        <v>0</v>
      </c>
      <c r="CB149" s="42">
        <v>0</v>
      </c>
      <c r="CC149" s="42">
        <v>0</v>
      </c>
      <c r="CD149" s="244">
        <v>9999</v>
      </c>
      <c r="CE149" s="42">
        <v>9999</v>
      </c>
      <c r="CF149" s="42">
        <v>0</v>
      </c>
      <c r="CG149" s="42">
        <v>0</v>
      </c>
      <c r="CH149" s="42">
        <v>0</v>
      </c>
      <c r="CI149" s="42">
        <v>0</v>
      </c>
      <c r="CJ149" s="42">
        <v>0</v>
      </c>
      <c r="CK149" s="42">
        <v>0</v>
      </c>
      <c r="CL149" s="42"/>
      <c r="CM149" s="42">
        <v>0</v>
      </c>
      <c r="CN149" s="42"/>
      <c r="CO149" s="42">
        <v>0</v>
      </c>
      <c r="CP149" s="42">
        <v>0</v>
      </c>
      <c r="CQ149" s="42">
        <v>0</v>
      </c>
      <c r="CR149" s="42">
        <v>0</v>
      </c>
      <c r="CS149" s="42">
        <v>0</v>
      </c>
      <c r="CT149" s="42">
        <v>0</v>
      </c>
      <c r="CU149" s="42">
        <v>0</v>
      </c>
      <c r="CV149" s="42">
        <v>9999</v>
      </c>
      <c r="CW149" s="244">
        <v>9999</v>
      </c>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row>
    <row r="150" spans="1:131">
      <c r="A150" s="18" t="s">
        <v>499</v>
      </c>
      <c r="B150" s="18"/>
      <c r="C150" s="42">
        <v>5</v>
      </c>
      <c r="D150" s="42">
        <v>1526.9766300881713</v>
      </c>
      <c r="E150" s="42">
        <v>57.165744114262253</v>
      </c>
      <c r="F150" s="42">
        <v>237.96646220549687</v>
      </c>
      <c r="G150" s="42">
        <v>0</v>
      </c>
      <c r="H150" s="42">
        <v>0</v>
      </c>
      <c r="I150" s="42"/>
      <c r="J150" s="42"/>
      <c r="K150" s="42"/>
      <c r="L150" s="42">
        <v>1641.1873183039959</v>
      </c>
      <c r="M150" s="42">
        <v>0.30852084582295208</v>
      </c>
      <c r="N150" s="42">
        <v>0.30629408071199393</v>
      </c>
      <c r="O150" s="42">
        <v>57.737400264873386</v>
      </c>
      <c r="P150" s="42">
        <v>0</v>
      </c>
      <c r="Q150" s="42">
        <v>0</v>
      </c>
      <c r="R150" s="42">
        <v>47.453691439278366</v>
      </c>
      <c r="S150" s="42">
        <v>109.658263250448</v>
      </c>
      <c r="T150" s="42">
        <v>0</v>
      </c>
      <c r="U150" s="42">
        <v>668.47236386538646</v>
      </c>
      <c r="V150" s="42">
        <v>14.277987732329812</v>
      </c>
      <c r="W150" s="42">
        <v>33.315304708769567</v>
      </c>
      <c r="X150" s="42">
        <v>0</v>
      </c>
      <c r="Y150" s="42">
        <v>0</v>
      </c>
      <c r="Z150" s="42">
        <v>0</v>
      </c>
      <c r="AA150" s="42">
        <v>0</v>
      </c>
      <c r="AB150" s="42">
        <v>0</v>
      </c>
      <c r="AC150" s="42">
        <v>0</v>
      </c>
      <c r="AD150" s="42">
        <v>0</v>
      </c>
      <c r="AE150" s="42">
        <v>0</v>
      </c>
      <c r="AF150" s="42">
        <v>0</v>
      </c>
      <c r="AG150" s="42">
        <v>0</v>
      </c>
      <c r="AH150" s="42">
        <v>61.731679171608178</v>
      </c>
      <c r="AI150" s="42">
        <v>142.97356795921758</v>
      </c>
      <c r="AJ150" s="42">
        <v>0</v>
      </c>
      <c r="AK150" s="42">
        <v>668.47236386538646</v>
      </c>
      <c r="AL150" s="42">
        <v>873.17761099621225</v>
      </c>
      <c r="AM150" s="42">
        <v>854.169839049963</v>
      </c>
      <c r="AN150" s="42">
        <v>109.01537345294385</v>
      </c>
      <c r="AO150" s="42">
        <v>0</v>
      </c>
      <c r="AP150" s="42">
        <v>0</v>
      </c>
      <c r="AQ150" s="42">
        <v>963.18521250290689</v>
      </c>
      <c r="AR150" s="42">
        <v>61.731679171608178</v>
      </c>
      <c r="AS150" s="244">
        <v>15.602770334909309</v>
      </c>
      <c r="AT150" s="42">
        <v>854.169839049963</v>
      </c>
      <c r="AU150" s="42">
        <v>129.04173194664398</v>
      </c>
      <c r="AV150" s="42">
        <v>0</v>
      </c>
      <c r="AW150" s="42">
        <v>0</v>
      </c>
      <c r="AX150" s="42">
        <v>983.21157099660695</v>
      </c>
      <c r="AY150" s="42">
        <v>142.97356795921758</v>
      </c>
      <c r="AZ150" s="244">
        <v>6.8768765096291267</v>
      </c>
      <c r="BA150" s="42">
        <v>854.169839049963</v>
      </c>
      <c r="BB150" s="42">
        <v>238.05710539958784</v>
      </c>
      <c r="BC150" s="42">
        <v>0</v>
      </c>
      <c r="BD150" s="42">
        <v>0</v>
      </c>
      <c r="BE150" s="42">
        <v>1092.2269444495507</v>
      </c>
      <c r="BF150" s="42">
        <v>204.70524713082574</v>
      </c>
      <c r="BG150" s="42">
        <v>-1.4953126195636952</v>
      </c>
      <c r="BH150" s="244">
        <v>5.3356079522061099</v>
      </c>
      <c r="BI150" s="42">
        <v>2.7677066191727171</v>
      </c>
      <c r="BJ150" s="42">
        <v>6.4101429884554708</v>
      </c>
      <c r="BK150" s="42">
        <v>0</v>
      </c>
      <c r="BL150" s="42">
        <v>29.9705987433302</v>
      </c>
      <c r="BM150" s="42">
        <v>39.14844835095839</v>
      </c>
      <c r="BN150" s="42">
        <v>854.169839049963</v>
      </c>
      <c r="BO150" s="42">
        <v>375.22588518101867</v>
      </c>
      <c r="BP150" s="42">
        <v>238.05710539958784</v>
      </c>
      <c r="BQ150" s="42">
        <v>0</v>
      </c>
      <c r="BR150" s="42">
        <v>0</v>
      </c>
      <c r="BS150" s="42">
        <v>0</v>
      </c>
      <c r="BT150" s="42">
        <v>0</v>
      </c>
      <c r="BU150" s="42">
        <v>0</v>
      </c>
      <c r="BV150" s="42">
        <v>0</v>
      </c>
      <c r="BW150" s="42">
        <v>0</v>
      </c>
      <c r="BX150" s="42">
        <v>825.58431855511287</v>
      </c>
      <c r="BY150" s="42">
        <v>47.593292441099379</v>
      </c>
      <c r="BZ150" s="42">
        <v>0</v>
      </c>
      <c r="CA150" s="42">
        <v>0</v>
      </c>
      <c r="CB150" s="42">
        <v>1467.4528296305696</v>
      </c>
      <c r="CC150" s="42">
        <v>873.17761099621225</v>
      </c>
      <c r="CD150" s="244">
        <v>1.6805891621022508</v>
      </c>
      <c r="CE150" s="42">
        <v>11.652235462638782</v>
      </c>
      <c r="CF150" s="42">
        <v>15.591427065947821</v>
      </c>
      <c r="CG150" s="42">
        <v>6.7552758309901826</v>
      </c>
      <c r="CH150" s="42">
        <v>22.346702896938005</v>
      </c>
      <c r="CI150" s="42">
        <v>0.77956397619439799</v>
      </c>
      <c r="CJ150" s="42">
        <v>0.33776379154950931</v>
      </c>
      <c r="CK150" s="42">
        <v>1.1173277677439073</v>
      </c>
      <c r="CL150" s="42"/>
      <c r="CM150" s="42">
        <v>57.737400264873386</v>
      </c>
      <c r="CN150" s="42"/>
      <c r="CO150" s="42">
        <v>0</v>
      </c>
      <c r="CP150" s="42">
        <v>0</v>
      </c>
      <c r="CQ150" s="42">
        <v>375.22588518101867</v>
      </c>
      <c r="CR150" s="42">
        <v>0</v>
      </c>
      <c r="CS150" s="42">
        <v>0</v>
      </c>
      <c r="CT150" s="42">
        <v>375.22588518101867</v>
      </c>
      <c r="CU150" s="42">
        <v>0</v>
      </c>
      <c r="CV150" s="42">
        <v>0</v>
      </c>
      <c r="CW150" s="244">
        <v>9999</v>
      </c>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row>
    <row r="151" spans="1:131">
      <c r="A151" s="18" t="s">
        <v>501</v>
      </c>
      <c r="B151" s="18"/>
      <c r="C151" s="42">
        <v>5</v>
      </c>
      <c r="D151" s="42">
        <v>141.80235313017732</v>
      </c>
      <c r="E151" s="42">
        <v>2.2757278078107777</v>
      </c>
      <c r="F151" s="42">
        <v>21.255916464149205</v>
      </c>
      <c r="G151" s="42">
        <v>0</v>
      </c>
      <c r="H151" s="42">
        <v>0</v>
      </c>
      <c r="I151" s="42"/>
      <c r="J151" s="42"/>
      <c r="K151" s="42"/>
      <c r="L151" s="42">
        <v>152.4085038874982</v>
      </c>
      <c r="M151" s="42">
        <v>2.865072134396783E-2</v>
      </c>
      <c r="N151" s="42">
        <v>2.8443933285539062E-2</v>
      </c>
      <c r="O151" s="42">
        <v>2.2984850345137402</v>
      </c>
      <c r="P151" s="42">
        <v>0</v>
      </c>
      <c r="Q151" s="42">
        <v>0</v>
      </c>
      <c r="R151" s="42">
        <v>4.2387136901576108</v>
      </c>
      <c r="S151" s="42">
        <v>9.7950226332413131</v>
      </c>
      <c r="T151" s="42">
        <v>0</v>
      </c>
      <c r="U151" s="42">
        <v>59.710064154522641</v>
      </c>
      <c r="V151" s="42">
        <v>1.2753549878489523</v>
      </c>
      <c r="W151" s="42">
        <v>2.9758283049808889</v>
      </c>
      <c r="X151" s="42">
        <v>0</v>
      </c>
      <c r="Y151" s="42">
        <v>0</v>
      </c>
      <c r="Z151" s="42">
        <v>0</v>
      </c>
      <c r="AA151" s="42">
        <v>0</v>
      </c>
      <c r="AB151" s="42">
        <v>0</v>
      </c>
      <c r="AC151" s="42">
        <v>0</v>
      </c>
      <c r="AD151" s="42">
        <v>0</v>
      </c>
      <c r="AE151" s="42">
        <v>0</v>
      </c>
      <c r="AF151" s="42">
        <v>0</v>
      </c>
      <c r="AG151" s="42">
        <v>0</v>
      </c>
      <c r="AH151" s="42">
        <v>5.5140686780065629</v>
      </c>
      <c r="AI151" s="42">
        <v>12.770850938222202</v>
      </c>
      <c r="AJ151" s="42">
        <v>0</v>
      </c>
      <c r="AK151" s="42">
        <v>59.710064154522641</v>
      </c>
      <c r="AL151" s="42">
        <v>77.994983770751404</v>
      </c>
      <c r="AM151" s="42">
        <v>79.322296598026881</v>
      </c>
      <c r="AN151" s="42">
        <v>10.123688980164602</v>
      </c>
      <c r="AO151" s="42">
        <v>0</v>
      </c>
      <c r="AP151" s="42">
        <v>0</v>
      </c>
      <c r="AQ151" s="42">
        <v>89.445985578191483</v>
      </c>
      <c r="AR151" s="42">
        <v>5.5140686780065629</v>
      </c>
      <c r="AS151" s="244">
        <v>16.221413043866519</v>
      </c>
      <c r="AT151" s="42">
        <v>79.322296598026881</v>
      </c>
      <c r="AU151" s="42">
        <v>11.983432412433904</v>
      </c>
      <c r="AV151" s="42">
        <v>0</v>
      </c>
      <c r="AW151" s="42">
        <v>0</v>
      </c>
      <c r="AX151" s="42">
        <v>91.30572901046078</v>
      </c>
      <c r="AY151" s="42">
        <v>12.770850938222202</v>
      </c>
      <c r="AZ151" s="244">
        <v>7.1495415185835078</v>
      </c>
      <c r="BA151" s="42">
        <v>79.322296598026881</v>
      </c>
      <c r="BB151" s="42">
        <v>22.107121392598508</v>
      </c>
      <c r="BC151" s="42">
        <v>0</v>
      </c>
      <c r="BD151" s="42">
        <v>0</v>
      </c>
      <c r="BE151" s="42">
        <v>101.42941799062538</v>
      </c>
      <c r="BF151" s="42">
        <v>18.284919616228763</v>
      </c>
      <c r="BG151" s="42">
        <v>-1.8453320493329095</v>
      </c>
      <c r="BH151" s="244">
        <v>5.5471623676486823</v>
      </c>
      <c r="BI151" s="42">
        <v>2.6621534521425949</v>
      </c>
      <c r="BJ151" s="42">
        <v>6.1656767257163763</v>
      </c>
      <c r="BK151" s="42">
        <v>0</v>
      </c>
      <c r="BL151" s="42">
        <v>28.827597677670614</v>
      </c>
      <c r="BM151" s="42">
        <v>37.655427855529588</v>
      </c>
      <c r="BN151" s="42">
        <v>79.322296598026881</v>
      </c>
      <c r="BO151" s="42">
        <v>14.937476881435641</v>
      </c>
      <c r="BP151" s="42">
        <v>22.107121392598508</v>
      </c>
      <c r="BQ151" s="42">
        <v>0</v>
      </c>
      <c r="BR151" s="42">
        <v>0</v>
      </c>
      <c r="BS151" s="42">
        <v>0</v>
      </c>
      <c r="BT151" s="42">
        <v>0</v>
      </c>
      <c r="BU151" s="42">
        <v>0</v>
      </c>
      <c r="BV151" s="42">
        <v>0</v>
      </c>
      <c r="BW151" s="42">
        <v>0</v>
      </c>
      <c r="BX151" s="42">
        <v>73.743800477921567</v>
      </c>
      <c r="BY151" s="42">
        <v>4.2511832928298414</v>
      </c>
      <c r="BZ151" s="42">
        <v>0</v>
      </c>
      <c r="CA151" s="42">
        <v>0</v>
      </c>
      <c r="CB151" s="42">
        <v>116.36689487206102</v>
      </c>
      <c r="CC151" s="42">
        <v>77.994983770751404</v>
      </c>
      <c r="CD151" s="244">
        <v>1.4919792177160414</v>
      </c>
      <c r="CE151" s="42">
        <v>19.770557184294496</v>
      </c>
      <c r="CF151" s="42">
        <v>1.4478944883925791</v>
      </c>
      <c r="CG151" s="42">
        <v>0.26892274903810776</v>
      </c>
      <c r="CH151" s="42">
        <v>1.7168172374306869</v>
      </c>
      <c r="CI151" s="42">
        <v>7.2394039346561648E-2</v>
      </c>
      <c r="CJ151" s="42">
        <v>1.3446137451905382E-2</v>
      </c>
      <c r="CK151" s="42">
        <v>8.5840176798467033E-2</v>
      </c>
      <c r="CL151" s="42"/>
      <c r="CM151" s="42">
        <v>2.2984850345137402</v>
      </c>
      <c r="CN151" s="42"/>
      <c r="CO151" s="42">
        <v>0</v>
      </c>
      <c r="CP151" s="42">
        <v>0</v>
      </c>
      <c r="CQ151" s="42">
        <v>14.937476881435641</v>
      </c>
      <c r="CR151" s="42">
        <v>0</v>
      </c>
      <c r="CS151" s="42">
        <v>0</v>
      </c>
      <c r="CT151" s="42">
        <v>14.937476881435641</v>
      </c>
      <c r="CU151" s="42">
        <v>0</v>
      </c>
      <c r="CV151" s="42">
        <v>0</v>
      </c>
      <c r="CW151" s="244">
        <v>9999</v>
      </c>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row>
    <row r="152" spans="1:131">
      <c r="A152" s="18" t="s">
        <v>483</v>
      </c>
      <c r="B152" s="18"/>
      <c r="C152" s="42">
        <v>5</v>
      </c>
      <c r="D152" s="42">
        <v>144.53423183363896</v>
      </c>
      <c r="E152" s="42">
        <v>2.4569843339245527</v>
      </c>
      <c r="F152" s="42">
        <v>25.463820854268903</v>
      </c>
      <c r="G152" s="42">
        <v>0</v>
      </c>
      <c r="H152" s="42">
        <v>0</v>
      </c>
      <c r="I152" s="42"/>
      <c r="J152" s="42"/>
      <c r="K152" s="42"/>
      <c r="L152" s="42">
        <v>155.34471430154173</v>
      </c>
      <c r="M152" s="42">
        <v>2.9202688880123919E-2</v>
      </c>
      <c r="N152" s="42">
        <v>2.8991916967545474E-2</v>
      </c>
      <c r="O152" s="42">
        <v>2.4815541217967398</v>
      </c>
      <c r="P152" s="42">
        <v>0</v>
      </c>
      <c r="Q152" s="42">
        <v>0</v>
      </c>
      <c r="R152" s="42">
        <v>5.0778260368474131</v>
      </c>
      <c r="S152" s="42">
        <v>11.734083638173974</v>
      </c>
      <c r="T152" s="42">
        <v>0</v>
      </c>
      <c r="U152" s="42">
        <v>71.530502078896149</v>
      </c>
      <c r="V152" s="42">
        <v>1.5278292512561342</v>
      </c>
      <c r="W152" s="42">
        <v>3.5649349195976456</v>
      </c>
      <c r="X152" s="42">
        <v>0</v>
      </c>
      <c r="Y152" s="42">
        <v>0</v>
      </c>
      <c r="Z152" s="42">
        <v>0</v>
      </c>
      <c r="AA152" s="42">
        <v>0</v>
      </c>
      <c r="AB152" s="42">
        <v>0</v>
      </c>
      <c r="AC152" s="42">
        <v>0</v>
      </c>
      <c r="AD152" s="42">
        <v>0</v>
      </c>
      <c r="AE152" s="42">
        <v>0</v>
      </c>
      <c r="AF152" s="42">
        <v>0</v>
      </c>
      <c r="AG152" s="42">
        <v>0</v>
      </c>
      <c r="AH152" s="42">
        <v>6.6056552881035469</v>
      </c>
      <c r="AI152" s="42">
        <v>15.299018557771619</v>
      </c>
      <c r="AJ152" s="42">
        <v>0</v>
      </c>
      <c r="AK152" s="42">
        <v>71.530502078896149</v>
      </c>
      <c r="AL152" s="42">
        <v>93.435175924771315</v>
      </c>
      <c r="AM152" s="42">
        <v>80.850472174823452</v>
      </c>
      <c r="AN152" s="42">
        <v>10.318725872817517</v>
      </c>
      <c r="AO152" s="42">
        <v>0</v>
      </c>
      <c r="AP152" s="42">
        <v>0</v>
      </c>
      <c r="AQ152" s="42">
        <v>91.169198047640975</v>
      </c>
      <c r="AR152" s="42">
        <v>6.6056552881035469</v>
      </c>
      <c r="AS152" s="244">
        <v>13.801688715399987</v>
      </c>
      <c r="AT152" s="42">
        <v>80.850472174823452</v>
      </c>
      <c r="AU152" s="42">
        <v>12.214298001609615</v>
      </c>
      <c r="AV152" s="42">
        <v>0</v>
      </c>
      <c r="AW152" s="42">
        <v>0</v>
      </c>
      <c r="AX152" s="42">
        <v>93.064770176433072</v>
      </c>
      <c r="AY152" s="42">
        <v>15.299018557771619</v>
      </c>
      <c r="AZ152" s="244">
        <v>6.083054924406107</v>
      </c>
      <c r="BA152" s="42">
        <v>80.850472174823452</v>
      </c>
      <c r="BB152" s="42">
        <v>22.533023874427133</v>
      </c>
      <c r="BC152" s="42">
        <v>0</v>
      </c>
      <c r="BD152" s="42">
        <v>0</v>
      </c>
      <c r="BE152" s="42">
        <v>103.3834960492506</v>
      </c>
      <c r="BF152" s="42">
        <v>21.904673845875166</v>
      </c>
      <c r="BG152" s="42">
        <v>-0.29762901897100197</v>
      </c>
      <c r="BH152" s="244">
        <v>4.7197003149498427</v>
      </c>
      <c r="BI152" s="42">
        <v>3.1288845607114304</v>
      </c>
      <c r="BJ152" s="42">
        <v>7.2466486475094598</v>
      </c>
      <c r="BK152" s="42">
        <v>0</v>
      </c>
      <c r="BL152" s="42">
        <v>33.881677716012042</v>
      </c>
      <c r="BM152" s="42">
        <v>44.257210924232929</v>
      </c>
      <c r="BN152" s="42">
        <v>80.850472174823452</v>
      </c>
      <c r="BO152" s="42">
        <v>16.127212823994807</v>
      </c>
      <c r="BP152" s="42">
        <v>22.533023874427133</v>
      </c>
      <c r="BQ152" s="42">
        <v>0</v>
      </c>
      <c r="BR152" s="42">
        <v>0</v>
      </c>
      <c r="BS152" s="42">
        <v>0</v>
      </c>
      <c r="BT152" s="42">
        <v>0</v>
      </c>
      <c r="BU152" s="42">
        <v>0</v>
      </c>
      <c r="BV152" s="42">
        <v>0</v>
      </c>
      <c r="BW152" s="42">
        <v>0</v>
      </c>
      <c r="BX152" s="42">
        <v>88.342411753917531</v>
      </c>
      <c r="BY152" s="42">
        <v>5.0927641708537799</v>
      </c>
      <c r="BZ152" s="42">
        <v>0</v>
      </c>
      <c r="CA152" s="42">
        <v>0</v>
      </c>
      <c r="CB152" s="42">
        <v>119.51070887324541</v>
      </c>
      <c r="CC152" s="42">
        <v>93.435175924771315</v>
      </c>
      <c r="CD152" s="244">
        <v>1.2790761904217811</v>
      </c>
      <c r="CE152" s="42">
        <v>25.945111299992629</v>
      </c>
      <c r="CF152" s="42">
        <v>1.4757887512900927</v>
      </c>
      <c r="CG152" s="42">
        <v>0.29034183225021837</v>
      </c>
      <c r="CH152" s="42">
        <v>1.7661305835403112</v>
      </c>
      <c r="CI152" s="42">
        <v>7.3788739293232306E-2</v>
      </c>
      <c r="CJ152" s="42">
        <v>1.4517091612510928E-2</v>
      </c>
      <c r="CK152" s="42">
        <v>8.8305830905743232E-2</v>
      </c>
      <c r="CL152" s="42"/>
      <c r="CM152" s="42">
        <v>2.4815541217967398</v>
      </c>
      <c r="CN152" s="42"/>
      <c r="CO152" s="42">
        <v>0</v>
      </c>
      <c r="CP152" s="42">
        <v>0</v>
      </c>
      <c r="CQ152" s="42">
        <v>16.127212823994807</v>
      </c>
      <c r="CR152" s="42">
        <v>0</v>
      </c>
      <c r="CS152" s="42">
        <v>0</v>
      </c>
      <c r="CT152" s="42">
        <v>16.127212823994807</v>
      </c>
      <c r="CU152" s="42">
        <v>0</v>
      </c>
      <c r="CV152" s="42">
        <v>0</v>
      </c>
      <c r="CW152" s="244">
        <v>9999</v>
      </c>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row>
    <row r="153" spans="1:131">
      <c r="A153" s="18" t="s">
        <v>505</v>
      </c>
      <c r="B153" s="18"/>
      <c r="C153" s="42">
        <v>5</v>
      </c>
      <c r="D153" s="42">
        <v>202.11855757212101</v>
      </c>
      <c r="E153" s="42">
        <v>12.854126979686386</v>
      </c>
      <c r="F153" s="42">
        <v>50.322059921932109</v>
      </c>
      <c r="G153" s="42">
        <v>0</v>
      </c>
      <c r="H153" s="42">
        <v>0</v>
      </c>
      <c r="I153" s="42"/>
      <c r="J153" s="42"/>
      <c r="K153" s="42"/>
      <c r="L153" s="42">
        <v>217.23607745202173</v>
      </c>
      <c r="M153" s="42">
        <v>4.08374215491858E-2</v>
      </c>
      <c r="N153" s="42">
        <v>4.0542675353723218E-2</v>
      </c>
      <c r="O153" s="42">
        <v>12.982667959298002</v>
      </c>
      <c r="P153" s="42">
        <v>0</v>
      </c>
      <c r="Q153" s="42">
        <v>0</v>
      </c>
      <c r="R153" s="42">
        <v>10.034890975780042</v>
      </c>
      <c r="S153" s="42">
        <v>23.189106746726189</v>
      </c>
      <c r="T153" s="42">
        <v>0</v>
      </c>
      <c r="U153" s="42">
        <v>141.35986238909825</v>
      </c>
      <c r="V153" s="42">
        <v>3.0193235953159268</v>
      </c>
      <c r="W153" s="42">
        <v>7.0450883890704956</v>
      </c>
      <c r="X153" s="42">
        <v>0</v>
      </c>
      <c r="Y153" s="42">
        <v>0</v>
      </c>
      <c r="Z153" s="42">
        <v>0</v>
      </c>
      <c r="AA153" s="42">
        <v>0</v>
      </c>
      <c r="AB153" s="42">
        <v>0</v>
      </c>
      <c r="AC153" s="42">
        <v>0</v>
      </c>
      <c r="AD153" s="42">
        <v>0</v>
      </c>
      <c r="AE153" s="42">
        <v>0</v>
      </c>
      <c r="AF153" s="42">
        <v>0</v>
      </c>
      <c r="AG153" s="42">
        <v>0</v>
      </c>
      <c r="AH153" s="42">
        <v>13.054214571095969</v>
      </c>
      <c r="AI153" s="42">
        <v>30.234195135796686</v>
      </c>
      <c r="AJ153" s="42">
        <v>0</v>
      </c>
      <c r="AK153" s="42">
        <v>141.35986238909825</v>
      </c>
      <c r="AL153" s="42">
        <v>184.6482720959909</v>
      </c>
      <c r="AM153" s="42">
        <v>113.06235628532202</v>
      </c>
      <c r="AN153" s="42">
        <v>14.429841034451719</v>
      </c>
      <c r="AO153" s="42">
        <v>0</v>
      </c>
      <c r="AP153" s="42">
        <v>0</v>
      </c>
      <c r="AQ153" s="42">
        <v>127.49219731977374</v>
      </c>
      <c r="AR153" s="42">
        <v>13.054214571095969</v>
      </c>
      <c r="AS153" s="244">
        <v>9.7663629340106759</v>
      </c>
      <c r="AT153" s="42">
        <v>113.06235628532202</v>
      </c>
      <c r="AU153" s="42">
        <v>17.080633857610476</v>
      </c>
      <c r="AV153" s="42">
        <v>0</v>
      </c>
      <c r="AW153" s="42">
        <v>0</v>
      </c>
      <c r="AX153" s="42">
        <v>130.14299014293249</v>
      </c>
      <c r="AY153" s="42">
        <v>30.234195135796686</v>
      </c>
      <c r="AZ153" s="244">
        <v>4.3044965992445352</v>
      </c>
      <c r="BA153" s="42">
        <v>113.06235628532202</v>
      </c>
      <c r="BB153" s="42">
        <v>31.510474892062195</v>
      </c>
      <c r="BC153" s="42">
        <v>0</v>
      </c>
      <c r="BD153" s="42">
        <v>0</v>
      </c>
      <c r="BE153" s="42">
        <v>144.57283117738422</v>
      </c>
      <c r="BF153" s="42">
        <v>43.288409706892658</v>
      </c>
      <c r="BG153" s="42">
        <v>3.9893974753025296</v>
      </c>
      <c r="BH153" s="244">
        <v>3.3397584285560948</v>
      </c>
      <c r="BI153" s="42">
        <v>4.4216962880803141</v>
      </c>
      <c r="BJ153" s="42">
        <v>10.240863414414097</v>
      </c>
      <c r="BK153" s="42">
        <v>0</v>
      </c>
      <c r="BL153" s="42">
        <v>47.881117274828398</v>
      </c>
      <c r="BM153" s="42">
        <v>62.543676977322804</v>
      </c>
      <c r="BN153" s="42">
        <v>113.06235628532202</v>
      </c>
      <c r="BO153" s="42">
        <v>84.372227614871548</v>
      </c>
      <c r="BP153" s="42">
        <v>31.510474892062195</v>
      </c>
      <c r="BQ153" s="42">
        <v>0</v>
      </c>
      <c r="BR153" s="42">
        <v>0</v>
      </c>
      <c r="BS153" s="42">
        <v>0</v>
      </c>
      <c r="BT153" s="42">
        <v>0</v>
      </c>
      <c r="BU153" s="42">
        <v>0</v>
      </c>
      <c r="BV153" s="42">
        <v>0</v>
      </c>
      <c r="BW153" s="42">
        <v>0</v>
      </c>
      <c r="BX153" s="42">
        <v>174.58386011160448</v>
      </c>
      <c r="BY153" s="42">
        <v>10.064411984386423</v>
      </c>
      <c r="BZ153" s="42">
        <v>0</v>
      </c>
      <c r="CA153" s="42">
        <v>0</v>
      </c>
      <c r="CB153" s="42">
        <v>228.94505879225576</v>
      </c>
      <c r="CC153" s="42">
        <v>184.6482720959909</v>
      </c>
      <c r="CD153" s="244">
        <v>1.239898192349381</v>
      </c>
      <c r="CE153" s="42">
        <v>23.292130073677438</v>
      </c>
      <c r="CF153" s="42">
        <v>2.0637622652275551</v>
      </c>
      <c r="CG153" s="42">
        <v>1.5189721512378664</v>
      </c>
      <c r="CH153" s="42">
        <v>3.5827344164654216</v>
      </c>
      <c r="CI153" s="42">
        <v>0.10318713678971028</v>
      </c>
      <c r="CJ153" s="42">
        <v>7.5948607561893311E-2</v>
      </c>
      <c r="CK153" s="42">
        <v>0.17913574435160359</v>
      </c>
      <c r="CL153" s="42"/>
      <c r="CM153" s="42">
        <v>12.982667959298002</v>
      </c>
      <c r="CN153" s="42"/>
      <c r="CO153" s="42">
        <v>0</v>
      </c>
      <c r="CP153" s="42">
        <v>0</v>
      </c>
      <c r="CQ153" s="42">
        <v>84.372227614871548</v>
      </c>
      <c r="CR153" s="42">
        <v>0</v>
      </c>
      <c r="CS153" s="42">
        <v>0</v>
      </c>
      <c r="CT153" s="42">
        <v>84.372227614871548</v>
      </c>
      <c r="CU153" s="42">
        <v>0</v>
      </c>
      <c r="CV153" s="42">
        <v>0</v>
      </c>
      <c r="CW153" s="244">
        <v>9999</v>
      </c>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row>
    <row r="154" spans="1:131">
      <c r="A154" s="18" t="s">
        <v>491</v>
      </c>
      <c r="B154" s="18"/>
      <c r="C154" s="42">
        <v>5</v>
      </c>
      <c r="D154" s="42">
        <v>61.756765991052816</v>
      </c>
      <c r="E154" s="42">
        <v>2.4696207089150133</v>
      </c>
      <c r="F154" s="42">
        <v>13.653514106582991</v>
      </c>
      <c r="G154" s="42">
        <v>0</v>
      </c>
      <c r="H154" s="42">
        <v>0</v>
      </c>
      <c r="I154" s="42"/>
      <c r="J154" s="42"/>
      <c r="K154" s="42"/>
      <c r="L154" s="42">
        <v>66.375882359202151</v>
      </c>
      <c r="M154" s="42">
        <v>1.2477761154569573E-2</v>
      </c>
      <c r="N154" s="42">
        <v>1.2387702270127749E-2</v>
      </c>
      <c r="O154" s="42">
        <v>2.494316860251836</v>
      </c>
      <c r="P154" s="42">
        <v>0</v>
      </c>
      <c r="Q154" s="42">
        <v>0</v>
      </c>
      <c r="R154" s="42">
        <v>2.7226931033505002</v>
      </c>
      <c r="S154" s="42">
        <v>6.291729642559682</v>
      </c>
      <c r="T154" s="42">
        <v>0</v>
      </c>
      <c r="U154" s="42">
        <v>38.354130936380763</v>
      </c>
      <c r="V154" s="42">
        <v>0.81921084639497943</v>
      </c>
      <c r="W154" s="42">
        <v>1.9114919749216186</v>
      </c>
      <c r="X154" s="42">
        <v>0</v>
      </c>
      <c r="Y154" s="42">
        <v>0</v>
      </c>
      <c r="Z154" s="42">
        <v>0</v>
      </c>
      <c r="AA154" s="42">
        <v>0</v>
      </c>
      <c r="AB154" s="42">
        <v>0</v>
      </c>
      <c r="AC154" s="42">
        <v>0</v>
      </c>
      <c r="AD154" s="42">
        <v>0</v>
      </c>
      <c r="AE154" s="42">
        <v>0</v>
      </c>
      <c r="AF154" s="42">
        <v>0</v>
      </c>
      <c r="AG154" s="42">
        <v>0</v>
      </c>
      <c r="AH154" s="42">
        <v>3.5419039497454796</v>
      </c>
      <c r="AI154" s="42">
        <v>8.2032216174813009</v>
      </c>
      <c r="AJ154" s="42">
        <v>0</v>
      </c>
      <c r="AK154" s="42">
        <v>38.354130936380763</v>
      </c>
      <c r="AL154" s="42">
        <v>50.099256503607542</v>
      </c>
      <c r="AM154" s="42">
        <v>34.545890112134735</v>
      </c>
      <c r="AN154" s="42">
        <v>4.4089979997741926</v>
      </c>
      <c r="AO154" s="42">
        <v>0</v>
      </c>
      <c r="AP154" s="42">
        <v>0</v>
      </c>
      <c r="AQ154" s="42">
        <v>38.954888111908929</v>
      </c>
      <c r="AR154" s="42">
        <v>3.5419039497454796</v>
      </c>
      <c r="AS154" s="244">
        <v>10.998290372811555</v>
      </c>
      <c r="AT154" s="42">
        <v>34.545890112134735</v>
      </c>
      <c r="AU154" s="42">
        <v>5.2189404119753267</v>
      </c>
      <c r="AV154" s="42">
        <v>0</v>
      </c>
      <c r="AW154" s="42">
        <v>0</v>
      </c>
      <c r="AX154" s="42">
        <v>39.76483052411006</v>
      </c>
      <c r="AY154" s="42">
        <v>8.2032216174813009</v>
      </c>
      <c r="AZ154" s="244">
        <v>4.8474651031455815</v>
      </c>
      <c r="BA154" s="42">
        <v>34.545890112134735</v>
      </c>
      <c r="BB154" s="42">
        <v>9.6279384117495201</v>
      </c>
      <c r="BC154" s="42">
        <v>0</v>
      </c>
      <c r="BD154" s="42">
        <v>0</v>
      </c>
      <c r="BE154" s="42">
        <v>44.173828523884254</v>
      </c>
      <c r="BF154" s="42">
        <v>11.745125567226779</v>
      </c>
      <c r="BG154" s="42">
        <v>2.3470322523209357</v>
      </c>
      <c r="BH154" s="244">
        <v>3.7610350158490844</v>
      </c>
      <c r="BI154" s="42">
        <v>3.9264184950156786</v>
      </c>
      <c r="BJ154" s="42">
        <v>9.0937759844971406</v>
      </c>
      <c r="BK154" s="42">
        <v>0</v>
      </c>
      <c r="BL154" s="42">
        <v>42.517914434037685</v>
      </c>
      <c r="BM154" s="42">
        <v>55.538108913550502</v>
      </c>
      <c r="BN154" s="42">
        <v>34.545890112134735</v>
      </c>
      <c r="BO154" s="42">
        <v>16.210155765869189</v>
      </c>
      <c r="BP154" s="42">
        <v>9.6279384117495201</v>
      </c>
      <c r="BQ154" s="42">
        <v>0</v>
      </c>
      <c r="BR154" s="42">
        <v>0</v>
      </c>
      <c r="BS154" s="42">
        <v>0</v>
      </c>
      <c r="BT154" s="42">
        <v>0</v>
      </c>
      <c r="BU154" s="42">
        <v>0</v>
      </c>
      <c r="BV154" s="42">
        <v>0</v>
      </c>
      <c r="BW154" s="42">
        <v>0</v>
      </c>
      <c r="BX154" s="42">
        <v>47.368553682290944</v>
      </c>
      <c r="BY154" s="42">
        <v>2.7307028213165982</v>
      </c>
      <c r="BZ154" s="42">
        <v>0</v>
      </c>
      <c r="CA154" s="42">
        <v>0</v>
      </c>
      <c r="CB154" s="42">
        <v>60.383984289753442</v>
      </c>
      <c r="CC154" s="42">
        <v>50.099256503607542</v>
      </c>
      <c r="CD154" s="244">
        <v>1.2052870342577902</v>
      </c>
      <c r="CE154" s="42">
        <v>26.894991456271843</v>
      </c>
      <c r="CF154" s="42">
        <v>0.63057684957674121</v>
      </c>
      <c r="CG154" s="42">
        <v>0.29183507264946473</v>
      </c>
      <c r="CH154" s="42">
        <v>0.92241192222620594</v>
      </c>
      <c r="CI154" s="42">
        <v>3.1528544120621026E-2</v>
      </c>
      <c r="CJ154" s="42">
        <v>1.4591753632473239E-2</v>
      </c>
      <c r="CK154" s="42">
        <v>4.6120297753094265E-2</v>
      </c>
      <c r="CL154" s="42"/>
      <c r="CM154" s="42">
        <v>2.494316860251836</v>
      </c>
      <c r="CN154" s="42"/>
      <c r="CO154" s="42">
        <v>0</v>
      </c>
      <c r="CP154" s="42">
        <v>0</v>
      </c>
      <c r="CQ154" s="42">
        <v>16.210155765869189</v>
      </c>
      <c r="CR154" s="42">
        <v>0</v>
      </c>
      <c r="CS154" s="42">
        <v>0</v>
      </c>
      <c r="CT154" s="42">
        <v>16.210155765869189</v>
      </c>
      <c r="CU154" s="42">
        <v>0</v>
      </c>
      <c r="CV154" s="42">
        <v>0</v>
      </c>
      <c r="CW154" s="244">
        <v>9999</v>
      </c>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row>
    <row r="155" spans="1:131">
      <c r="A155" s="18" t="s">
        <v>497</v>
      </c>
      <c r="B155" s="18"/>
      <c r="C155" s="42">
        <v>5</v>
      </c>
      <c r="D155" s="42">
        <v>108.68857157741243</v>
      </c>
      <c r="E155" s="42">
        <v>0.87408108726250633</v>
      </c>
      <c r="F155" s="42">
        <v>19.913031082870759</v>
      </c>
      <c r="G155" s="42">
        <v>0</v>
      </c>
      <c r="H155" s="42">
        <v>0</v>
      </c>
      <c r="I155" s="42"/>
      <c r="J155" s="42"/>
      <c r="K155" s="42"/>
      <c r="L155" s="42">
        <v>116.81796682580887</v>
      </c>
      <c r="M155" s="42">
        <v>2.1960185489162003E-2</v>
      </c>
      <c r="N155" s="42">
        <v>2.1801686718205385E-2</v>
      </c>
      <c r="O155" s="42">
        <v>0.88282187840252424</v>
      </c>
      <c r="P155" s="42">
        <v>0</v>
      </c>
      <c r="Q155" s="42">
        <v>0</v>
      </c>
      <c r="R155" s="42">
        <v>3.9709244061934061</v>
      </c>
      <c r="S155" s="42">
        <v>9.1762023285202048</v>
      </c>
      <c r="T155" s="42">
        <v>0</v>
      </c>
      <c r="U155" s="42">
        <v>55.937760457171052</v>
      </c>
      <c r="V155" s="42">
        <v>1.1947818649722455</v>
      </c>
      <c r="W155" s="42">
        <v>2.7878243516019063</v>
      </c>
      <c r="X155" s="42">
        <v>0</v>
      </c>
      <c r="Y155" s="42">
        <v>0</v>
      </c>
      <c r="Z155" s="42">
        <v>0</v>
      </c>
      <c r="AA155" s="42">
        <v>0</v>
      </c>
      <c r="AB155" s="42">
        <v>0</v>
      </c>
      <c r="AC155" s="42">
        <v>0</v>
      </c>
      <c r="AD155" s="42">
        <v>0</v>
      </c>
      <c r="AE155" s="42">
        <v>0</v>
      </c>
      <c r="AF155" s="42">
        <v>0</v>
      </c>
      <c r="AG155" s="42">
        <v>0</v>
      </c>
      <c r="AH155" s="42">
        <v>5.1657062711656518</v>
      </c>
      <c r="AI155" s="42">
        <v>11.96402668012211</v>
      </c>
      <c r="AJ155" s="42">
        <v>0</v>
      </c>
      <c r="AK155" s="42">
        <v>55.937760457171052</v>
      </c>
      <c r="AL155" s="42">
        <v>73.06749340845883</v>
      </c>
      <c r="AM155" s="42">
        <v>60.798900167508137</v>
      </c>
      <c r="AN155" s="42">
        <v>7.7595982722371204</v>
      </c>
      <c r="AO155" s="42">
        <v>0</v>
      </c>
      <c r="AP155" s="42">
        <v>0</v>
      </c>
      <c r="AQ155" s="42">
        <v>68.55849843974525</v>
      </c>
      <c r="AR155" s="42">
        <v>5.1657062711656518</v>
      </c>
      <c r="AS155" s="244">
        <v>13.271853806793178</v>
      </c>
      <c r="AT155" s="42">
        <v>60.798900167508137</v>
      </c>
      <c r="AU155" s="42">
        <v>9.1850531585059194</v>
      </c>
      <c r="AV155" s="42">
        <v>0</v>
      </c>
      <c r="AW155" s="42">
        <v>0</v>
      </c>
      <c r="AX155" s="42">
        <v>69.98395332601406</v>
      </c>
      <c r="AY155" s="42">
        <v>11.96402668012211</v>
      </c>
      <c r="AZ155" s="244">
        <v>5.8495317000830838</v>
      </c>
      <c r="BA155" s="42">
        <v>60.798900167508137</v>
      </c>
      <c r="BB155" s="42">
        <v>16.94465143074304</v>
      </c>
      <c r="BC155" s="42">
        <v>0</v>
      </c>
      <c r="BD155" s="42">
        <v>0</v>
      </c>
      <c r="BE155" s="42">
        <v>77.743551598251173</v>
      </c>
      <c r="BF155" s="42">
        <v>17.129732951287764</v>
      </c>
      <c r="BG155" s="42">
        <v>0.11657986014661867</v>
      </c>
      <c r="BH155" s="244">
        <v>4.5385150964893848</v>
      </c>
      <c r="BI155" s="42">
        <v>3.2537949379201705</v>
      </c>
      <c r="BJ155" s="42">
        <v>7.5359471494183294</v>
      </c>
      <c r="BK155" s="42">
        <v>0</v>
      </c>
      <c r="BL155" s="42">
        <v>35.234291742465516</v>
      </c>
      <c r="BM155" s="42">
        <v>46.024033829804026</v>
      </c>
      <c r="BN155" s="42">
        <v>60.798900167508137</v>
      </c>
      <c r="BO155" s="42">
        <v>5.7373144488857255</v>
      </c>
      <c r="BP155" s="42">
        <v>16.94465143074304</v>
      </c>
      <c r="BQ155" s="42">
        <v>0</v>
      </c>
      <c r="BR155" s="42">
        <v>0</v>
      </c>
      <c r="BS155" s="42">
        <v>0</v>
      </c>
      <c r="BT155" s="42">
        <v>0</v>
      </c>
      <c r="BU155" s="42">
        <v>0</v>
      </c>
      <c r="BV155" s="42">
        <v>0</v>
      </c>
      <c r="BW155" s="42">
        <v>0</v>
      </c>
      <c r="BX155" s="42">
        <v>69.084887191884675</v>
      </c>
      <c r="BY155" s="42">
        <v>3.982606216574152</v>
      </c>
      <c r="BZ155" s="42">
        <v>0</v>
      </c>
      <c r="CA155" s="42">
        <v>0</v>
      </c>
      <c r="CB155" s="42">
        <v>83.4808660471369</v>
      </c>
      <c r="CC155" s="42">
        <v>73.06749340845883</v>
      </c>
      <c r="CD155" s="244">
        <v>1.1425171735461852</v>
      </c>
      <c r="CE155" s="42">
        <v>31.737029906803112</v>
      </c>
      <c r="CF155" s="42">
        <v>1.1097811867319969</v>
      </c>
      <c r="CG155" s="42">
        <v>0.10329015977309529</v>
      </c>
      <c r="CH155" s="42">
        <v>1.2130713465050922</v>
      </c>
      <c r="CI155" s="42">
        <v>5.5488534242259205E-2</v>
      </c>
      <c r="CJ155" s="42">
        <v>5.1645079886547662E-3</v>
      </c>
      <c r="CK155" s="42">
        <v>6.0653042230913973E-2</v>
      </c>
      <c r="CL155" s="42"/>
      <c r="CM155" s="42">
        <v>0.88282187840252424</v>
      </c>
      <c r="CN155" s="42"/>
      <c r="CO155" s="42">
        <v>0</v>
      </c>
      <c r="CP155" s="42">
        <v>0</v>
      </c>
      <c r="CQ155" s="42">
        <v>5.7373144488857255</v>
      </c>
      <c r="CR155" s="42">
        <v>0</v>
      </c>
      <c r="CS155" s="42">
        <v>0</v>
      </c>
      <c r="CT155" s="42">
        <v>5.7373144488857255</v>
      </c>
      <c r="CU155" s="42">
        <v>0</v>
      </c>
      <c r="CV155" s="42">
        <v>0</v>
      </c>
      <c r="CW155" s="244">
        <v>9999</v>
      </c>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row>
    <row r="156" spans="1:131">
      <c r="A156" s="18" t="s">
        <v>503</v>
      </c>
      <c r="B156" s="18"/>
      <c r="C156" s="42">
        <v>5</v>
      </c>
      <c r="D156" s="42">
        <v>162.86747607408091</v>
      </c>
      <c r="E156" s="42">
        <v>7.7233511021195609</v>
      </c>
      <c r="F156" s="42">
        <v>42.297440439819695</v>
      </c>
      <c r="G156" s="42">
        <v>0</v>
      </c>
      <c r="H156" s="42">
        <v>0</v>
      </c>
      <c r="I156" s="42"/>
      <c r="J156" s="42"/>
      <c r="K156" s="42"/>
      <c r="L156" s="42">
        <v>175.0491992019071</v>
      </c>
      <c r="M156" s="42">
        <v>3.290686346163884E-2</v>
      </c>
      <c r="N156" s="42">
        <v>3.2669356478044323E-2</v>
      </c>
      <c r="O156" s="42">
        <v>7.800584438784103</v>
      </c>
      <c r="P156" s="42">
        <v>0</v>
      </c>
      <c r="Q156" s="42">
        <v>0</v>
      </c>
      <c r="R156" s="42">
        <v>8.4346746541500419</v>
      </c>
      <c r="S156" s="42">
        <v>19.491250218967842</v>
      </c>
      <c r="T156" s="42">
        <v>0</v>
      </c>
      <c r="U156" s="42">
        <v>118.81787767153911</v>
      </c>
      <c r="V156" s="42">
        <v>2.5378464263891818</v>
      </c>
      <c r="W156" s="42">
        <v>5.9216416615747569</v>
      </c>
      <c r="X156" s="42">
        <v>0</v>
      </c>
      <c r="Y156" s="42">
        <v>0</v>
      </c>
      <c r="Z156" s="42">
        <v>0</v>
      </c>
      <c r="AA156" s="42">
        <v>0</v>
      </c>
      <c r="AB156" s="42">
        <v>0</v>
      </c>
      <c r="AC156" s="42">
        <v>0</v>
      </c>
      <c r="AD156" s="42">
        <v>0</v>
      </c>
      <c r="AE156" s="42">
        <v>0</v>
      </c>
      <c r="AF156" s="42">
        <v>0</v>
      </c>
      <c r="AG156" s="42">
        <v>0</v>
      </c>
      <c r="AH156" s="42">
        <v>10.972521080539224</v>
      </c>
      <c r="AI156" s="42">
        <v>25.412891880542599</v>
      </c>
      <c r="AJ156" s="42">
        <v>0</v>
      </c>
      <c r="AK156" s="42">
        <v>118.81787767153911</v>
      </c>
      <c r="AL156" s="42">
        <v>155.20329063262093</v>
      </c>
      <c r="AM156" s="42">
        <v>91.105838218780306</v>
      </c>
      <c r="AN156" s="42">
        <v>11.627590349257085</v>
      </c>
      <c r="AO156" s="42">
        <v>0</v>
      </c>
      <c r="AP156" s="42">
        <v>0</v>
      </c>
      <c r="AQ156" s="42">
        <v>102.7334285680374</v>
      </c>
      <c r="AR156" s="42">
        <v>10.972521080539224</v>
      </c>
      <c r="AS156" s="244">
        <v>9.3627916332049335</v>
      </c>
      <c r="AT156" s="42">
        <v>91.105838218780306</v>
      </c>
      <c r="AU156" s="42">
        <v>13.763603696517901</v>
      </c>
      <c r="AV156" s="42">
        <v>0</v>
      </c>
      <c r="AW156" s="42">
        <v>0</v>
      </c>
      <c r="AX156" s="42">
        <v>104.86944191529821</v>
      </c>
      <c r="AY156" s="42">
        <v>25.412891880542599</v>
      </c>
      <c r="AZ156" s="244">
        <v>4.1266236998234582</v>
      </c>
      <c r="BA156" s="42">
        <v>91.105838218780306</v>
      </c>
      <c r="BB156" s="42">
        <v>25.391194045774984</v>
      </c>
      <c r="BC156" s="42">
        <v>0</v>
      </c>
      <c r="BD156" s="42">
        <v>0</v>
      </c>
      <c r="BE156" s="42">
        <v>116.4970322645553</v>
      </c>
      <c r="BF156" s="42">
        <v>36.385412961081826</v>
      </c>
      <c r="BG156" s="42">
        <v>4.621408580974431</v>
      </c>
      <c r="BH156" s="244">
        <v>3.2017509981035972</v>
      </c>
      <c r="BI156" s="42">
        <v>4.6122879185102716</v>
      </c>
      <c r="BJ156" s="42">
        <v>10.682282889656046</v>
      </c>
      <c r="BK156" s="42">
        <v>0</v>
      </c>
      <c r="BL156" s="42">
        <v>49.944972323583784</v>
      </c>
      <c r="BM156" s="42">
        <v>65.239543131750111</v>
      </c>
      <c r="BN156" s="42">
        <v>91.105838218780306</v>
      </c>
      <c r="BO156" s="42">
        <v>50.694717592831779</v>
      </c>
      <c r="BP156" s="42">
        <v>25.391194045774984</v>
      </c>
      <c r="BQ156" s="42">
        <v>0</v>
      </c>
      <c r="BR156" s="42">
        <v>0</v>
      </c>
      <c r="BS156" s="42">
        <v>0</v>
      </c>
      <c r="BT156" s="42">
        <v>0</v>
      </c>
      <c r="BU156" s="42">
        <v>0</v>
      </c>
      <c r="BV156" s="42">
        <v>0</v>
      </c>
      <c r="BW156" s="42">
        <v>0</v>
      </c>
      <c r="BX156" s="42">
        <v>146.743802544657</v>
      </c>
      <c r="BY156" s="42">
        <v>8.4594880879639405</v>
      </c>
      <c r="BZ156" s="42">
        <v>0</v>
      </c>
      <c r="CA156" s="42">
        <v>0</v>
      </c>
      <c r="CB156" s="42">
        <v>167.19174985738709</v>
      </c>
      <c r="CC156" s="42">
        <v>155.20329063262093</v>
      </c>
      <c r="CD156" s="244">
        <v>1.0772435892041996</v>
      </c>
      <c r="CE156" s="42">
        <v>33.256908653882199</v>
      </c>
      <c r="CF156" s="42">
        <v>1.6629831292685904</v>
      </c>
      <c r="CG156" s="42">
        <v>0.91266837933773926</v>
      </c>
      <c r="CH156" s="42">
        <v>2.5756515086063296</v>
      </c>
      <c r="CI156" s="42">
        <v>8.314836962090584E-2</v>
      </c>
      <c r="CJ156" s="42">
        <v>4.563341896688701E-2</v>
      </c>
      <c r="CK156" s="42">
        <v>0.12878178858779285</v>
      </c>
      <c r="CL156" s="42"/>
      <c r="CM156" s="42">
        <v>7.800584438784103</v>
      </c>
      <c r="CN156" s="42"/>
      <c r="CO156" s="42">
        <v>0</v>
      </c>
      <c r="CP156" s="42">
        <v>0</v>
      </c>
      <c r="CQ156" s="42">
        <v>50.694717592831779</v>
      </c>
      <c r="CR156" s="42">
        <v>0</v>
      </c>
      <c r="CS156" s="42">
        <v>0</v>
      </c>
      <c r="CT156" s="42">
        <v>50.694717592831779</v>
      </c>
      <c r="CU156" s="42">
        <v>0</v>
      </c>
      <c r="CV156" s="42">
        <v>0</v>
      </c>
      <c r="CW156" s="244">
        <v>9999</v>
      </c>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row>
    <row r="157" spans="1:131">
      <c r="A157" s="18" t="s">
        <v>471</v>
      </c>
      <c r="B157" s="18"/>
      <c r="C157" s="42">
        <v>5</v>
      </c>
      <c r="D157" s="42">
        <v>675.02029715168032</v>
      </c>
      <c r="E157" s="42">
        <v>13.533738787981717</v>
      </c>
      <c r="F157" s="42">
        <v>158.12338805804768</v>
      </c>
      <c r="G157" s="42">
        <v>0</v>
      </c>
      <c r="H157" s="42">
        <v>0</v>
      </c>
      <c r="I157" s="42"/>
      <c r="J157" s="42"/>
      <c r="K157" s="42"/>
      <c r="L157" s="42">
        <v>725.50864856337955</v>
      </c>
      <c r="M157" s="42">
        <v>0.13638573696630285</v>
      </c>
      <c r="N157" s="42">
        <v>0.13540136587818793</v>
      </c>
      <c r="O157" s="42">
        <v>13.669075870333872</v>
      </c>
      <c r="P157" s="42">
        <v>0</v>
      </c>
      <c r="Q157" s="42">
        <v>0</v>
      </c>
      <c r="R157" s="42">
        <v>31.531915870397565</v>
      </c>
      <c r="S157" s="42">
        <v>72.865461599158095</v>
      </c>
      <c r="T157" s="42">
        <v>0</v>
      </c>
      <c r="U157" s="42">
        <v>444.18492428688683</v>
      </c>
      <c r="V157" s="42">
        <v>9.4874032834828608</v>
      </c>
      <c r="W157" s="42">
        <v>22.137274328126672</v>
      </c>
      <c r="X157" s="42">
        <v>0</v>
      </c>
      <c r="Y157" s="42">
        <v>0</v>
      </c>
      <c r="Z157" s="42">
        <v>0</v>
      </c>
      <c r="AA157" s="42">
        <v>0</v>
      </c>
      <c r="AB157" s="42">
        <v>0</v>
      </c>
      <c r="AC157" s="42">
        <v>0</v>
      </c>
      <c r="AD157" s="42">
        <v>0</v>
      </c>
      <c r="AE157" s="42">
        <v>0</v>
      </c>
      <c r="AF157" s="42">
        <v>0</v>
      </c>
      <c r="AG157" s="42">
        <v>0</v>
      </c>
      <c r="AH157" s="42">
        <v>41.019319153880424</v>
      </c>
      <c r="AI157" s="42">
        <v>95.00273592728476</v>
      </c>
      <c r="AJ157" s="42">
        <v>0</v>
      </c>
      <c r="AK157" s="42">
        <v>444.18492428688683</v>
      </c>
      <c r="AL157" s="42">
        <v>580.20697936805198</v>
      </c>
      <c r="AM157" s="42">
        <v>377.59712048783331</v>
      </c>
      <c r="AN157" s="42">
        <v>48.191693528445455</v>
      </c>
      <c r="AO157" s="42">
        <v>0</v>
      </c>
      <c r="AP157" s="42">
        <v>0</v>
      </c>
      <c r="AQ157" s="42">
        <v>425.78881401627876</v>
      </c>
      <c r="AR157" s="42">
        <v>41.019319153880424</v>
      </c>
      <c r="AS157" s="244">
        <v>10.380201885335271</v>
      </c>
      <c r="AT157" s="42">
        <v>377.59712048783331</v>
      </c>
      <c r="AU157" s="42">
        <v>57.044611245007331</v>
      </c>
      <c r="AV157" s="42">
        <v>0</v>
      </c>
      <c r="AW157" s="42">
        <v>0</v>
      </c>
      <c r="AX157" s="42">
        <v>434.64173173284064</v>
      </c>
      <c r="AY157" s="42">
        <v>95.00273592728476</v>
      </c>
      <c r="AZ157" s="244">
        <v>4.5750443657276998</v>
      </c>
      <c r="BA157" s="42">
        <v>377.59712048783331</v>
      </c>
      <c r="BB157" s="42">
        <v>105.23630477345279</v>
      </c>
      <c r="BC157" s="42">
        <v>0</v>
      </c>
      <c r="BD157" s="42">
        <v>0</v>
      </c>
      <c r="BE157" s="42">
        <v>482.8334252612861</v>
      </c>
      <c r="BF157" s="42">
        <v>136.02205508116521</v>
      </c>
      <c r="BG157" s="42">
        <v>3.1223189376269889</v>
      </c>
      <c r="BH157" s="244">
        <v>3.5496701249894835</v>
      </c>
      <c r="BI157" s="42">
        <v>4.1602168445652916</v>
      </c>
      <c r="BJ157" s="42">
        <v>9.6352643202535777</v>
      </c>
      <c r="BK157" s="42">
        <v>0</v>
      </c>
      <c r="BL157" s="42">
        <v>45.049641052987923</v>
      </c>
      <c r="BM157" s="42">
        <v>58.845122217806789</v>
      </c>
      <c r="BN157" s="42">
        <v>377.59712048783331</v>
      </c>
      <c r="BO157" s="42">
        <v>88.833079936453885</v>
      </c>
      <c r="BP157" s="42">
        <v>105.23630477345279</v>
      </c>
      <c r="BQ157" s="42">
        <v>0</v>
      </c>
      <c r="BR157" s="42">
        <v>0</v>
      </c>
      <c r="BS157" s="42">
        <v>0</v>
      </c>
      <c r="BT157" s="42">
        <v>0</v>
      </c>
      <c r="BU157" s="42">
        <v>0</v>
      </c>
      <c r="BV157" s="42">
        <v>0</v>
      </c>
      <c r="BW157" s="42">
        <v>0</v>
      </c>
      <c r="BX157" s="42">
        <v>548.58230175644246</v>
      </c>
      <c r="BY157" s="42">
        <v>31.624677611609538</v>
      </c>
      <c r="BZ157" s="42">
        <v>0</v>
      </c>
      <c r="CA157" s="42">
        <v>0</v>
      </c>
      <c r="CB157" s="42">
        <v>571.66650519773998</v>
      </c>
      <c r="CC157" s="42">
        <v>580.20697936805198</v>
      </c>
      <c r="CD157" s="245">
        <v>0.98528029742142353</v>
      </c>
      <c r="CE157" s="42">
        <v>39.162427820666892</v>
      </c>
      <c r="CF157" s="42">
        <v>6.8923973842789819</v>
      </c>
      <c r="CG157" s="42">
        <v>1.5992818768290644</v>
      </c>
      <c r="CH157" s="42">
        <v>8.4916792611080467</v>
      </c>
      <c r="CI157" s="42">
        <v>0.34461660806760525</v>
      </c>
      <c r="CJ157" s="42">
        <v>7.9964093841453157E-2</v>
      </c>
      <c r="CK157" s="42">
        <v>0.42458070190905839</v>
      </c>
      <c r="CL157" s="42"/>
      <c r="CM157" s="42">
        <v>13.669075870333872</v>
      </c>
      <c r="CN157" s="42"/>
      <c r="CO157" s="42">
        <v>0</v>
      </c>
      <c r="CP157" s="42">
        <v>0</v>
      </c>
      <c r="CQ157" s="42">
        <v>88.833079936453885</v>
      </c>
      <c r="CR157" s="42">
        <v>0</v>
      </c>
      <c r="CS157" s="42">
        <v>0</v>
      </c>
      <c r="CT157" s="42">
        <v>88.833079936453885</v>
      </c>
      <c r="CU157" s="42">
        <v>0</v>
      </c>
      <c r="CV157" s="42">
        <v>0</v>
      </c>
      <c r="CW157" s="244">
        <v>9999</v>
      </c>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row>
    <row r="158" spans="1:131">
      <c r="A158" s="18" t="s">
        <v>487</v>
      </c>
      <c r="B158" s="18"/>
      <c r="C158" s="42">
        <v>5</v>
      </c>
      <c r="D158" s="42">
        <v>815.36961630850521</v>
      </c>
      <c r="E158" s="42">
        <v>26.558262101363205</v>
      </c>
      <c r="F158" s="42">
        <v>216.82180597992453</v>
      </c>
      <c r="G158" s="42">
        <v>0</v>
      </c>
      <c r="H158" s="42">
        <v>0</v>
      </c>
      <c r="I158" s="42"/>
      <c r="J158" s="42"/>
      <c r="K158" s="42"/>
      <c r="L158" s="42">
        <v>876.35543835313615</v>
      </c>
      <c r="M158" s="42">
        <v>0.16474287734666271</v>
      </c>
      <c r="N158" s="42">
        <v>0.16355383713585986</v>
      </c>
      <c r="O158" s="42">
        <v>26.823844122817185</v>
      </c>
      <c r="P158" s="42">
        <v>0</v>
      </c>
      <c r="Q158" s="42">
        <v>0</v>
      </c>
      <c r="R158" s="42">
        <v>43.23716452696312</v>
      </c>
      <c r="S158" s="42">
        <v>99.914510886210522</v>
      </c>
      <c r="T158" s="42">
        <v>0</v>
      </c>
      <c r="U158" s="42">
        <v>609.07484120934407</v>
      </c>
      <c r="V158" s="42">
        <v>13.009308358795476</v>
      </c>
      <c r="W158" s="42">
        <v>30.35505283718944</v>
      </c>
      <c r="X158" s="42">
        <v>0</v>
      </c>
      <c r="Y158" s="42">
        <v>0</v>
      </c>
      <c r="Z158" s="42">
        <v>0</v>
      </c>
      <c r="AA158" s="42">
        <v>0</v>
      </c>
      <c r="AB158" s="42">
        <v>0</v>
      </c>
      <c r="AC158" s="42">
        <v>0</v>
      </c>
      <c r="AD158" s="42">
        <v>0</v>
      </c>
      <c r="AE158" s="42">
        <v>0</v>
      </c>
      <c r="AF158" s="42">
        <v>0</v>
      </c>
      <c r="AG158" s="42">
        <v>0</v>
      </c>
      <c r="AH158" s="42">
        <v>56.246472885758592</v>
      </c>
      <c r="AI158" s="42">
        <v>130.26956372339995</v>
      </c>
      <c r="AJ158" s="42">
        <v>0</v>
      </c>
      <c r="AK158" s="42">
        <v>609.07484120934407</v>
      </c>
      <c r="AL158" s="42">
        <v>795.59087781850258</v>
      </c>
      <c r="AM158" s="42">
        <v>456.10660975751159</v>
      </c>
      <c r="AN158" s="42">
        <v>58.211646119903385</v>
      </c>
      <c r="AO158" s="42">
        <v>0</v>
      </c>
      <c r="AP158" s="42">
        <v>0</v>
      </c>
      <c r="AQ158" s="42">
        <v>514.31825587741503</v>
      </c>
      <c r="AR158" s="42">
        <v>56.246472885758592</v>
      </c>
      <c r="AS158" s="244">
        <v>9.144009028300129</v>
      </c>
      <c r="AT158" s="42">
        <v>456.10660975751159</v>
      </c>
      <c r="AU158" s="42">
        <v>68.905250671088936</v>
      </c>
      <c r="AV158" s="42">
        <v>0</v>
      </c>
      <c r="AW158" s="42">
        <v>0</v>
      </c>
      <c r="AX158" s="42">
        <v>525.01186042860058</v>
      </c>
      <c r="AY158" s="42">
        <v>130.26956372339995</v>
      </c>
      <c r="AZ158" s="244">
        <v>4.0301958909093525</v>
      </c>
      <c r="BA158" s="42">
        <v>456.10660975751159</v>
      </c>
      <c r="BB158" s="42">
        <v>127.11689679099231</v>
      </c>
      <c r="BC158" s="42">
        <v>0</v>
      </c>
      <c r="BD158" s="42">
        <v>0</v>
      </c>
      <c r="BE158" s="42">
        <v>583.22350654850402</v>
      </c>
      <c r="BF158" s="42">
        <v>186.51603660915856</v>
      </c>
      <c r="BG158" s="42">
        <v>4.9873515751201429</v>
      </c>
      <c r="BH158" s="244">
        <v>3.1269349121472048</v>
      </c>
      <c r="BI158" s="42">
        <v>4.7226430551095007</v>
      </c>
      <c r="BJ158" s="42">
        <v>10.937870747202533</v>
      </c>
      <c r="BK158" s="42">
        <v>0</v>
      </c>
      <c r="BL158" s="42">
        <v>51.139972362738789</v>
      </c>
      <c r="BM158" s="42">
        <v>66.800486165050813</v>
      </c>
      <c r="BN158" s="42">
        <v>456.10660975751159</v>
      </c>
      <c r="BO158" s="42">
        <v>174.32375910186488</v>
      </c>
      <c r="BP158" s="42">
        <v>127.11689679099231</v>
      </c>
      <c r="BQ158" s="42">
        <v>0</v>
      </c>
      <c r="BR158" s="42">
        <v>0</v>
      </c>
      <c r="BS158" s="42">
        <v>0</v>
      </c>
      <c r="BT158" s="42">
        <v>0</v>
      </c>
      <c r="BU158" s="42">
        <v>0</v>
      </c>
      <c r="BV158" s="42">
        <v>0</v>
      </c>
      <c r="BW158" s="42">
        <v>0</v>
      </c>
      <c r="BX158" s="42">
        <v>752.22651662251769</v>
      </c>
      <c r="BY158" s="42">
        <v>43.364361195984905</v>
      </c>
      <c r="BZ158" s="42">
        <v>0</v>
      </c>
      <c r="CA158" s="42">
        <v>0</v>
      </c>
      <c r="CB158" s="42">
        <v>757.5472656503689</v>
      </c>
      <c r="CC158" s="42">
        <v>795.59087781850258</v>
      </c>
      <c r="CD158" s="245">
        <v>0.95218194020468327</v>
      </c>
      <c r="CE158" s="42">
        <v>41.490514765217398</v>
      </c>
      <c r="CF158" s="42">
        <v>8.3254554483455703</v>
      </c>
      <c r="CG158" s="42">
        <v>3.1383897623696093</v>
      </c>
      <c r="CH158" s="42">
        <v>11.46384521071518</v>
      </c>
      <c r="CI158" s="42">
        <v>0.41626883321773955</v>
      </c>
      <c r="CJ158" s="42">
        <v>0.15691948811848055</v>
      </c>
      <c r="CK158" s="42">
        <v>0.57318832133622011</v>
      </c>
      <c r="CL158" s="42"/>
      <c r="CM158" s="42">
        <v>26.823844122817185</v>
      </c>
      <c r="CN158" s="42"/>
      <c r="CO158" s="42">
        <v>0</v>
      </c>
      <c r="CP158" s="42">
        <v>0</v>
      </c>
      <c r="CQ158" s="42">
        <v>174.32375910186488</v>
      </c>
      <c r="CR158" s="42">
        <v>0</v>
      </c>
      <c r="CS158" s="42">
        <v>0</v>
      </c>
      <c r="CT158" s="42">
        <v>174.32375910186488</v>
      </c>
      <c r="CU158" s="42">
        <v>0</v>
      </c>
      <c r="CV158" s="42">
        <v>0</v>
      </c>
      <c r="CW158" s="244">
        <v>9999</v>
      </c>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row>
    <row r="159" spans="1:131">
      <c r="A159" s="18" t="s">
        <v>477</v>
      </c>
      <c r="B159" s="18"/>
      <c r="C159" s="42">
        <v>5</v>
      </c>
      <c r="D159" s="42">
        <v>31.152219241464714</v>
      </c>
      <c r="E159" s="42">
        <v>1.5317581230503501</v>
      </c>
      <c r="F159" s="42">
        <v>9.8287573310080454</v>
      </c>
      <c r="G159" s="42">
        <v>0</v>
      </c>
      <c r="H159" s="42">
        <v>0</v>
      </c>
      <c r="I159" s="42"/>
      <c r="J159" s="42"/>
      <c r="K159" s="42"/>
      <c r="L159" s="42">
        <v>33.48225909205005</v>
      </c>
      <c r="M159" s="42">
        <v>6.2942083331581616E-3</v>
      </c>
      <c r="N159" s="42">
        <v>6.2487795600067323E-3</v>
      </c>
      <c r="O159" s="42">
        <v>1.5470756697010168</v>
      </c>
      <c r="P159" s="42">
        <v>0</v>
      </c>
      <c r="Q159" s="42">
        <v>0</v>
      </c>
      <c r="R159" s="42">
        <v>1.9599855092791609</v>
      </c>
      <c r="S159" s="42">
        <v>4.5292283998310179</v>
      </c>
      <c r="T159" s="42">
        <v>0</v>
      </c>
      <c r="U159" s="42">
        <v>27.609994223658404</v>
      </c>
      <c r="V159" s="42">
        <v>0.58972543986048265</v>
      </c>
      <c r="W159" s="42">
        <v>1.3760260263411264</v>
      </c>
      <c r="X159" s="42">
        <v>0</v>
      </c>
      <c r="Y159" s="42">
        <v>0</v>
      </c>
      <c r="Z159" s="42">
        <v>0</v>
      </c>
      <c r="AA159" s="42">
        <v>0</v>
      </c>
      <c r="AB159" s="42">
        <v>0</v>
      </c>
      <c r="AC159" s="42">
        <v>0</v>
      </c>
      <c r="AD159" s="42">
        <v>0</v>
      </c>
      <c r="AE159" s="42">
        <v>0</v>
      </c>
      <c r="AF159" s="42">
        <v>0</v>
      </c>
      <c r="AG159" s="42">
        <v>0</v>
      </c>
      <c r="AH159" s="42">
        <v>2.5497109491396435</v>
      </c>
      <c r="AI159" s="42">
        <v>5.905254426172144</v>
      </c>
      <c r="AJ159" s="42">
        <v>0</v>
      </c>
      <c r="AK159" s="42">
        <v>27.609994223658404</v>
      </c>
      <c r="AL159" s="42">
        <v>36.064959598970191</v>
      </c>
      <c r="AM159" s="42">
        <v>17.426125306184009</v>
      </c>
      <c r="AN159" s="42">
        <v>2.2240489786016977</v>
      </c>
      <c r="AO159" s="42">
        <v>0</v>
      </c>
      <c r="AP159" s="42">
        <v>0</v>
      </c>
      <c r="AQ159" s="42">
        <v>19.650174284785706</v>
      </c>
      <c r="AR159" s="42">
        <v>2.5497109491396435</v>
      </c>
      <c r="AS159" s="244">
        <v>7.7068242937170277</v>
      </c>
      <c r="AT159" s="42">
        <v>17.426125306184009</v>
      </c>
      <c r="AU159" s="42">
        <v>2.6326115578259071</v>
      </c>
      <c r="AV159" s="42">
        <v>0</v>
      </c>
      <c r="AW159" s="42">
        <v>0</v>
      </c>
      <c r="AX159" s="42">
        <v>20.058736864009916</v>
      </c>
      <c r="AY159" s="42">
        <v>5.905254426172144</v>
      </c>
      <c r="AZ159" s="244">
        <v>3.3967608195015955</v>
      </c>
      <c r="BA159" s="42">
        <v>17.426125306184009</v>
      </c>
      <c r="BB159" s="42">
        <v>4.8566605364276043</v>
      </c>
      <c r="BC159" s="42">
        <v>0</v>
      </c>
      <c r="BD159" s="42">
        <v>0</v>
      </c>
      <c r="BE159" s="42">
        <v>22.282785842611613</v>
      </c>
      <c r="BF159" s="42">
        <v>8.4549653753117866</v>
      </c>
      <c r="BG159" s="42">
        <v>7.9077569865630482</v>
      </c>
      <c r="BH159" s="244">
        <v>2.6354674269484999</v>
      </c>
      <c r="BI159" s="42">
        <v>5.6033314225894255</v>
      </c>
      <c r="BJ159" s="42">
        <v>12.977587791165508</v>
      </c>
      <c r="BK159" s="42">
        <v>0</v>
      </c>
      <c r="BL159" s="42">
        <v>60.676661510647392</v>
      </c>
      <c r="BM159" s="42">
        <v>79.257580724402331</v>
      </c>
      <c r="BN159" s="42">
        <v>17.426125306184009</v>
      </c>
      <c r="BO159" s="42">
        <v>10.054190783486849</v>
      </c>
      <c r="BP159" s="42">
        <v>4.8566605364276043</v>
      </c>
      <c r="BQ159" s="42">
        <v>0</v>
      </c>
      <c r="BR159" s="42">
        <v>0</v>
      </c>
      <c r="BS159" s="42">
        <v>0</v>
      </c>
      <c r="BT159" s="42">
        <v>0</v>
      </c>
      <c r="BU159" s="42">
        <v>0</v>
      </c>
      <c r="BV159" s="42">
        <v>0</v>
      </c>
      <c r="BW159" s="42">
        <v>0</v>
      </c>
      <c r="BX159" s="42">
        <v>34.099208132768581</v>
      </c>
      <c r="BY159" s="42">
        <v>1.9657514662016093</v>
      </c>
      <c r="BZ159" s="42">
        <v>0</v>
      </c>
      <c r="CA159" s="42">
        <v>0</v>
      </c>
      <c r="CB159" s="42">
        <v>32.336976626098462</v>
      </c>
      <c r="CC159" s="42">
        <v>36.064959598970191</v>
      </c>
      <c r="CD159" s="245">
        <v>0.89663143909418996</v>
      </c>
      <c r="CE159" s="42">
        <v>46.488987183778313</v>
      </c>
      <c r="CF159" s="42">
        <v>0.31808447141569379</v>
      </c>
      <c r="CG159" s="42">
        <v>0.18100785335501887</v>
      </c>
      <c r="CH159" s="42">
        <v>0.49909232477071264</v>
      </c>
      <c r="CI159" s="42">
        <v>1.5904073068723774E-2</v>
      </c>
      <c r="CJ159" s="42">
        <v>9.0503926677509474E-3</v>
      </c>
      <c r="CK159" s="42">
        <v>2.4954465736474724E-2</v>
      </c>
      <c r="CL159" s="42"/>
      <c r="CM159" s="42">
        <v>1.5470756697010168</v>
      </c>
      <c r="CN159" s="42"/>
      <c r="CO159" s="42">
        <v>0</v>
      </c>
      <c r="CP159" s="42">
        <v>0</v>
      </c>
      <c r="CQ159" s="42">
        <v>10.054190783486849</v>
      </c>
      <c r="CR159" s="42">
        <v>0</v>
      </c>
      <c r="CS159" s="42">
        <v>0</v>
      </c>
      <c r="CT159" s="42">
        <v>10.054190783486849</v>
      </c>
      <c r="CU159" s="42">
        <v>0</v>
      </c>
      <c r="CV159" s="42">
        <v>0</v>
      </c>
      <c r="CW159" s="244">
        <v>9999</v>
      </c>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row>
    <row r="160" spans="1:131">
      <c r="A160" s="18" t="s">
        <v>495</v>
      </c>
      <c r="B160" s="18"/>
      <c r="C160" s="42">
        <v>5</v>
      </c>
      <c r="D160" s="42">
        <v>45.83060899466328</v>
      </c>
      <c r="E160" s="42">
        <v>1.3744226240035751</v>
      </c>
      <c r="F160" s="42">
        <v>13.12021635203703</v>
      </c>
      <c r="G160" s="42">
        <v>0</v>
      </c>
      <c r="H160" s="42">
        <v>0</v>
      </c>
      <c r="I160" s="42"/>
      <c r="J160" s="42"/>
      <c r="K160" s="42"/>
      <c r="L160" s="42">
        <v>49.258523536046013</v>
      </c>
      <c r="M160" s="42">
        <v>9.2599310120404718E-3</v>
      </c>
      <c r="N160" s="42">
        <v>9.193096982552159E-3</v>
      </c>
      <c r="O160" s="42">
        <v>1.3881668192156638</v>
      </c>
      <c r="P160" s="42">
        <v>0</v>
      </c>
      <c r="Q160" s="42">
        <v>0</v>
      </c>
      <c r="R160" s="42">
        <v>2.6163464070348228</v>
      </c>
      <c r="S160" s="42">
        <v>6.045978602615353</v>
      </c>
      <c r="T160" s="42">
        <v>0</v>
      </c>
      <c r="U160" s="42">
        <v>36.856042477522266</v>
      </c>
      <c r="V160" s="42">
        <v>0.78721298112222182</v>
      </c>
      <c r="W160" s="42">
        <v>1.8368302892851842</v>
      </c>
      <c r="X160" s="42">
        <v>0</v>
      </c>
      <c r="Y160" s="42">
        <v>0</v>
      </c>
      <c r="Z160" s="42">
        <v>0</v>
      </c>
      <c r="AA160" s="42">
        <v>0</v>
      </c>
      <c r="AB160" s="42">
        <v>0</v>
      </c>
      <c r="AC160" s="42">
        <v>0</v>
      </c>
      <c r="AD160" s="42">
        <v>0</v>
      </c>
      <c r="AE160" s="42">
        <v>0</v>
      </c>
      <c r="AF160" s="42">
        <v>0</v>
      </c>
      <c r="AG160" s="42">
        <v>0</v>
      </c>
      <c r="AH160" s="42">
        <v>3.4035593881570447</v>
      </c>
      <c r="AI160" s="42">
        <v>7.8828088919005372</v>
      </c>
      <c r="AJ160" s="42">
        <v>0</v>
      </c>
      <c r="AK160" s="42">
        <v>36.856042477522266</v>
      </c>
      <c r="AL160" s="42">
        <v>48.142410757579853</v>
      </c>
      <c r="AM160" s="42">
        <v>25.637015745468766</v>
      </c>
      <c r="AN160" s="42">
        <v>3.2719825940234388</v>
      </c>
      <c r="AO160" s="42">
        <v>0</v>
      </c>
      <c r="AP160" s="42">
        <v>0</v>
      </c>
      <c r="AQ160" s="42">
        <v>28.908998339492204</v>
      </c>
      <c r="AR160" s="42">
        <v>3.4035593881570447</v>
      </c>
      <c r="AS160" s="244">
        <v>8.4937546381835904</v>
      </c>
      <c r="AT160" s="42">
        <v>25.637015745468766</v>
      </c>
      <c r="AU160" s="42">
        <v>3.8730528315284669</v>
      </c>
      <c r="AV160" s="42">
        <v>0</v>
      </c>
      <c r="AW160" s="42">
        <v>0</v>
      </c>
      <c r="AX160" s="42">
        <v>29.510068576997234</v>
      </c>
      <c r="AY160" s="42">
        <v>7.8828088919005372</v>
      </c>
      <c r="AZ160" s="244">
        <v>3.7435981236737033</v>
      </c>
      <c r="BA160" s="42">
        <v>25.637015745468766</v>
      </c>
      <c r="BB160" s="42">
        <v>7.1450354255519057</v>
      </c>
      <c r="BC160" s="42">
        <v>0</v>
      </c>
      <c r="BD160" s="42">
        <v>0</v>
      </c>
      <c r="BE160" s="42">
        <v>32.782051171020676</v>
      </c>
      <c r="BF160" s="42">
        <v>11.28636828005758</v>
      </c>
      <c r="BG160" s="42">
        <v>6.1862698727661556</v>
      </c>
      <c r="BH160" s="244">
        <v>2.9045703947960688</v>
      </c>
      <c r="BI160" s="42">
        <v>5.0841933365048488</v>
      </c>
      <c r="BJ160" s="42">
        <v>11.775238763453199</v>
      </c>
      <c r="BK160" s="42">
        <v>0</v>
      </c>
      <c r="BL160" s="42">
        <v>55.055083283157408</v>
      </c>
      <c r="BM160" s="42">
        <v>71.914515383115472</v>
      </c>
      <c r="BN160" s="42">
        <v>25.637015745468766</v>
      </c>
      <c r="BO160" s="42">
        <v>9.0214682533257413</v>
      </c>
      <c r="BP160" s="42">
        <v>7.1450354255519057</v>
      </c>
      <c r="BQ160" s="42">
        <v>0</v>
      </c>
      <c r="BR160" s="42">
        <v>0</v>
      </c>
      <c r="BS160" s="42">
        <v>0</v>
      </c>
      <c r="BT160" s="42">
        <v>0</v>
      </c>
      <c r="BU160" s="42">
        <v>0</v>
      </c>
      <c r="BV160" s="42">
        <v>0</v>
      </c>
      <c r="BW160" s="42">
        <v>0</v>
      </c>
      <c r="BX160" s="42">
        <v>45.518367487172448</v>
      </c>
      <c r="BY160" s="42">
        <v>2.6240432704074061</v>
      </c>
      <c r="BZ160" s="42">
        <v>0</v>
      </c>
      <c r="CA160" s="42">
        <v>0</v>
      </c>
      <c r="CB160" s="42">
        <v>41.803519424346412</v>
      </c>
      <c r="CC160" s="42">
        <v>48.142410757579853</v>
      </c>
      <c r="CD160" s="245">
        <v>0.86833041317451254</v>
      </c>
      <c r="CE160" s="42">
        <v>47.765199650670738</v>
      </c>
      <c r="CF160" s="42">
        <v>0.46796040191329136</v>
      </c>
      <c r="CG160" s="42">
        <v>0.16241551784823263</v>
      </c>
      <c r="CH160" s="42">
        <v>0.63037591976152396</v>
      </c>
      <c r="CI160" s="42">
        <v>2.3397798679621856E-2</v>
      </c>
      <c r="CJ160" s="42">
        <v>8.1207758924116344E-3</v>
      </c>
      <c r="CK160" s="42">
        <v>3.1518574572033491E-2</v>
      </c>
      <c r="CL160" s="42"/>
      <c r="CM160" s="42">
        <v>1.3881668192156638</v>
      </c>
      <c r="CN160" s="42"/>
      <c r="CO160" s="42">
        <v>0</v>
      </c>
      <c r="CP160" s="42">
        <v>0</v>
      </c>
      <c r="CQ160" s="42">
        <v>9.0214682533257413</v>
      </c>
      <c r="CR160" s="42">
        <v>0</v>
      </c>
      <c r="CS160" s="42">
        <v>0</v>
      </c>
      <c r="CT160" s="42">
        <v>9.0214682533257413</v>
      </c>
      <c r="CU160" s="42">
        <v>0</v>
      </c>
      <c r="CV160" s="42">
        <v>0</v>
      </c>
      <c r="CW160" s="244">
        <v>9999</v>
      </c>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row>
    <row r="161" spans="1:131">
      <c r="A161" s="18" t="s">
        <v>473</v>
      </c>
      <c r="B161" s="18"/>
      <c r="C161" s="42">
        <v>5</v>
      </c>
      <c r="D161" s="42">
        <v>83.933340930121034</v>
      </c>
      <c r="E161" s="42">
        <v>1.9209476411965321</v>
      </c>
      <c r="F161" s="42">
        <v>23.581332777662279</v>
      </c>
      <c r="G161" s="42">
        <v>0</v>
      </c>
      <c r="H161" s="42">
        <v>0</v>
      </c>
      <c r="I161" s="42"/>
      <c r="J161" s="42"/>
      <c r="K161" s="42"/>
      <c r="L161" s="42">
        <v>90.211161063706868</v>
      </c>
      <c r="M161" s="42">
        <v>1.6958468666944754E-2</v>
      </c>
      <c r="N161" s="42">
        <v>1.6836070045023112E-2</v>
      </c>
      <c r="O161" s="42">
        <v>1.9401570742426064</v>
      </c>
      <c r="P161" s="42">
        <v>0</v>
      </c>
      <c r="Q161" s="42">
        <v>0</v>
      </c>
      <c r="R161" s="42">
        <v>4.7024327671509925</v>
      </c>
      <c r="S161" s="42">
        <v>10.866606888899556</v>
      </c>
      <c r="T161" s="42">
        <v>0</v>
      </c>
      <c r="U161" s="42">
        <v>66.242398693004134</v>
      </c>
      <c r="V161" s="42">
        <v>1.4148799666597367</v>
      </c>
      <c r="W161" s="42">
        <v>3.3013865888727185</v>
      </c>
      <c r="X161" s="42">
        <v>0</v>
      </c>
      <c r="Y161" s="42">
        <v>0</v>
      </c>
      <c r="Z161" s="42">
        <v>0</v>
      </c>
      <c r="AA161" s="42">
        <v>0</v>
      </c>
      <c r="AB161" s="42">
        <v>0</v>
      </c>
      <c r="AC161" s="42">
        <v>0</v>
      </c>
      <c r="AD161" s="42">
        <v>0</v>
      </c>
      <c r="AE161" s="42">
        <v>0</v>
      </c>
      <c r="AF161" s="42">
        <v>0</v>
      </c>
      <c r="AG161" s="42">
        <v>0</v>
      </c>
      <c r="AH161" s="42">
        <v>6.1173127338107296</v>
      </c>
      <c r="AI161" s="42">
        <v>14.167993477772274</v>
      </c>
      <c r="AJ161" s="42">
        <v>0</v>
      </c>
      <c r="AK161" s="42">
        <v>66.242398693004134</v>
      </c>
      <c r="AL161" s="42">
        <v>86.527704904587139</v>
      </c>
      <c r="AM161" s="42">
        <v>46.951162775207223</v>
      </c>
      <c r="AN161" s="42">
        <v>5.9922492108618961</v>
      </c>
      <c r="AO161" s="42">
        <v>0</v>
      </c>
      <c r="AP161" s="42">
        <v>0</v>
      </c>
      <c r="AQ161" s="42">
        <v>52.943411986069123</v>
      </c>
      <c r="AR161" s="42">
        <v>6.1173127338107296</v>
      </c>
      <c r="AS161" s="244">
        <v>8.6546845469331526</v>
      </c>
      <c r="AT161" s="42">
        <v>46.951162775207223</v>
      </c>
      <c r="AU161" s="42">
        <v>7.0930382746365659</v>
      </c>
      <c r="AV161" s="42">
        <v>0</v>
      </c>
      <c r="AW161" s="42">
        <v>0</v>
      </c>
      <c r="AX161" s="42">
        <v>54.044201049843792</v>
      </c>
      <c r="AY161" s="42">
        <v>14.167993477772274</v>
      </c>
      <c r="AZ161" s="244">
        <v>3.8145275218140142</v>
      </c>
      <c r="BA161" s="42">
        <v>46.951162775207223</v>
      </c>
      <c r="BB161" s="42">
        <v>13.085287485498462</v>
      </c>
      <c r="BC161" s="42">
        <v>0</v>
      </c>
      <c r="BD161" s="42">
        <v>0</v>
      </c>
      <c r="BE161" s="42">
        <v>60.036450260705692</v>
      </c>
      <c r="BF161" s="42">
        <v>20.285306211583006</v>
      </c>
      <c r="BG161" s="42">
        <v>5.8727764282965875</v>
      </c>
      <c r="BH161" s="244">
        <v>2.9596028590598547</v>
      </c>
      <c r="BI161" s="42">
        <v>4.9896550820749077</v>
      </c>
      <c r="BJ161" s="42">
        <v>11.556283573413566</v>
      </c>
      <c r="BK161" s="42">
        <v>0</v>
      </c>
      <c r="BL161" s="42">
        <v>54.031359139208398</v>
      </c>
      <c r="BM161" s="42">
        <v>70.577297794696875</v>
      </c>
      <c r="BN161" s="42">
        <v>46.951162775207223</v>
      </c>
      <c r="BO161" s="42">
        <v>12.608762296763834</v>
      </c>
      <c r="BP161" s="42">
        <v>13.085287485498462</v>
      </c>
      <c r="BQ161" s="42">
        <v>0</v>
      </c>
      <c r="BR161" s="42">
        <v>0</v>
      </c>
      <c r="BS161" s="42">
        <v>0</v>
      </c>
      <c r="BT161" s="42">
        <v>0</v>
      </c>
      <c r="BU161" s="42">
        <v>0</v>
      </c>
      <c r="BV161" s="42">
        <v>0</v>
      </c>
      <c r="BW161" s="42">
        <v>0</v>
      </c>
      <c r="BX161" s="42">
        <v>81.811438349054683</v>
      </c>
      <c r="BY161" s="42">
        <v>4.7162665555324557</v>
      </c>
      <c r="BZ161" s="42">
        <v>0</v>
      </c>
      <c r="CA161" s="42">
        <v>0</v>
      </c>
      <c r="CB161" s="42">
        <v>72.64521255746952</v>
      </c>
      <c r="CC161" s="42">
        <v>86.527704904587139</v>
      </c>
      <c r="CD161" s="245">
        <v>0.83956014593908801</v>
      </c>
      <c r="CE161" s="42">
        <v>49.619656481615465</v>
      </c>
      <c r="CF161" s="42">
        <v>0.85701414005121335</v>
      </c>
      <c r="CG161" s="42">
        <v>0.22699837768638495</v>
      </c>
      <c r="CH161" s="42">
        <v>1.0840125177375983</v>
      </c>
      <c r="CI161" s="42">
        <v>4.2850301505260757E-2</v>
      </c>
      <c r="CJ161" s="42">
        <v>1.1349918884319249E-2</v>
      </c>
      <c r="CK161" s="42">
        <v>5.4200220389580007E-2</v>
      </c>
      <c r="CL161" s="42"/>
      <c r="CM161" s="42">
        <v>1.9401570742426064</v>
      </c>
      <c r="CN161" s="42"/>
      <c r="CO161" s="42">
        <v>0</v>
      </c>
      <c r="CP161" s="42">
        <v>0</v>
      </c>
      <c r="CQ161" s="42">
        <v>12.608762296763834</v>
      </c>
      <c r="CR161" s="42">
        <v>0</v>
      </c>
      <c r="CS161" s="42">
        <v>0</v>
      </c>
      <c r="CT161" s="42">
        <v>12.608762296763834</v>
      </c>
      <c r="CU161" s="42">
        <v>0</v>
      </c>
      <c r="CV161" s="42">
        <v>0</v>
      </c>
      <c r="CW161" s="244">
        <v>9999</v>
      </c>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row>
    <row r="162" spans="1:131">
      <c r="A162" s="18" t="s">
        <v>489</v>
      </c>
      <c r="B162" s="18"/>
      <c r="C162" s="42">
        <v>5</v>
      </c>
      <c r="D162" s="42">
        <v>27.005440249231381</v>
      </c>
      <c r="E162" s="42">
        <v>3.2318257654038489</v>
      </c>
      <c r="F162" s="42">
        <v>14.592559195953807</v>
      </c>
      <c r="G162" s="42">
        <v>0</v>
      </c>
      <c r="H162" s="42">
        <v>0</v>
      </c>
      <c r="I162" s="42"/>
      <c r="J162" s="42"/>
      <c r="K162" s="42"/>
      <c r="L162" s="42">
        <v>29.02532048555036</v>
      </c>
      <c r="M162" s="42">
        <v>5.4563646249340203E-3</v>
      </c>
      <c r="N162" s="42">
        <v>5.4169830319429216E-3</v>
      </c>
      <c r="O162" s="42">
        <v>3.2641439500985832</v>
      </c>
      <c r="P162" s="42">
        <v>0</v>
      </c>
      <c r="Q162" s="42">
        <v>0</v>
      </c>
      <c r="R162" s="42">
        <v>2.9099512384069066</v>
      </c>
      <c r="S162" s="42">
        <v>6.7244547108734753</v>
      </c>
      <c r="T162" s="42">
        <v>0</v>
      </c>
      <c r="U162" s="42">
        <v>40.992005554720123</v>
      </c>
      <c r="V162" s="42">
        <v>0.87555355175722849</v>
      </c>
      <c r="W162" s="42">
        <v>2.042958287433533</v>
      </c>
      <c r="X162" s="42">
        <v>0</v>
      </c>
      <c r="Y162" s="42">
        <v>0</v>
      </c>
      <c r="Z162" s="42">
        <v>0</v>
      </c>
      <c r="AA162" s="42">
        <v>0</v>
      </c>
      <c r="AB162" s="42">
        <v>0</v>
      </c>
      <c r="AC162" s="42">
        <v>0</v>
      </c>
      <c r="AD162" s="42">
        <v>0</v>
      </c>
      <c r="AE162" s="42">
        <v>0</v>
      </c>
      <c r="AF162" s="42">
        <v>0</v>
      </c>
      <c r="AG162" s="42">
        <v>0</v>
      </c>
      <c r="AH162" s="42">
        <v>3.785504790164135</v>
      </c>
      <c r="AI162" s="42">
        <v>8.7674129983070088</v>
      </c>
      <c r="AJ162" s="42">
        <v>0</v>
      </c>
      <c r="AK162" s="42">
        <v>40.992005554720123</v>
      </c>
      <c r="AL162" s="42">
        <v>53.544923343191265</v>
      </c>
      <c r="AM162" s="42">
        <v>15.10647386255504</v>
      </c>
      <c r="AN162" s="42">
        <v>1.9279981736597536</v>
      </c>
      <c r="AO162" s="42">
        <v>0</v>
      </c>
      <c r="AP162" s="42">
        <v>0</v>
      </c>
      <c r="AQ162" s="42">
        <v>17.034472036214794</v>
      </c>
      <c r="AR162" s="42">
        <v>3.785504790164135</v>
      </c>
      <c r="AS162" s="244">
        <v>4.499920877256689</v>
      </c>
      <c r="AT162" s="42">
        <v>15.10647386255504</v>
      </c>
      <c r="AU162" s="42">
        <v>2.2821755834869615</v>
      </c>
      <c r="AV162" s="42">
        <v>0</v>
      </c>
      <c r="AW162" s="42">
        <v>0</v>
      </c>
      <c r="AX162" s="42">
        <v>17.388649446042002</v>
      </c>
      <c r="AY162" s="42">
        <v>8.7674129983070088</v>
      </c>
      <c r="AZ162" s="244">
        <v>1.9833272881521331</v>
      </c>
      <c r="BA162" s="42">
        <v>15.10647386255504</v>
      </c>
      <c r="BB162" s="42">
        <v>4.2101737571467153</v>
      </c>
      <c r="BC162" s="42">
        <v>0</v>
      </c>
      <c r="BD162" s="42">
        <v>0</v>
      </c>
      <c r="BE162" s="42">
        <v>19.316647619701754</v>
      </c>
      <c r="BF162" s="42">
        <v>12.552917788471143</v>
      </c>
      <c r="BG162" s="42">
        <v>21.149592772771506</v>
      </c>
      <c r="BH162" s="244">
        <v>1.5388173447166649</v>
      </c>
      <c r="BI162" s="42">
        <v>9.5965888981778225</v>
      </c>
      <c r="BJ162" s="42">
        <v>22.226166101785562</v>
      </c>
      <c r="BK162" s="42">
        <v>0</v>
      </c>
      <c r="BL162" s="42">
        <v>103.91835362158243</v>
      </c>
      <c r="BM162" s="42">
        <v>135.74110862154581</v>
      </c>
      <c r="BN162" s="42">
        <v>15.10647386255504</v>
      </c>
      <c r="BO162" s="42">
        <v>21.213135635051337</v>
      </c>
      <c r="BP162" s="42">
        <v>4.2101737571467153</v>
      </c>
      <c r="BQ162" s="42">
        <v>0</v>
      </c>
      <c r="BR162" s="42">
        <v>0</v>
      </c>
      <c r="BS162" s="42">
        <v>0</v>
      </c>
      <c r="BT162" s="42">
        <v>0</v>
      </c>
      <c r="BU162" s="42">
        <v>0</v>
      </c>
      <c r="BV162" s="42">
        <v>0</v>
      </c>
      <c r="BW162" s="42">
        <v>0</v>
      </c>
      <c r="BX162" s="42">
        <v>50.626411504000501</v>
      </c>
      <c r="BY162" s="42">
        <v>2.9185118391907618</v>
      </c>
      <c r="BZ162" s="42">
        <v>0</v>
      </c>
      <c r="CA162" s="42">
        <v>0</v>
      </c>
      <c r="CB162" s="42">
        <v>40.529783254753092</v>
      </c>
      <c r="CC162" s="42">
        <v>53.544923343191265</v>
      </c>
      <c r="CD162" s="245">
        <v>0.75693045622609578</v>
      </c>
      <c r="CE162" s="42">
        <v>71.290774467423859</v>
      </c>
      <c r="CF162" s="42">
        <v>0.27574315397701277</v>
      </c>
      <c r="CG162" s="42">
        <v>0.38190484216153414</v>
      </c>
      <c r="CH162" s="42">
        <v>0.65764799613854685</v>
      </c>
      <c r="CI162" s="42">
        <v>1.3787027230636417E-2</v>
      </c>
      <c r="CJ162" s="42">
        <v>1.9095242108076713E-2</v>
      </c>
      <c r="CK162" s="42">
        <v>3.2882269338713133E-2</v>
      </c>
      <c r="CL162" s="42"/>
      <c r="CM162" s="42">
        <v>3.2641439500985832</v>
      </c>
      <c r="CN162" s="42"/>
      <c r="CO162" s="42">
        <v>0</v>
      </c>
      <c r="CP162" s="42">
        <v>0</v>
      </c>
      <c r="CQ162" s="42">
        <v>21.213135635051337</v>
      </c>
      <c r="CR162" s="42">
        <v>0</v>
      </c>
      <c r="CS162" s="42">
        <v>0</v>
      </c>
      <c r="CT162" s="42">
        <v>21.213135635051337</v>
      </c>
      <c r="CU162" s="42">
        <v>0</v>
      </c>
      <c r="CV162" s="42">
        <v>0</v>
      </c>
      <c r="CW162" s="244">
        <v>9999</v>
      </c>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row>
    <row r="163" spans="1:131">
      <c r="A163" s="18" t="s">
        <v>485</v>
      </c>
      <c r="B163" s="18"/>
      <c r="C163" s="42">
        <v>5.0000000000000009</v>
      </c>
      <c r="D163" s="42">
        <v>185.30166687151063</v>
      </c>
      <c r="E163" s="42">
        <v>10.683191041737485</v>
      </c>
      <c r="F163" s="42">
        <v>82.302349885604954</v>
      </c>
      <c r="G163" s="42">
        <v>0</v>
      </c>
      <c r="H163" s="42">
        <v>0</v>
      </c>
      <c r="I163" s="42"/>
      <c r="J163" s="42"/>
      <c r="K163" s="42"/>
      <c r="L163" s="42">
        <v>199.16136222239018</v>
      </c>
      <c r="M163" s="42">
        <v>3.7439621451377587E-2</v>
      </c>
      <c r="N163" s="42">
        <v>3.716939905329935E-2</v>
      </c>
      <c r="O163" s="42">
        <v>10.790022710979054</v>
      </c>
      <c r="P163" s="42">
        <v>0</v>
      </c>
      <c r="Q163" s="42">
        <v>0</v>
      </c>
      <c r="R163" s="42">
        <v>16.412188003309353</v>
      </c>
      <c r="S163" s="42">
        <v>37.926070195944078</v>
      </c>
      <c r="T163" s="42">
        <v>0</v>
      </c>
      <c r="U163" s="42">
        <v>231.1957990626278</v>
      </c>
      <c r="V163" s="42">
        <v>4.9381409931362974</v>
      </c>
      <c r="W163" s="42">
        <v>11.522328983984693</v>
      </c>
      <c r="X163" s="42">
        <v>0</v>
      </c>
      <c r="Y163" s="42">
        <v>0</v>
      </c>
      <c r="Z163" s="42">
        <v>0</v>
      </c>
      <c r="AA163" s="42">
        <v>0</v>
      </c>
      <c r="AB163" s="42">
        <v>0</v>
      </c>
      <c r="AC163" s="42">
        <v>0</v>
      </c>
      <c r="AD163" s="42">
        <v>0</v>
      </c>
      <c r="AE163" s="42">
        <v>0</v>
      </c>
      <c r="AF163" s="42">
        <v>0</v>
      </c>
      <c r="AG163" s="42">
        <v>0</v>
      </c>
      <c r="AH163" s="42">
        <v>21.350328996445651</v>
      </c>
      <c r="AI163" s="42">
        <v>49.448399179928771</v>
      </c>
      <c r="AJ163" s="42">
        <v>0</v>
      </c>
      <c r="AK163" s="42">
        <v>231.1957990626278</v>
      </c>
      <c r="AL163" s="42">
        <v>301.9945272390022</v>
      </c>
      <c r="AM163" s="42">
        <v>103.65521766904099</v>
      </c>
      <c r="AN163" s="42">
        <v>13.229233517663125</v>
      </c>
      <c r="AO163" s="42">
        <v>0</v>
      </c>
      <c r="AP163" s="42">
        <v>0</v>
      </c>
      <c r="AQ163" s="42">
        <v>116.88445118670413</v>
      </c>
      <c r="AR163" s="42">
        <v>21.350328996445651</v>
      </c>
      <c r="AS163" s="244">
        <v>5.4745971926785186</v>
      </c>
      <c r="AT163" s="42">
        <v>103.65521766904099</v>
      </c>
      <c r="AU163" s="42">
        <v>15.659472158600803</v>
      </c>
      <c r="AV163" s="42">
        <v>0</v>
      </c>
      <c r="AW163" s="42">
        <v>0</v>
      </c>
      <c r="AX163" s="42">
        <v>119.3146898276418</v>
      </c>
      <c r="AY163" s="42">
        <v>49.448399179928771</v>
      </c>
      <c r="AZ163" s="244">
        <v>2.4129130933741516</v>
      </c>
      <c r="BA163" s="42">
        <v>103.65521766904099</v>
      </c>
      <c r="BB163" s="42">
        <v>28.888705676263928</v>
      </c>
      <c r="BC163" s="42">
        <v>0</v>
      </c>
      <c r="BD163" s="42">
        <v>0</v>
      </c>
      <c r="BE163" s="42">
        <v>132.54392334530493</v>
      </c>
      <c r="BF163" s="42">
        <v>70.798728176374425</v>
      </c>
      <c r="BG163" s="42">
        <v>15.483991359864566</v>
      </c>
      <c r="BH163" s="244">
        <v>1.8721229428742043</v>
      </c>
      <c r="BI163" s="42">
        <v>7.888048967531784</v>
      </c>
      <c r="BJ163" s="42">
        <v>18.269104619524665</v>
      </c>
      <c r="BK163" s="42">
        <v>0</v>
      </c>
      <c r="BL163" s="42">
        <v>85.417127970124</v>
      </c>
      <c r="BM163" s="42">
        <v>111.57428155718043</v>
      </c>
      <c r="BN163" s="42">
        <v>103.65521766904099</v>
      </c>
      <c r="BO163" s="42">
        <v>70.122586127480673</v>
      </c>
      <c r="BP163" s="42">
        <v>28.888705676263928</v>
      </c>
      <c r="BQ163" s="42">
        <v>0</v>
      </c>
      <c r="BR163" s="42">
        <v>0</v>
      </c>
      <c r="BS163" s="42">
        <v>0</v>
      </c>
      <c r="BT163" s="42">
        <v>0</v>
      </c>
      <c r="BU163" s="42">
        <v>0</v>
      </c>
      <c r="BV163" s="42">
        <v>0</v>
      </c>
      <c r="BW163" s="42">
        <v>0</v>
      </c>
      <c r="BX163" s="42">
        <v>285.53405726188117</v>
      </c>
      <c r="BY163" s="42">
        <v>16.460469977120994</v>
      </c>
      <c r="BZ163" s="42">
        <v>0</v>
      </c>
      <c r="CA163" s="42">
        <v>0</v>
      </c>
      <c r="CB163" s="42">
        <v>202.66650947278561</v>
      </c>
      <c r="CC163" s="42">
        <v>301.9945272390022</v>
      </c>
      <c r="CD163" s="245">
        <v>0.67109331856332888</v>
      </c>
      <c r="CE163" s="42">
        <v>74.993771804073788</v>
      </c>
      <c r="CF163" s="42">
        <v>1.8920508456366461</v>
      </c>
      <c r="CG163" s="42">
        <v>1.2624326571845479</v>
      </c>
      <c r="CH163" s="42">
        <v>3.1544835028211939</v>
      </c>
      <c r="CI163" s="42">
        <v>9.4601647055635341E-2</v>
      </c>
      <c r="CJ163" s="42">
        <v>6.3121632859227478E-2</v>
      </c>
      <c r="CK163" s="42">
        <v>0.15772327991486282</v>
      </c>
      <c r="CL163" s="42"/>
      <c r="CM163" s="42">
        <v>10.790022710979054</v>
      </c>
      <c r="CN163" s="42"/>
      <c r="CO163" s="42">
        <v>0</v>
      </c>
      <c r="CP163" s="42">
        <v>0</v>
      </c>
      <c r="CQ163" s="42">
        <v>70.122586127480673</v>
      </c>
      <c r="CR163" s="42">
        <v>0</v>
      </c>
      <c r="CS163" s="42">
        <v>0</v>
      </c>
      <c r="CT163" s="42">
        <v>70.122586127480673</v>
      </c>
      <c r="CU163" s="42">
        <v>0</v>
      </c>
      <c r="CV163" s="42">
        <v>0</v>
      </c>
      <c r="CW163" s="244">
        <v>9999</v>
      </c>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row>
    <row r="164" spans="1:131">
      <c r="A164" s="18" t="s">
        <v>481</v>
      </c>
      <c r="B164" s="18"/>
      <c r="C164" s="42">
        <v>4.9999999999999991</v>
      </c>
      <c r="D164" s="42">
        <v>34.85253516301033</v>
      </c>
      <c r="E164" s="42">
        <v>0.95342456755581151</v>
      </c>
      <c r="F164" s="42">
        <v>15.378181835946435</v>
      </c>
      <c r="G164" s="42">
        <v>0</v>
      </c>
      <c r="H164" s="42">
        <v>0</v>
      </c>
      <c r="I164" s="42"/>
      <c r="J164" s="42"/>
      <c r="K164" s="42"/>
      <c r="L164" s="42">
        <v>37.459341284727984</v>
      </c>
      <c r="M164" s="42">
        <v>7.0418455762124117E-3</v>
      </c>
      <c r="N164" s="42">
        <v>6.9910206927137359E-3</v>
      </c>
      <c r="O164" s="42">
        <v>0.96295879170756282</v>
      </c>
      <c r="P164" s="42">
        <v>0</v>
      </c>
      <c r="Q164" s="42">
        <v>0</v>
      </c>
      <c r="R164" s="42">
        <v>3.0666148875631793</v>
      </c>
      <c r="S164" s="42">
        <v>7.0864805756670961</v>
      </c>
      <c r="T164" s="42">
        <v>0</v>
      </c>
      <c r="U164" s="42">
        <v>43.198900670925731</v>
      </c>
      <c r="V164" s="42">
        <v>0.92269091015678606</v>
      </c>
      <c r="W164" s="42">
        <v>2.1529454570325006</v>
      </c>
      <c r="X164" s="42">
        <v>0</v>
      </c>
      <c r="Y164" s="42">
        <v>0</v>
      </c>
      <c r="Z164" s="42">
        <v>0</v>
      </c>
      <c r="AA164" s="42">
        <v>0</v>
      </c>
      <c r="AB164" s="42">
        <v>0</v>
      </c>
      <c r="AC164" s="42">
        <v>0</v>
      </c>
      <c r="AD164" s="42">
        <v>0</v>
      </c>
      <c r="AE164" s="42">
        <v>0</v>
      </c>
      <c r="AF164" s="42">
        <v>0</v>
      </c>
      <c r="AG164" s="42">
        <v>0</v>
      </c>
      <c r="AH164" s="42">
        <v>3.9893057977199655</v>
      </c>
      <c r="AI164" s="42">
        <v>9.2394260326995976</v>
      </c>
      <c r="AJ164" s="42">
        <v>0</v>
      </c>
      <c r="AK164" s="42">
        <v>43.198900670925731</v>
      </c>
      <c r="AL164" s="42">
        <v>56.427632501345293</v>
      </c>
      <c r="AM164" s="42">
        <v>19.496031415328673</v>
      </c>
      <c r="AN164" s="42">
        <v>2.4882254657414355</v>
      </c>
      <c r="AO164" s="42">
        <v>0</v>
      </c>
      <c r="AP164" s="42">
        <v>0</v>
      </c>
      <c r="AQ164" s="42">
        <v>21.98425688107011</v>
      </c>
      <c r="AR164" s="42">
        <v>3.9893057977199655</v>
      </c>
      <c r="AS164" s="244">
        <v>5.5107976163759913</v>
      </c>
      <c r="AT164" s="42">
        <v>19.496031415328673</v>
      </c>
      <c r="AU164" s="42">
        <v>2.9453178336504533</v>
      </c>
      <c r="AV164" s="42">
        <v>0</v>
      </c>
      <c r="AW164" s="42">
        <v>0</v>
      </c>
      <c r="AX164" s="42">
        <v>22.441349248979126</v>
      </c>
      <c r="AY164" s="42">
        <v>9.2394260326995976</v>
      </c>
      <c r="AZ164" s="244">
        <v>2.4288683268371982</v>
      </c>
      <c r="BA164" s="42">
        <v>19.496031415328673</v>
      </c>
      <c r="BB164" s="42">
        <v>5.4335432993918893</v>
      </c>
      <c r="BC164" s="42">
        <v>0</v>
      </c>
      <c r="BD164" s="42">
        <v>0</v>
      </c>
      <c r="BE164" s="42">
        <v>24.929574714720562</v>
      </c>
      <c r="BF164" s="42">
        <v>13.228731830419562</v>
      </c>
      <c r="BG164" s="42">
        <v>15.31216504569227</v>
      </c>
      <c r="BH164" s="244">
        <v>1.8845022360642938</v>
      </c>
      <c r="BI164" s="42">
        <v>7.8362323822297713</v>
      </c>
      <c r="BJ164" s="42">
        <v>18.149094890654382</v>
      </c>
      <c r="BK164" s="42">
        <v>0</v>
      </c>
      <c r="BL164" s="42">
        <v>84.856022947077733</v>
      </c>
      <c r="BM164" s="42">
        <v>110.84135021996188</v>
      </c>
      <c r="BN164" s="42">
        <v>19.496031415328673</v>
      </c>
      <c r="BO164" s="42">
        <v>6.2581110918348868</v>
      </c>
      <c r="BP164" s="42">
        <v>5.4335432993918893</v>
      </c>
      <c r="BQ164" s="42">
        <v>0</v>
      </c>
      <c r="BR164" s="42">
        <v>0</v>
      </c>
      <c r="BS164" s="42">
        <v>0</v>
      </c>
      <c r="BT164" s="42">
        <v>0</v>
      </c>
      <c r="BU164" s="42">
        <v>0</v>
      </c>
      <c r="BV164" s="42">
        <v>0</v>
      </c>
      <c r="BW164" s="42">
        <v>0</v>
      </c>
      <c r="BX164" s="42">
        <v>53.351996134156003</v>
      </c>
      <c r="BY164" s="42">
        <v>3.0756363671892868</v>
      </c>
      <c r="BZ164" s="42">
        <v>0</v>
      </c>
      <c r="CA164" s="42">
        <v>0</v>
      </c>
      <c r="CB164" s="42">
        <v>31.18768580655545</v>
      </c>
      <c r="CC164" s="42">
        <v>56.427632501345293</v>
      </c>
      <c r="CD164" s="245">
        <v>0.55270236272648698</v>
      </c>
      <c r="CE164" s="42">
        <v>87.875319189015713</v>
      </c>
      <c r="CF164" s="42">
        <v>0.35586710978417518</v>
      </c>
      <c r="CG164" s="42">
        <v>0.11266617862978473</v>
      </c>
      <c r="CH164" s="42">
        <v>0.46853328841395991</v>
      </c>
      <c r="CI164" s="42">
        <v>1.7793187110245787E-2</v>
      </c>
      <c r="CJ164" s="42">
        <v>5.6333089314892434E-3</v>
      </c>
      <c r="CK164" s="42">
        <v>2.342649604173503E-2</v>
      </c>
      <c r="CL164" s="42"/>
      <c r="CM164" s="42">
        <v>0.96295879170756282</v>
      </c>
      <c r="CN164" s="42"/>
      <c r="CO164" s="42">
        <v>0</v>
      </c>
      <c r="CP164" s="42">
        <v>0</v>
      </c>
      <c r="CQ164" s="42">
        <v>6.2581110918348868</v>
      </c>
      <c r="CR164" s="42">
        <v>0</v>
      </c>
      <c r="CS164" s="42">
        <v>0</v>
      </c>
      <c r="CT164" s="42">
        <v>6.2581110918348868</v>
      </c>
      <c r="CU164" s="42">
        <v>0</v>
      </c>
      <c r="CV164" s="42">
        <v>0</v>
      </c>
      <c r="CW164" s="244">
        <v>9999</v>
      </c>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row>
    <row r="165" spans="1:131">
      <c r="A165" s="18" t="s">
        <v>479</v>
      </c>
      <c r="B165" s="18"/>
      <c r="C165" s="42">
        <v>5.0000000000000009</v>
      </c>
      <c r="D165" s="42">
        <v>220.25632419601459</v>
      </c>
      <c r="E165" s="42">
        <v>10.820573676994087</v>
      </c>
      <c r="F165" s="42">
        <v>143.75452147683055</v>
      </c>
      <c r="G165" s="42">
        <v>0</v>
      </c>
      <c r="H165" s="42">
        <v>0</v>
      </c>
      <c r="I165" s="42"/>
      <c r="J165" s="42"/>
      <c r="K165" s="42"/>
      <c r="L165" s="42">
        <v>236.73046392719183</v>
      </c>
      <c r="M165" s="42">
        <v>4.4502100490486855E-2</v>
      </c>
      <c r="N165" s="42">
        <v>4.4180904285827695E-2</v>
      </c>
      <c r="O165" s="42">
        <v>10.928779169486772</v>
      </c>
      <c r="P165" s="42">
        <v>0</v>
      </c>
      <c r="Q165" s="42">
        <v>0</v>
      </c>
      <c r="R165" s="42">
        <v>28.666571927567428</v>
      </c>
      <c r="S165" s="42">
        <v>66.244087563631183</v>
      </c>
      <c r="T165" s="42">
        <v>0</v>
      </c>
      <c r="U165" s="42">
        <v>403.82129438462795</v>
      </c>
      <c r="V165" s="42">
        <v>8.6252712886098326</v>
      </c>
      <c r="W165" s="42">
        <v>20.125633006756278</v>
      </c>
      <c r="X165" s="42">
        <v>0</v>
      </c>
      <c r="Y165" s="42">
        <v>0</v>
      </c>
      <c r="Z165" s="42">
        <v>0</v>
      </c>
      <c r="AA165" s="42">
        <v>0</v>
      </c>
      <c r="AB165" s="42">
        <v>0</v>
      </c>
      <c r="AC165" s="42">
        <v>0</v>
      </c>
      <c r="AD165" s="42">
        <v>0</v>
      </c>
      <c r="AE165" s="42">
        <v>0</v>
      </c>
      <c r="AF165" s="42">
        <v>0</v>
      </c>
      <c r="AG165" s="42">
        <v>0</v>
      </c>
      <c r="AH165" s="42">
        <v>37.291843216177263</v>
      </c>
      <c r="AI165" s="42">
        <v>86.369720570387457</v>
      </c>
      <c r="AJ165" s="42">
        <v>0</v>
      </c>
      <c r="AK165" s="42">
        <v>403.82129438462795</v>
      </c>
      <c r="AL165" s="42">
        <v>527.48285817119267</v>
      </c>
      <c r="AM165" s="42">
        <v>123.20837482455946</v>
      </c>
      <c r="AN165" s="42">
        <v>15.724749786258833</v>
      </c>
      <c r="AO165" s="42">
        <v>0</v>
      </c>
      <c r="AP165" s="42">
        <v>0</v>
      </c>
      <c r="AQ165" s="42">
        <v>138.93312461081828</v>
      </c>
      <c r="AR165" s="42">
        <v>37.291843216177263</v>
      </c>
      <c r="AS165" s="244">
        <v>3.7255633572584812</v>
      </c>
      <c r="AT165" s="42">
        <v>123.20837482455946</v>
      </c>
      <c r="AU165" s="42">
        <v>18.613420131265567</v>
      </c>
      <c r="AV165" s="42">
        <v>0</v>
      </c>
      <c r="AW165" s="42">
        <v>0</v>
      </c>
      <c r="AX165" s="42">
        <v>141.82179495582503</v>
      </c>
      <c r="AY165" s="42">
        <v>86.369720570387457</v>
      </c>
      <c r="AZ165" s="244">
        <v>1.6420314204935584</v>
      </c>
      <c r="BA165" s="42">
        <v>123.20837482455946</v>
      </c>
      <c r="BB165" s="42">
        <v>34.338169917524397</v>
      </c>
      <c r="BC165" s="42">
        <v>0</v>
      </c>
      <c r="BD165" s="42">
        <v>0</v>
      </c>
      <c r="BE165" s="42">
        <v>157.54654474208385</v>
      </c>
      <c r="BF165" s="42">
        <v>123.66156378656473</v>
      </c>
      <c r="BG165" s="42">
        <v>27.763945362768958</v>
      </c>
      <c r="BH165" s="244">
        <v>1.2740138481024172</v>
      </c>
      <c r="BI165" s="42">
        <v>11.591237778636989</v>
      </c>
      <c r="BJ165" s="42">
        <v>26.845869811323851</v>
      </c>
      <c r="BK165" s="42">
        <v>0</v>
      </c>
      <c r="BL165" s="42">
        <v>125.51776044308409</v>
      </c>
      <c r="BM165" s="42">
        <v>163.95486803304493</v>
      </c>
      <c r="BN165" s="42">
        <v>123.20837482455946</v>
      </c>
      <c r="BO165" s="42">
        <v>71.024341570733995</v>
      </c>
      <c r="BP165" s="42">
        <v>34.338169917524397</v>
      </c>
      <c r="BQ165" s="42">
        <v>0</v>
      </c>
      <c r="BR165" s="42">
        <v>0</v>
      </c>
      <c r="BS165" s="42">
        <v>0</v>
      </c>
      <c r="BT165" s="42">
        <v>0</v>
      </c>
      <c r="BU165" s="42">
        <v>0</v>
      </c>
      <c r="BV165" s="42">
        <v>0</v>
      </c>
      <c r="BW165" s="42">
        <v>0</v>
      </c>
      <c r="BX165" s="42">
        <v>498.73195387582655</v>
      </c>
      <c r="BY165" s="42">
        <v>28.750904295366112</v>
      </c>
      <c r="BZ165" s="42">
        <v>0</v>
      </c>
      <c r="CA165" s="42">
        <v>0</v>
      </c>
      <c r="CB165" s="42">
        <v>228.57088631281783</v>
      </c>
      <c r="CC165" s="42">
        <v>527.48285817119267</v>
      </c>
      <c r="CD165" s="245">
        <v>0.43332381853181656</v>
      </c>
      <c r="CE165" s="42">
        <v>131.20556367350659</v>
      </c>
      <c r="CF165" s="42">
        <v>2.2489606892789342</v>
      </c>
      <c r="CG165" s="42">
        <v>1.278667162829952</v>
      </c>
      <c r="CH165" s="42">
        <v>3.5276278521088864</v>
      </c>
      <c r="CI165" s="42">
        <v>0.11244697036541609</v>
      </c>
      <c r="CJ165" s="42">
        <v>6.3933358141497615E-2</v>
      </c>
      <c r="CK165" s="42">
        <v>0.17638032850691371</v>
      </c>
      <c r="CL165" s="42"/>
      <c r="CM165" s="42">
        <v>10.928779169486772</v>
      </c>
      <c r="CN165" s="42"/>
      <c r="CO165" s="42">
        <v>0</v>
      </c>
      <c r="CP165" s="42">
        <v>0</v>
      </c>
      <c r="CQ165" s="42">
        <v>71.024341570733995</v>
      </c>
      <c r="CR165" s="42">
        <v>0</v>
      </c>
      <c r="CS165" s="42">
        <v>0</v>
      </c>
      <c r="CT165" s="42">
        <v>71.024341570733995</v>
      </c>
      <c r="CU165" s="42">
        <v>0</v>
      </c>
      <c r="CV165" s="42">
        <v>0</v>
      </c>
      <c r="CW165" s="244">
        <v>9999</v>
      </c>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row>
    <row r="166" spans="1:131">
      <c r="A166" s="18" t="s">
        <v>475</v>
      </c>
      <c r="B166" s="18"/>
      <c r="C166" s="42">
        <v>5</v>
      </c>
      <c r="D166" s="42">
        <v>22.981749654692081</v>
      </c>
      <c r="E166" s="42">
        <v>0.37765721966821081</v>
      </c>
      <c r="F166" s="42">
        <v>16.176643769731875</v>
      </c>
      <c r="G166" s="42">
        <v>0</v>
      </c>
      <c r="H166" s="42">
        <v>0</v>
      </c>
      <c r="I166" s="42"/>
      <c r="J166" s="42"/>
      <c r="K166" s="42"/>
      <c r="L166" s="42">
        <v>24.700676711430738</v>
      </c>
      <c r="M166" s="42">
        <v>4.6433905419675766E-3</v>
      </c>
      <c r="N166" s="42">
        <v>4.6098766313343231E-3</v>
      </c>
      <c r="O166" s="42">
        <v>0.38143378333918326</v>
      </c>
      <c r="P166" s="42">
        <v>0</v>
      </c>
      <c r="Q166" s="42">
        <v>0</v>
      </c>
      <c r="R166" s="42">
        <v>3.2258388634154729</v>
      </c>
      <c r="S166" s="42">
        <v>7.4544229660317276</v>
      </c>
      <c r="T166" s="42">
        <v>0</v>
      </c>
      <c r="U166" s="42">
        <v>45.441862689132975</v>
      </c>
      <c r="V166" s="42">
        <v>0.97059862618391235</v>
      </c>
      <c r="W166" s="42">
        <v>2.2647301277624621</v>
      </c>
      <c r="X166" s="42">
        <v>0</v>
      </c>
      <c r="Y166" s="42">
        <v>0</v>
      </c>
      <c r="Z166" s="42">
        <v>0</v>
      </c>
      <c r="AA166" s="42">
        <v>0</v>
      </c>
      <c r="AB166" s="42">
        <v>0</v>
      </c>
      <c r="AC166" s="42">
        <v>0</v>
      </c>
      <c r="AD166" s="42">
        <v>0</v>
      </c>
      <c r="AE166" s="42">
        <v>0</v>
      </c>
      <c r="AF166" s="42">
        <v>0</v>
      </c>
      <c r="AG166" s="42">
        <v>0</v>
      </c>
      <c r="AH166" s="42">
        <v>4.1964374895993855</v>
      </c>
      <c r="AI166" s="42">
        <v>9.7191530937941906</v>
      </c>
      <c r="AJ166" s="42">
        <v>0</v>
      </c>
      <c r="AK166" s="42">
        <v>45.441862689132975</v>
      </c>
      <c r="AL166" s="42">
        <v>59.357453272526556</v>
      </c>
      <c r="AM166" s="42">
        <v>12.855676384845104</v>
      </c>
      <c r="AN166" s="42">
        <v>1.640735013124369</v>
      </c>
      <c r="AO166" s="42">
        <v>0</v>
      </c>
      <c r="AP166" s="42">
        <v>0</v>
      </c>
      <c r="AQ166" s="42">
        <v>14.496411397969473</v>
      </c>
      <c r="AR166" s="42">
        <v>4.1964374895993855</v>
      </c>
      <c r="AS166" s="244">
        <v>3.4544566513615287</v>
      </c>
      <c r="AT166" s="42">
        <v>12.855676384845104</v>
      </c>
      <c r="AU166" s="42">
        <v>1.9421415627260861</v>
      </c>
      <c r="AV166" s="42">
        <v>0</v>
      </c>
      <c r="AW166" s="42">
        <v>0</v>
      </c>
      <c r="AX166" s="42">
        <v>14.79781794757119</v>
      </c>
      <c r="AY166" s="42">
        <v>9.7191530937941906</v>
      </c>
      <c r="AZ166" s="244">
        <v>1.5225419133504332</v>
      </c>
      <c r="BA166" s="42">
        <v>12.855676384845104</v>
      </c>
      <c r="BB166" s="42">
        <v>3.5828765758504555</v>
      </c>
      <c r="BC166" s="42">
        <v>0</v>
      </c>
      <c r="BD166" s="42">
        <v>0</v>
      </c>
      <c r="BE166" s="42">
        <v>16.43855296069556</v>
      </c>
      <c r="BF166" s="42">
        <v>13.915590583393575</v>
      </c>
      <c r="BG166" s="42">
        <v>30.780500113517938</v>
      </c>
      <c r="BH166" s="244">
        <v>1.1813047288350671</v>
      </c>
      <c r="BI166" s="42">
        <v>12.500921300123943</v>
      </c>
      <c r="BJ166" s="42">
        <v>28.952741040585881</v>
      </c>
      <c r="BK166" s="42">
        <v>0</v>
      </c>
      <c r="BL166" s="42">
        <v>135.3684287245562</v>
      </c>
      <c r="BM166" s="42">
        <v>176.82209106526602</v>
      </c>
      <c r="BN166" s="42">
        <v>12.855676384845104</v>
      </c>
      <c r="BO166" s="42">
        <v>2.478875535351468</v>
      </c>
      <c r="BP166" s="42">
        <v>3.5828765758504555</v>
      </c>
      <c r="BQ166" s="42">
        <v>0</v>
      </c>
      <c r="BR166" s="42">
        <v>0</v>
      </c>
      <c r="BS166" s="42">
        <v>0</v>
      </c>
      <c r="BT166" s="42">
        <v>0</v>
      </c>
      <c r="BU166" s="42">
        <v>0</v>
      </c>
      <c r="BV166" s="42">
        <v>0</v>
      </c>
      <c r="BW166" s="42">
        <v>0</v>
      </c>
      <c r="BX166" s="42">
        <v>56.122124518580179</v>
      </c>
      <c r="BY166" s="42">
        <v>3.2353287539463746</v>
      </c>
      <c r="BZ166" s="42">
        <v>0</v>
      </c>
      <c r="CA166" s="42">
        <v>0</v>
      </c>
      <c r="CB166" s="42">
        <v>18.917428496047027</v>
      </c>
      <c r="CC166" s="42">
        <v>59.357453272526556</v>
      </c>
      <c r="CD166" s="245">
        <v>0.31870350651992863</v>
      </c>
      <c r="CE166" s="42">
        <v>158.76451573600036</v>
      </c>
      <c r="CF166" s="42">
        <v>0.23465864933919334</v>
      </c>
      <c r="CG166" s="42">
        <v>4.4627752650684402E-2</v>
      </c>
      <c r="CH166" s="42">
        <v>0.27928640198987775</v>
      </c>
      <c r="CI166" s="42">
        <v>1.17328214379296E-2</v>
      </c>
      <c r="CJ166" s="42">
        <v>2.2313876325342225E-3</v>
      </c>
      <c r="CK166" s="42">
        <v>1.3964209070463822E-2</v>
      </c>
      <c r="CL166" s="42"/>
      <c r="CM166" s="42">
        <v>0.38143378333918326</v>
      </c>
      <c r="CN166" s="42"/>
      <c r="CO166" s="42">
        <v>0</v>
      </c>
      <c r="CP166" s="42">
        <v>0</v>
      </c>
      <c r="CQ166" s="42">
        <v>2.478875535351468</v>
      </c>
      <c r="CR166" s="42">
        <v>0</v>
      </c>
      <c r="CS166" s="42">
        <v>0</v>
      </c>
      <c r="CT166" s="42">
        <v>2.478875535351468</v>
      </c>
      <c r="CU166" s="42">
        <v>0</v>
      </c>
      <c r="CV166" s="42">
        <v>0</v>
      </c>
      <c r="CW166" s="244">
        <v>9999</v>
      </c>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row>
    <row r="167" spans="1:131">
      <c r="A167" s="18"/>
      <c r="B167" s="18"/>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c r="AI167" s="42"/>
      <c r="AJ167" s="42"/>
      <c r="AK167" s="42"/>
      <c r="AL167" s="42"/>
      <c r="AM167" s="42"/>
      <c r="AN167" s="42"/>
      <c r="AO167" s="42"/>
      <c r="AP167" s="42"/>
      <c r="AQ167" s="42"/>
      <c r="AR167" s="42"/>
      <c r="AS167" s="245"/>
      <c r="AT167" s="42"/>
      <c r="AU167" s="42"/>
      <c r="AV167" s="42"/>
      <c r="AW167" s="42"/>
      <c r="AX167" s="42"/>
      <c r="AY167" s="42"/>
      <c r="AZ167" s="245"/>
      <c r="BA167" s="42"/>
      <c r="BB167" s="42"/>
      <c r="BC167" s="42"/>
      <c r="BD167" s="42"/>
      <c r="BE167" s="42"/>
      <c r="BF167" s="42"/>
      <c r="BG167" s="42"/>
      <c r="BH167" s="245"/>
      <c r="BI167" s="42"/>
      <c r="BJ167" s="42"/>
      <c r="BK167" s="42"/>
      <c r="BL167" s="42"/>
      <c r="BM167" s="42"/>
      <c r="BN167" s="42"/>
      <c r="BO167" s="42"/>
      <c r="BP167" s="42"/>
      <c r="BQ167" s="42"/>
      <c r="BR167" s="42"/>
      <c r="BS167" s="42"/>
      <c r="BT167" s="42"/>
      <c r="BU167" s="42"/>
      <c r="BV167" s="42"/>
      <c r="BW167" s="42"/>
      <c r="BX167" s="42"/>
      <c r="BY167" s="42"/>
      <c r="BZ167" s="42"/>
      <c r="CA167" s="42"/>
      <c r="CB167" s="42"/>
      <c r="CC167" s="42"/>
      <c r="CD167" s="245"/>
      <c r="CE167" s="42"/>
      <c r="CF167" s="42"/>
      <c r="CG167" s="42"/>
      <c r="CH167" s="42"/>
      <c r="CI167" s="42"/>
      <c r="CJ167" s="42"/>
      <c r="CK167" s="42"/>
      <c r="CL167" s="42"/>
      <c r="CM167" s="42"/>
      <c r="CN167" s="42"/>
      <c r="CO167" s="42"/>
      <c r="CP167" s="42"/>
      <c r="CQ167" s="42"/>
      <c r="CR167" s="42"/>
      <c r="CS167" s="42"/>
      <c r="CT167" s="42"/>
      <c r="CU167" s="42"/>
      <c r="CV167" s="42"/>
      <c r="CW167" s="245"/>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row>
    <row r="168" spans="1:131">
      <c r="A168" s="18"/>
      <c r="B168" s="18"/>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245"/>
      <c r="AT168" s="42"/>
      <c r="AU168" s="42"/>
      <c r="AV168" s="42"/>
      <c r="AW168" s="42"/>
      <c r="AX168" s="42"/>
      <c r="AY168" s="42"/>
      <c r="AZ168" s="245"/>
      <c r="BA168" s="42"/>
      <c r="BB168" s="42"/>
      <c r="BC168" s="42"/>
      <c r="BD168" s="42"/>
      <c r="BE168" s="42"/>
      <c r="BF168" s="42"/>
      <c r="BG168" s="42"/>
      <c r="BH168" s="245"/>
      <c r="BI168" s="42"/>
      <c r="BJ168" s="42"/>
      <c r="BK168" s="42"/>
      <c r="BL168" s="42"/>
      <c r="BM168" s="42"/>
      <c r="BN168" s="42"/>
      <c r="BO168" s="42"/>
      <c r="BP168" s="42"/>
      <c r="BQ168" s="42"/>
      <c r="BR168" s="42"/>
      <c r="BS168" s="42"/>
      <c r="BT168" s="42"/>
      <c r="BU168" s="42"/>
      <c r="BV168" s="42"/>
      <c r="BW168" s="42"/>
      <c r="BX168" s="42"/>
      <c r="BY168" s="42"/>
      <c r="BZ168" s="42"/>
      <c r="CA168" s="42"/>
      <c r="CB168" s="42"/>
      <c r="CC168" s="42"/>
      <c r="CD168" s="245"/>
      <c r="CE168" s="42"/>
      <c r="CF168" s="42"/>
      <c r="CG168" s="42"/>
      <c r="CH168" s="42"/>
      <c r="CI168" s="42"/>
      <c r="CJ168" s="42"/>
      <c r="CK168" s="42"/>
      <c r="CL168" s="42"/>
      <c r="CM168" s="42"/>
      <c r="CN168" s="42"/>
      <c r="CO168" s="42"/>
      <c r="CP168" s="42"/>
      <c r="CQ168" s="42"/>
      <c r="CR168" s="42"/>
      <c r="CS168" s="42"/>
      <c r="CT168" s="42"/>
      <c r="CU168" s="42"/>
      <c r="CV168" s="42"/>
      <c r="CW168" s="245"/>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row>
    <row r="169" spans="1:131" ht="13.5" thickBot="1">
      <c r="A169" s="222" t="s">
        <v>754</v>
      </c>
      <c r="B169" s="224"/>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c r="AK169" s="42"/>
      <c r="AL169" s="42"/>
      <c r="AM169" s="42"/>
      <c r="AN169" s="42"/>
      <c r="AO169" s="42"/>
      <c r="AP169" s="42"/>
      <c r="AQ169" s="42"/>
      <c r="AR169" s="42"/>
      <c r="AS169" s="245"/>
      <c r="AT169" s="42"/>
      <c r="AU169" s="42"/>
      <c r="AV169" s="42"/>
      <c r="AW169" s="42"/>
      <c r="AX169" s="42"/>
      <c r="AY169" s="42"/>
      <c r="AZ169" s="245"/>
      <c r="BA169" s="42"/>
      <c r="BB169" s="42"/>
      <c r="BC169" s="42"/>
      <c r="BD169" s="42"/>
      <c r="BE169" s="42"/>
      <c r="BF169" s="42"/>
      <c r="BG169" s="42"/>
      <c r="BH169" s="245"/>
      <c r="BI169" s="42"/>
      <c r="BJ169" s="42"/>
      <c r="BK169" s="42"/>
      <c r="BL169" s="42"/>
      <c r="BM169" s="42"/>
      <c r="BN169" s="42"/>
      <c r="BO169" s="42"/>
      <c r="BP169" s="42"/>
      <c r="BQ169" s="42"/>
      <c r="BR169" s="42"/>
      <c r="BS169" s="42"/>
      <c r="BT169" s="42"/>
      <c r="BU169" s="42"/>
      <c r="BV169" s="42"/>
      <c r="BW169" s="42"/>
      <c r="BX169" s="42"/>
      <c r="BY169" s="42"/>
      <c r="BZ169" s="42"/>
      <c r="CA169" s="42"/>
      <c r="CB169" s="42"/>
      <c r="CC169" s="42"/>
      <c r="CD169" s="245"/>
      <c r="CE169" s="42"/>
      <c r="CF169" s="42"/>
      <c r="CG169" s="42"/>
      <c r="CH169" s="42"/>
      <c r="CI169" s="42"/>
      <c r="CJ169" s="42"/>
      <c r="CK169" s="42"/>
      <c r="CL169" s="42"/>
      <c r="CM169" s="42"/>
      <c r="CN169" s="42"/>
      <c r="CO169" s="42"/>
      <c r="CP169" s="42"/>
      <c r="CQ169" s="42"/>
      <c r="CR169" s="42"/>
      <c r="CS169" s="42"/>
      <c r="CT169" s="42"/>
      <c r="CU169" s="42"/>
      <c r="CV169" s="42"/>
      <c r="CW169" s="245"/>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row>
    <row r="170" spans="1:131" ht="13.5" thickBot="1">
      <c r="A170" s="246" t="s">
        <v>755</v>
      </c>
      <c r="B170" s="247"/>
      <c r="C170" s="248"/>
      <c r="D170" s="248"/>
      <c r="E170" s="248"/>
      <c r="F170" s="248"/>
      <c r="G170" s="248"/>
      <c r="H170" s="248"/>
      <c r="I170" s="248"/>
      <c r="J170" s="248"/>
      <c r="K170" s="248"/>
      <c r="L170" s="249"/>
      <c r="M170" s="250"/>
      <c r="N170" s="251" t="s">
        <v>788</v>
      </c>
      <c r="O170" s="248"/>
      <c r="P170" s="248"/>
      <c r="Q170" s="248"/>
      <c r="R170" s="248"/>
      <c r="S170" s="248"/>
      <c r="T170" s="248"/>
      <c r="U170" s="248"/>
      <c r="V170" s="248"/>
      <c r="W170" s="248"/>
      <c r="X170" s="248"/>
      <c r="Y170" s="249"/>
      <c r="Z170" s="250"/>
      <c r="AA170" s="251" t="s">
        <v>789</v>
      </c>
      <c r="AB170" s="248"/>
      <c r="AC170" s="248"/>
      <c r="AD170" s="248"/>
      <c r="AE170" s="248"/>
      <c r="AF170" s="248"/>
      <c r="AG170" s="248"/>
      <c r="AH170" s="248"/>
      <c r="AI170" s="248"/>
      <c r="AJ170" s="248"/>
      <c r="AK170" s="248"/>
      <c r="AL170" s="249"/>
      <c r="AM170" s="42"/>
      <c r="AN170" s="42"/>
      <c r="AO170" s="42"/>
      <c r="AP170" s="42"/>
      <c r="AQ170" s="42"/>
      <c r="AR170" s="42"/>
      <c r="AS170" s="245"/>
      <c r="AT170" s="42"/>
      <c r="AU170" s="42"/>
      <c r="AV170" s="42"/>
      <c r="AW170" s="42"/>
      <c r="AX170" s="42"/>
      <c r="AY170" s="42"/>
      <c r="AZ170" s="245"/>
      <c r="BA170" s="42"/>
      <c r="BB170" s="42"/>
      <c r="BC170" s="42"/>
      <c r="BD170" s="42"/>
      <c r="BE170" s="42"/>
      <c r="BF170" s="42"/>
      <c r="BG170" s="42"/>
      <c r="BH170" s="245"/>
      <c r="BI170" s="42"/>
      <c r="BJ170" s="42"/>
      <c r="BK170" s="42"/>
      <c r="BL170" s="42"/>
      <c r="BM170" s="42"/>
      <c r="BN170" s="42"/>
      <c r="BO170" s="42"/>
      <c r="BP170" s="42"/>
      <c r="BQ170" s="42"/>
      <c r="BR170" s="42"/>
      <c r="BS170" s="42"/>
      <c r="BT170" s="42"/>
      <c r="BU170" s="42"/>
      <c r="BV170" s="42"/>
      <c r="BW170" s="42"/>
      <c r="BX170" s="42"/>
      <c r="BY170" s="42"/>
      <c r="BZ170" s="42"/>
      <c r="CA170" s="42"/>
      <c r="CB170" s="42"/>
      <c r="CC170" s="42"/>
      <c r="CD170" s="245"/>
      <c r="CE170" s="42"/>
      <c r="CF170" s="42"/>
      <c r="CG170" s="42"/>
      <c r="CH170" s="42"/>
      <c r="CI170" s="42"/>
      <c r="CJ170" s="42"/>
      <c r="CK170" s="42"/>
      <c r="CL170" s="42"/>
      <c r="CM170" s="42"/>
      <c r="CN170" s="42"/>
      <c r="CO170" s="42"/>
      <c r="CP170" s="42"/>
      <c r="CQ170" s="42"/>
      <c r="CR170" s="42"/>
      <c r="CS170" s="42"/>
      <c r="CT170" s="42"/>
      <c r="CU170" s="42"/>
      <c r="CV170" s="42"/>
      <c r="CW170" s="245"/>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row>
    <row r="171" spans="1:131" ht="102">
      <c r="A171" s="240"/>
      <c r="B171" s="241" t="s">
        <v>756</v>
      </c>
      <c r="C171" s="242" t="s">
        <v>757</v>
      </c>
      <c r="D171" s="242" t="s">
        <v>758</v>
      </c>
      <c r="E171" s="242" t="s">
        <v>759</v>
      </c>
      <c r="F171" s="242" t="s">
        <v>760</v>
      </c>
      <c r="G171" s="242" t="s">
        <v>761</v>
      </c>
      <c r="H171" s="242" t="s">
        <v>762</v>
      </c>
      <c r="I171" s="242" t="s">
        <v>763</v>
      </c>
      <c r="J171" s="242" t="s">
        <v>764</v>
      </c>
      <c r="K171" s="242" t="s">
        <v>734</v>
      </c>
      <c r="L171" s="242" t="s">
        <v>733</v>
      </c>
      <c r="M171" s="242" t="s">
        <v>765</v>
      </c>
      <c r="N171" s="242" t="s">
        <v>766</v>
      </c>
      <c r="O171" s="242" t="s">
        <v>767</v>
      </c>
      <c r="P171" s="242" t="s">
        <v>768</v>
      </c>
      <c r="Q171" s="242" t="s">
        <v>769</v>
      </c>
      <c r="R171" s="242" t="s">
        <v>770</v>
      </c>
      <c r="S171" s="242" t="s">
        <v>771</v>
      </c>
      <c r="T171" s="242" t="s">
        <v>772</v>
      </c>
      <c r="U171" s="242" t="s">
        <v>773</v>
      </c>
      <c r="V171" s="242" t="s">
        <v>774</v>
      </c>
      <c r="W171" s="242" t="s">
        <v>775</v>
      </c>
      <c r="X171" s="242" t="s">
        <v>776</v>
      </c>
      <c r="Y171" s="242" t="s">
        <v>777</v>
      </c>
      <c r="Z171" s="242"/>
      <c r="AA171" s="242" t="s">
        <v>766</v>
      </c>
      <c r="AB171" s="242" t="s">
        <v>767</v>
      </c>
      <c r="AC171" s="242" t="s">
        <v>768</v>
      </c>
      <c r="AD171" s="242" t="s">
        <v>769</v>
      </c>
      <c r="AE171" s="242" t="s">
        <v>770</v>
      </c>
      <c r="AF171" s="242" t="s">
        <v>771</v>
      </c>
      <c r="AG171" s="242" t="s">
        <v>772</v>
      </c>
      <c r="AH171" s="242" t="s">
        <v>773</v>
      </c>
      <c r="AI171" s="242" t="s">
        <v>774</v>
      </c>
      <c r="AJ171" s="242" t="s">
        <v>775</v>
      </c>
      <c r="AK171" s="242" t="s">
        <v>776</v>
      </c>
      <c r="AL171" s="242" t="s">
        <v>777</v>
      </c>
      <c r="AM171" s="42"/>
      <c r="AN171" s="42"/>
      <c r="AO171" s="42"/>
      <c r="AP171" s="42"/>
      <c r="AQ171" s="42"/>
      <c r="AR171" s="42"/>
      <c r="AS171" s="245"/>
      <c r="AT171" s="42"/>
      <c r="AU171" s="42"/>
      <c r="AV171" s="42"/>
      <c r="AW171" s="42"/>
      <c r="AX171" s="42"/>
      <c r="AY171" s="42"/>
      <c r="AZ171" s="245"/>
      <c r="BA171" s="42"/>
      <c r="BB171" s="42"/>
      <c r="BC171" s="42"/>
      <c r="BD171" s="42"/>
      <c r="BE171" s="42"/>
      <c r="BF171" s="42"/>
      <c r="BG171" s="42"/>
      <c r="BH171" s="245"/>
      <c r="BI171" s="42"/>
      <c r="BJ171" s="42"/>
      <c r="BK171" s="42"/>
      <c r="BL171" s="42"/>
      <c r="BM171" s="42"/>
      <c r="BN171" s="42"/>
      <c r="BO171" s="42"/>
      <c r="BP171" s="42"/>
      <c r="BQ171" s="42"/>
      <c r="BR171" s="42"/>
      <c r="BS171" s="42"/>
      <c r="BT171" s="42"/>
      <c r="BU171" s="42"/>
      <c r="BV171" s="42"/>
      <c r="BW171" s="42"/>
      <c r="BX171" s="42"/>
      <c r="BY171" s="42"/>
      <c r="BZ171" s="42"/>
      <c r="CA171" s="42"/>
      <c r="CB171" s="42"/>
      <c r="CC171" s="42"/>
      <c r="CD171" s="245"/>
      <c r="CE171" s="42"/>
      <c r="CF171" s="42"/>
      <c r="CG171" s="42"/>
      <c r="CH171" s="42"/>
      <c r="CI171" s="42"/>
      <c r="CJ171" s="42"/>
      <c r="CK171" s="42"/>
      <c r="CL171" s="42"/>
      <c r="CM171" s="42"/>
      <c r="CN171" s="42"/>
      <c r="CO171" s="42"/>
      <c r="CP171" s="42"/>
      <c r="CQ171" s="42"/>
      <c r="CR171" s="42"/>
      <c r="CS171" s="42"/>
      <c r="CT171" s="42"/>
      <c r="CU171" s="42"/>
      <c r="CV171" s="42"/>
      <c r="CW171" s="245"/>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row>
    <row r="172" spans="1:131">
      <c r="A172" s="18"/>
      <c r="B172" s="252" t="s">
        <v>778</v>
      </c>
      <c r="C172" s="301">
        <v>3146.8830926435921</v>
      </c>
      <c r="D172" s="301">
        <v>541.04795431613354</v>
      </c>
      <c r="E172" s="301">
        <v>0</v>
      </c>
      <c r="F172" s="301">
        <v>541.04795431613354</v>
      </c>
      <c r="G172" s="301">
        <v>1877.0741999937368</v>
      </c>
      <c r="H172" s="301">
        <v>2746.4209509892694</v>
      </c>
      <c r="I172" s="301">
        <v>1506.1188929734806</v>
      </c>
      <c r="J172" s="301">
        <v>-2.3206187979378794</v>
      </c>
      <c r="K172" s="301">
        <v>17.968812010225424</v>
      </c>
      <c r="L172" s="244">
        <v>1.5256695253383756</v>
      </c>
      <c r="M172" s="42">
        <v>41.63626033570592</v>
      </c>
      <c r="N172" s="32">
        <v>197.32572605530279</v>
      </c>
      <c r="O172" s="32">
        <v>177.42783674816465</v>
      </c>
      <c r="P172" s="32">
        <v>204.1738277582854</v>
      </c>
      <c r="Q172" s="32">
        <v>189.94719169446054</v>
      </c>
      <c r="R172" s="32">
        <v>193.92483291880572</v>
      </c>
      <c r="S172" s="32">
        <v>191.95933386603446</v>
      </c>
      <c r="T172" s="32">
        <v>182.36464395153999</v>
      </c>
      <c r="U172" s="32">
        <v>190.01703391436314</v>
      </c>
      <c r="V172" s="32">
        <v>177.53664883674764</v>
      </c>
      <c r="W172" s="32">
        <v>202.42551514046329</v>
      </c>
      <c r="X172" s="32">
        <v>179.13557520851205</v>
      </c>
      <c r="Y172" s="32">
        <v>195.0318126830542</v>
      </c>
      <c r="Z172" s="32"/>
      <c r="AA172" s="32">
        <v>83.776546921360207</v>
      </c>
      <c r="AB172" s="32">
        <v>71.978350230421654</v>
      </c>
      <c r="AC172" s="32">
        <v>69.042391824978438</v>
      </c>
      <c r="AD172" s="32">
        <v>72.091767690895736</v>
      </c>
      <c r="AE172" s="32">
        <v>70.731689957652435</v>
      </c>
      <c r="AF172" s="32">
        <v>62.065096456921808</v>
      </c>
      <c r="AG172" s="32">
        <v>72.872312698724144</v>
      </c>
      <c r="AH172" s="32">
        <v>59.762667442058223</v>
      </c>
      <c r="AI172" s="32">
        <v>73.574326139639084</v>
      </c>
      <c r="AJ172" s="32">
        <v>66.081221930004901</v>
      </c>
      <c r="AK172" s="32">
        <v>79.283887322679078</v>
      </c>
      <c r="AL172" s="32">
        <v>84.352855252521408</v>
      </c>
      <c r="AM172" s="42"/>
      <c r="AN172" s="42"/>
      <c r="AO172" s="42"/>
      <c r="AP172" s="42"/>
      <c r="AQ172" s="42"/>
      <c r="AR172" s="42"/>
      <c r="AS172" s="245"/>
      <c r="AT172" s="42"/>
      <c r="AU172" s="42"/>
      <c r="AV172" s="42"/>
      <c r="AW172" s="42"/>
      <c r="AX172" s="42"/>
      <c r="AY172" s="42"/>
      <c r="AZ172" s="245"/>
      <c r="BA172" s="42"/>
      <c r="BB172" s="42"/>
      <c r="BC172" s="42"/>
      <c r="BD172" s="42"/>
      <c r="BE172" s="42"/>
      <c r="BF172" s="42"/>
      <c r="BG172" s="42"/>
      <c r="BH172" s="245"/>
      <c r="BI172" s="42"/>
      <c r="BJ172" s="42"/>
      <c r="BK172" s="42"/>
      <c r="BL172" s="42"/>
      <c r="BM172" s="42"/>
      <c r="BN172" s="42"/>
      <c r="BO172" s="42"/>
      <c r="BP172" s="42"/>
      <c r="BQ172" s="42"/>
      <c r="BR172" s="42"/>
      <c r="BS172" s="42"/>
      <c r="BT172" s="42"/>
      <c r="BU172" s="42"/>
      <c r="BV172" s="42"/>
      <c r="BW172" s="42"/>
      <c r="BX172" s="42"/>
      <c r="BY172" s="42"/>
      <c r="BZ172" s="42"/>
      <c r="CA172" s="42"/>
      <c r="CB172" s="42"/>
      <c r="CC172" s="42"/>
      <c r="CD172" s="245"/>
      <c r="CE172" s="42"/>
      <c r="CF172" s="42"/>
      <c r="CG172" s="42"/>
      <c r="CH172" s="42"/>
      <c r="CI172" s="42"/>
      <c r="CJ172" s="42"/>
      <c r="CK172" s="42"/>
      <c r="CL172" s="42"/>
      <c r="CM172" s="42"/>
      <c r="CN172" s="42"/>
      <c r="CO172" s="42"/>
      <c r="CP172" s="42"/>
      <c r="CQ172" s="42"/>
      <c r="CR172" s="42"/>
      <c r="CS172" s="42"/>
      <c r="CT172" s="42"/>
      <c r="CU172" s="42"/>
      <c r="CV172" s="42"/>
      <c r="CW172" s="245"/>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row>
    <row r="173" spans="1:131">
      <c r="A173" s="18"/>
      <c r="B173" s="252" t="s">
        <v>779</v>
      </c>
      <c r="C173" s="301">
        <v>2524.4196623319754</v>
      </c>
      <c r="D173" s="301">
        <v>410.87224507512053</v>
      </c>
      <c r="E173" s="301">
        <v>82.174449015024123</v>
      </c>
      <c r="F173" s="301">
        <v>493.04669409014468</v>
      </c>
      <c r="G173" s="301">
        <v>1507.6260833324131</v>
      </c>
      <c r="H173" s="301">
        <v>2243.3320923624092</v>
      </c>
      <c r="I173" s="301">
        <v>1710.9235459843615</v>
      </c>
      <c r="J173" s="301">
        <v>-0.37099521316218143</v>
      </c>
      <c r="K173" s="301">
        <v>16.851896277829319</v>
      </c>
      <c r="L173" s="244">
        <v>1.527336953709026</v>
      </c>
      <c r="M173" s="42">
        <v>34.123519911712052</v>
      </c>
      <c r="N173" s="32">
        <v>19.278520293821742</v>
      </c>
      <c r="O173" s="32">
        <v>17.334516992881795</v>
      </c>
      <c r="P173" s="32">
        <v>19.947572780257826</v>
      </c>
      <c r="Q173" s="32">
        <v>18.557645082779612</v>
      </c>
      <c r="R173" s="32">
        <v>18.946256535518362</v>
      </c>
      <c r="S173" s="32">
        <v>18.754229301493556</v>
      </c>
      <c r="T173" s="32">
        <v>17.816837974334977</v>
      </c>
      <c r="U173" s="32">
        <v>18.564468595763312</v>
      </c>
      <c r="V173" s="32">
        <v>17.345147821917084</v>
      </c>
      <c r="W173" s="32">
        <v>19.776764437339665</v>
      </c>
      <c r="X173" s="32">
        <v>17.501361282384718</v>
      </c>
      <c r="Y173" s="32">
        <v>19.05440731887812</v>
      </c>
      <c r="Z173" s="32"/>
      <c r="AA173" s="32">
        <v>8.1848823884074022</v>
      </c>
      <c r="AB173" s="32">
        <v>7.0322107176440412</v>
      </c>
      <c r="AC173" s="32">
        <v>6.7453706039262284</v>
      </c>
      <c r="AD173" s="32">
        <v>7.0432914867719916</v>
      </c>
      <c r="AE173" s="32">
        <v>6.9104132923993129</v>
      </c>
      <c r="AF173" s="32">
        <v>6.0636960294139834</v>
      </c>
      <c r="AG173" s="32">
        <v>7.1195499304857313</v>
      </c>
      <c r="AH173" s="32">
        <v>5.8387510849535147</v>
      </c>
      <c r="AI173" s="32">
        <v>7.1881359209582589</v>
      </c>
      <c r="AJ173" s="32">
        <v>6.4560673536358824</v>
      </c>
      <c r="AK173" s="32">
        <v>7.7459541706942545</v>
      </c>
      <c r="AL173" s="32">
        <v>8.2411871190671881</v>
      </c>
      <c r="AM173" s="42"/>
      <c r="AN173" s="42"/>
      <c r="AO173" s="42"/>
      <c r="AP173" s="42"/>
      <c r="AQ173" s="42"/>
      <c r="AR173" s="42"/>
      <c r="AS173" s="245"/>
      <c r="AT173" s="42"/>
      <c r="AU173" s="42"/>
      <c r="AV173" s="42"/>
      <c r="AW173" s="42"/>
      <c r="AX173" s="42"/>
      <c r="AY173" s="42"/>
      <c r="AZ173" s="245"/>
      <c r="BA173" s="42"/>
      <c r="BB173" s="42"/>
      <c r="BC173" s="42"/>
      <c r="BD173" s="42"/>
      <c r="BE173" s="42"/>
      <c r="BF173" s="42"/>
      <c r="BG173" s="42"/>
      <c r="BH173" s="245"/>
      <c r="BI173" s="42"/>
      <c r="BJ173" s="42"/>
      <c r="BK173" s="42"/>
      <c r="BL173" s="42"/>
      <c r="BM173" s="42"/>
      <c r="BN173" s="42"/>
      <c r="BO173" s="42"/>
      <c r="BP173" s="42"/>
      <c r="BQ173" s="42"/>
      <c r="BR173" s="42"/>
      <c r="BS173" s="42"/>
      <c r="BT173" s="42"/>
      <c r="BU173" s="42"/>
      <c r="BV173" s="42"/>
      <c r="BW173" s="42"/>
      <c r="BX173" s="42"/>
      <c r="BY173" s="42"/>
      <c r="BZ173" s="42"/>
      <c r="CA173" s="42"/>
      <c r="CB173" s="42"/>
      <c r="CC173" s="42"/>
      <c r="CD173" s="245"/>
      <c r="CE173" s="42"/>
      <c r="CF173" s="42"/>
      <c r="CG173" s="42"/>
      <c r="CH173" s="42"/>
      <c r="CI173" s="42"/>
      <c r="CJ173" s="42"/>
      <c r="CK173" s="42"/>
      <c r="CL173" s="42"/>
      <c r="CM173" s="42"/>
      <c r="CN173" s="42"/>
      <c r="CO173" s="42"/>
      <c r="CP173" s="42"/>
      <c r="CQ173" s="42"/>
      <c r="CR173" s="42"/>
      <c r="CS173" s="42"/>
      <c r="CT173" s="42"/>
      <c r="CU173" s="42"/>
      <c r="CV173" s="42"/>
      <c r="CW173" s="245"/>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row>
    <row r="174" spans="1:131">
      <c r="A174" s="18"/>
      <c r="B174" s="252" t="s">
        <v>780</v>
      </c>
      <c r="C174" s="253"/>
      <c r="D174" s="253"/>
      <c r="E174" s="253"/>
      <c r="F174" s="253"/>
      <c r="G174" s="253"/>
      <c r="H174" s="253"/>
      <c r="I174" s="253"/>
      <c r="J174" s="253"/>
      <c r="K174" s="253"/>
      <c r="L174" s="245"/>
      <c r="M174" s="254"/>
      <c r="N174" s="254"/>
      <c r="O174" s="254"/>
      <c r="P174" s="254"/>
      <c r="Q174" s="254"/>
      <c r="R174" s="254"/>
      <c r="S174" s="254"/>
      <c r="T174" s="254"/>
      <c r="U174" s="254"/>
      <c r="V174" s="254"/>
      <c r="W174" s="254"/>
      <c r="X174" s="254"/>
      <c r="Y174" s="254"/>
      <c r="Z174" s="254"/>
      <c r="AA174" s="254"/>
      <c r="AB174" s="254"/>
      <c r="AC174" s="254"/>
      <c r="AD174" s="254"/>
      <c r="AE174" s="254"/>
      <c r="AF174" s="254"/>
      <c r="AG174" s="254"/>
      <c r="AH174" s="254"/>
      <c r="AI174" s="254"/>
      <c r="AJ174" s="254"/>
      <c r="AK174" s="254"/>
      <c r="AL174" s="254"/>
      <c r="AM174" s="42"/>
      <c r="AN174" s="42"/>
      <c r="AO174" s="42"/>
      <c r="AP174" s="42"/>
      <c r="AQ174" s="42"/>
      <c r="AR174" s="42"/>
      <c r="AS174" s="245"/>
      <c r="AT174" s="42"/>
      <c r="AU174" s="42"/>
      <c r="AV174" s="42"/>
      <c r="AW174" s="42"/>
      <c r="AX174" s="42"/>
      <c r="AY174" s="42"/>
      <c r="AZ174" s="245"/>
      <c r="BA174" s="42"/>
      <c r="BB174" s="42"/>
      <c r="BC174" s="42"/>
      <c r="BD174" s="42"/>
      <c r="BE174" s="42"/>
      <c r="BF174" s="42"/>
      <c r="BG174" s="42"/>
      <c r="BH174" s="245"/>
      <c r="BI174" s="42"/>
      <c r="BJ174" s="42"/>
      <c r="BK174" s="42"/>
      <c r="BL174" s="42"/>
      <c r="BM174" s="42"/>
      <c r="BN174" s="42"/>
      <c r="BO174" s="42"/>
      <c r="BP174" s="42"/>
      <c r="BQ174" s="42"/>
      <c r="BR174" s="42"/>
      <c r="BS174" s="42"/>
      <c r="BT174" s="42"/>
      <c r="BU174" s="42"/>
      <c r="BV174" s="42"/>
      <c r="BW174" s="42"/>
      <c r="BX174" s="42"/>
      <c r="BY174" s="42"/>
      <c r="BZ174" s="42"/>
      <c r="CA174" s="42"/>
      <c r="CB174" s="42"/>
      <c r="CC174" s="42"/>
      <c r="CD174" s="245"/>
      <c r="CE174" s="42"/>
      <c r="CF174" s="42"/>
      <c r="CG174" s="42"/>
      <c r="CH174" s="42"/>
      <c r="CI174" s="42"/>
      <c r="CJ174" s="42"/>
      <c r="CK174" s="42"/>
      <c r="CL174" s="42"/>
      <c r="CM174" s="42"/>
      <c r="CN174" s="42"/>
      <c r="CO174" s="42"/>
      <c r="CP174" s="42"/>
      <c r="CQ174" s="42"/>
      <c r="CR174" s="42"/>
      <c r="CS174" s="42"/>
      <c r="CT174" s="42"/>
      <c r="CU174" s="42"/>
      <c r="CV174" s="42"/>
      <c r="CW174" s="245"/>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row>
    <row r="175" spans="1:131">
      <c r="A175" s="18"/>
      <c r="B175" s="18" t="s">
        <v>47</v>
      </c>
      <c r="C175" s="254">
        <v>0</v>
      </c>
      <c r="D175" s="254">
        <v>0</v>
      </c>
      <c r="E175" s="254">
        <v>0</v>
      </c>
      <c r="F175" s="254">
        <v>0</v>
      </c>
      <c r="G175" s="254">
        <v>0</v>
      </c>
      <c r="H175" s="254">
        <v>0</v>
      </c>
      <c r="I175" s="254">
        <v>0</v>
      </c>
      <c r="J175" s="254">
        <v>0</v>
      </c>
      <c r="K175" s="254">
        <v>0</v>
      </c>
      <c r="L175" s="245">
        <v>0</v>
      </c>
      <c r="M175" s="254">
        <v>0</v>
      </c>
      <c r="N175" s="254">
        <v>0</v>
      </c>
      <c r="O175" s="254">
        <v>0</v>
      </c>
      <c r="P175" s="254">
        <v>0</v>
      </c>
      <c r="Q175" s="254">
        <v>0</v>
      </c>
      <c r="R175" s="254">
        <v>0</v>
      </c>
      <c r="S175" s="254">
        <v>0</v>
      </c>
      <c r="T175" s="254">
        <v>0</v>
      </c>
      <c r="U175" s="254">
        <v>0</v>
      </c>
      <c r="V175" s="254">
        <v>0</v>
      </c>
      <c r="W175" s="254">
        <v>0</v>
      </c>
      <c r="X175" s="254">
        <v>0</v>
      </c>
      <c r="Y175" s="254">
        <v>0</v>
      </c>
      <c r="Z175" s="254"/>
      <c r="AA175" s="254">
        <v>0</v>
      </c>
      <c r="AB175" s="254">
        <v>0</v>
      </c>
      <c r="AC175" s="254">
        <v>0</v>
      </c>
      <c r="AD175" s="254">
        <v>0</v>
      </c>
      <c r="AE175" s="254">
        <v>0</v>
      </c>
      <c r="AF175" s="254">
        <v>0</v>
      </c>
      <c r="AG175" s="254">
        <v>0</v>
      </c>
      <c r="AH175" s="254">
        <v>0</v>
      </c>
      <c r="AI175" s="254">
        <v>0</v>
      </c>
      <c r="AJ175" s="254">
        <v>0</v>
      </c>
      <c r="AK175" s="254">
        <v>0</v>
      </c>
      <c r="AL175" s="254">
        <v>0</v>
      </c>
      <c r="AM175" s="42"/>
      <c r="AN175" s="42"/>
      <c r="AO175" s="42"/>
      <c r="AP175" s="42"/>
      <c r="AQ175" s="42"/>
      <c r="AR175" s="42"/>
      <c r="AS175" s="245"/>
      <c r="AT175" s="42"/>
      <c r="AU175" s="42"/>
      <c r="AV175" s="42"/>
      <c r="AW175" s="42"/>
      <c r="AX175" s="42"/>
      <c r="AY175" s="42"/>
      <c r="AZ175" s="245"/>
      <c r="BA175" s="42"/>
      <c r="BB175" s="42"/>
      <c r="BC175" s="42"/>
      <c r="BD175" s="42"/>
      <c r="BE175" s="42"/>
      <c r="BF175" s="42"/>
      <c r="BG175" s="42"/>
      <c r="BH175" s="245"/>
      <c r="BI175" s="42"/>
      <c r="BJ175" s="42"/>
      <c r="BK175" s="42"/>
      <c r="BL175" s="42"/>
      <c r="BM175" s="42"/>
      <c r="BN175" s="42"/>
      <c r="BO175" s="42"/>
      <c r="BP175" s="42"/>
      <c r="BQ175" s="42"/>
      <c r="BR175" s="42"/>
      <c r="BS175" s="42"/>
      <c r="BT175" s="42"/>
      <c r="BU175" s="42"/>
      <c r="BV175" s="42"/>
      <c r="BW175" s="42"/>
      <c r="BX175" s="42"/>
      <c r="BY175" s="42"/>
      <c r="BZ175" s="42"/>
      <c r="CA175" s="42"/>
      <c r="CB175" s="42"/>
      <c r="CC175" s="42"/>
      <c r="CD175" s="245"/>
      <c r="CE175" s="42"/>
      <c r="CF175" s="42"/>
      <c r="CG175" s="42"/>
      <c r="CH175" s="42"/>
      <c r="CI175" s="42"/>
      <c r="CJ175" s="42"/>
      <c r="CK175" s="42"/>
      <c r="CL175" s="42"/>
      <c r="CM175" s="42"/>
      <c r="CN175" s="42"/>
      <c r="CO175" s="42"/>
      <c r="CP175" s="42"/>
      <c r="CQ175" s="42"/>
      <c r="CR175" s="42"/>
      <c r="CS175" s="42"/>
      <c r="CT175" s="42"/>
      <c r="CU175" s="42"/>
      <c r="CV175" s="42"/>
      <c r="CW175" s="245"/>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row>
    <row r="176" spans="1:131">
      <c r="A176" s="18"/>
      <c r="B176" s="18" t="s">
        <v>50</v>
      </c>
      <c r="C176" s="254">
        <v>0</v>
      </c>
      <c r="D176" s="254">
        <v>0</v>
      </c>
      <c r="E176" s="254">
        <v>0</v>
      </c>
      <c r="F176" s="254">
        <v>0</v>
      </c>
      <c r="G176" s="254">
        <v>0</v>
      </c>
      <c r="H176" s="254">
        <v>0</v>
      </c>
      <c r="I176" s="254">
        <v>0</v>
      </c>
      <c r="J176" s="254">
        <v>0</v>
      </c>
      <c r="K176" s="254">
        <v>0</v>
      </c>
      <c r="L176" s="255">
        <v>0</v>
      </c>
      <c r="M176" s="254">
        <v>0</v>
      </c>
      <c r="N176" s="254">
        <v>0</v>
      </c>
      <c r="O176" s="254">
        <v>0</v>
      </c>
      <c r="P176" s="254">
        <v>0</v>
      </c>
      <c r="Q176" s="254">
        <v>0</v>
      </c>
      <c r="R176" s="254">
        <v>0</v>
      </c>
      <c r="S176" s="254">
        <v>0</v>
      </c>
      <c r="T176" s="254">
        <v>0</v>
      </c>
      <c r="U176" s="254">
        <v>0</v>
      </c>
      <c r="V176" s="254">
        <v>0</v>
      </c>
      <c r="W176" s="254">
        <v>0</v>
      </c>
      <c r="X176" s="254">
        <v>0</v>
      </c>
      <c r="Y176" s="254">
        <v>0</v>
      </c>
      <c r="Z176" s="254"/>
      <c r="AA176" s="254">
        <v>0</v>
      </c>
      <c r="AB176" s="254">
        <v>0</v>
      </c>
      <c r="AC176" s="254">
        <v>0</v>
      </c>
      <c r="AD176" s="254">
        <v>0</v>
      </c>
      <c r="AE176" s="254">
        <v>0</v>
      </c>
      <c r="AF176" s="254">
        <v>0</v>
      </c>
      <c r="AG176" s="254">
        <v>0</v>
      </c>
      <c r="AH176" s="254">
        <v>0</v>
      </c>
      <c r="AI176" s="254">
        <v>0</v>
      </c>
      <c r="AJ176" s="254">
        <v>0</v>
      </c>
      <c r="AK176" s="254">
        <v>0</v>
      </c>
      <c r="AL176" s="254">
        <v>0</v>
      </c>
      <c r="AM176" s="42"/>
      <c r="AN176" s="42"/>
      <c r="AO176" s="42"/>
      <c r="AP176" s="42"/>
      <c r="AQ176" s="42"/>
      <c r="AR176" s="42"/>
      <c r="AS176" s="245"/>
      <c r="AT176" s="42"/>
      <c r="AU176" s="42"/>
      <c r="AV176" s="42"/>
      <c r="AW176" s="42"/>
      <c r="AX176" s="42"/>
      <c r="AY176" s="42"/>
      <c r="AZ176" s="245"/>
      <c r="BA176" s="42"/>
      <c r="BB176" s="42"/>
      <c r="BC176" s="42"/>
      <c r="BD176" s="42"/>
      <c r="BE176" s="42"/>
      <c r="BF176" s="42"/>
      <c r="BG176" s="42"/>
      <c r="BH176" s="245"/>
      <c r="BI176" s="42"/>
      <c r="BJ176" s="42"/>
      <c r="BK176" s="42"/>
      <c r="BL176" s="42"/>
      <c r="BM176" s="42"/>
      <c r="BN176" s="42"/>
      <c r="BO176" s="42"/>
      <c r="BP176" s="42"/>
      <c r="BQ176" s="42"/>
      <c r="BR176" s="42"/>
      <c r="BS176" s="42"/>
      <c r="BT176" s="42"/>
      <c r="BU176" s="42"/>
      <c r="BV176" s="42"/>
      <c r="BW176" s="42"/>
      <c r="BX176" s="42"/>
      <c r="BY176" s="42"/>
      <c r="BZ176" s="42"/>
      <c r="CA176" s="42"/>
      <c r="CB176" s="42"/>
      <c r="CC176" s="42"/>
      <c r="CD176" s="245"/>
      <c r="CE176" s="42"/>
      <c r="CF176" s="42"/>
      <c r="CG176" s="42"/>
      <c r="CH176" s="42"/>
      <c r="CI176" s="42"/>
      <c r="CJ176" s="42"/>
      <c r="CK176" s="42"/>
      <c r="CL176" s="42"/>
      <c r="CM176" s="42"/>
      <c r="CN176" s="42"/>
      <c r="CO176" s="42"/>
      <c r="CP176" s="42"/>
      <c r="CQ176" s="42"/>
      <c r="CR176" s="42"/>
      <c r="CS176" s="42"/>
      <c r="CT176" s="42"/>
      <c r="CU176" s="42"/>
      <c r="CV176" s="42"/>
      <c r="CW176" s="245"/>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row>
    <row r="177" spans="1:131">
      <c r="A177" s="18"/>
      <c r="B177" s="18" t="s">
        <v>53</v>
      </c>
      <c r="C177" s="42">
        <v>1793.5958221914941</v>
      </c>
      <c r="D177" s="42">
        <v>259.22237866964605</v>
      </c>
      <c r="E177" s="42">
        <v>51.844475733929222</v>
      </c>
      <c r="F177" s="42">
        <v>311.06685440357529</v>
      </c>
      <c r="G177" s="42">
        <v>951.1725947669637</v>
      </c>
      <c r="H177" s="42">
        <v>1583.8197245026306</v>
      </c>
      <c r="I177" s="42">
        <v>1519.2640453666208</v>
      </c>
      <c r="J177" s="42">
        <v>-1.5250550715490598</v>
      </c>
      <c r="K177" s="42">
        <v>12.342079435492787</v>
      </c>
      <c r="L177" s="244">
        <v>1.6645622740561559</v>
      </c>
      <c r="M177" s="42">
        <v>24.063520134368691</v>
      </c>
      <c r="N177" s="32">
        <v>112.46766640014449</v>
      </c>
      <c r="O177" s="32">
        <v>101.12667594036519</v>
      </c>
      <c r="P177" s="32">
        <v>116.37080682284565</v>
      </c>
      <c r="Q177" s="32">
        <v>108.26220086046806</v>
      </c>
      <c r="R177" s="32">
        <v>110.52929514777723</v>
      </c>
      <c r="S177" s="32">
        <v>109.40904034777759</v>
      </c>
      <c r="T177" s="32">
        <v>103.94045596150359</v>
      </c>
      <c r="U177" s="32">
        <v>108.30200809516406</v>
      </c>
      <c r="V177" s="32">
        <v>101.18869442079189</v>
      </c>
      <c r="W177" s="32">
        <v>115.37433948837719</v>
      </c>
      <c r="X177" s="32">
        <v>102.10001764951065</v>
      </c>
      <c r="Y177" s="32">
        <v>111.16022874840827</v>
      </c>
      <c r="Z177" s="32"/>
      <c r="AA177" s="32">
        <v>47.749236349785022</v>
      </c>
      <c r="AB177" s="32">
        <v>41.024742407277607</v>
      </c>
      <c r="AC177" s="32">
        <v>39.351365108184105</v>
      </c>
      <c r="AD177" s="32">
        <v>41.089385763030307</v>
      </c>
      <c r="AE177" s="32">
        <v>40.314196577927277</v>
      </c>
      <c r="AF177" s="32">
        <v>35.374589532505041</v>
      </c>
      <c r="AG177" s="32">
        <v>41.534264782637415</v>
      </c>
      <c r="AH177" s="32">
        <v>34.06229830961037</v>
      </c>
      <c r="AI177" s="32">
        <v>41.934383991924435</v>
      </c>
      <c r="AJ177" s="32">
        <v>37.663618281859506</v>
      </c>
      <c r="AK177" s="32">
        <v>45.188602462380693</v>
      </c>
      <c r="AL177" s="32">
        <v>48.077708741238453</v>
      </c>
      <c r="AM177" s="42"/>
      <c r="AN177" s="42"/>
      <c r="AO177" s="42"/>
      <c r="AP177" s="42"/>
      <c r="AQ177" s="42"/>
      <c r="AR177" s="42"/>
      <c r="AS177" s="245"/>
      <c r="AT177" s="42"/>
      <c r="AU177" s="42"/>
      <c r="AV177" s="42"/>
      <c r="AW177" s="42"/>
      <c r="AX177" s="42"/>
      <c r="AY177" s="42"/>
      <c r="AZ177" s="245"/>
      <c r="BA177" s="42"/>
      <c r="BB177" s="42"/>
      <c r="BC177" s="42"/>
      <c r="BD177" s="42"/>
      <c r="BE177" s="42"/>
      <c r="BF177" s="42"/>
      <c r="BG177" s="42"/>
      <c r="BH177" s="245"/>
      <c r="BI177" s="42"/>
      <c r="BJ177" s="42"/>
      <c r="BK177" s="42"/>
      <c r="BL177" s="42"/>
      <c r="BM177" s="42"/>
      <c r="BN177" s="42"/>
      <c r="BO177" s="42"/>
      <c r="BP177" s="42"/>
      <c r="BQ177" s="42"/>
      <c r="BR177" s="42"/>
      <c r="BS177" s="42"/>
      <c r="BT177" s="42"/>
      <c r="BU177" s="42"/>
      <c r="BV177" s="42"/>
      <c r="BW177" s="42"/>
      <c r="BX177" s="42"/>
      <c r="BY177" s="42"/>
      <c r="BZ177" s="42"/>
      <c r="CA177" s="42"/>
      <c r="CB177" s="42"/>
      <c r="CC177" s="42"/>
      <c r="CD177" s="245"/>
      <c r="CE177" s="42"/>
      <c r="CF177" s="42"/>
      <c r="CG177" s="42"/>
      <c r="CH177" s="42"/>
      <c r="CI177" s="42"/>
      <c r="CJ177" s="42"/>
      <c r="CK177" s="42"/>
      <c r="CL177" s="42"/>
      <c r="CM177" s="42"/>
      <c r="CN177" s="42"/>
      <c r="CO177" s="42"/>
      <c r="CP177" s="42"/>
      <c r="CQ177" s="42"/>
      <c r="CR177" s="42"/>
      <c r="CS177" s="42"/>
      <c r="CT177" s="42"/>
      <c r="CU177" s="42"/>
      <c r="CV177" s="42"/>
      <c r="CW177" s="245"/>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row>
    <row r="178" spans="1:131">
      <c r="A178" s="18"/>
      <c r="B178" s="18" t="s">
        <v>56</v>
      </c>
      <c r="C178" s="42">
        <v>438.9566741127656</v>
      </c>
      <c r="D178" s="42">
        <v>89.439394882784001</v>
      </c>
      <c r="E178" s="42">
        <v>17.887878976556802</v>
      </c>
      <c r="F178" s="42">
        <v>107.32727385934081</v>
      </c>
      <c r="G178" s="42">
        <v>328.1827045243698</v>
      </c>
      <c r="H178" s="42">
        <v>408.83975195525466</v>
      </c>
      <c r="I178" s="42">
        <v>2141.8672375996189</v>
      </c>
      <c r="J178" s="42">
        <v>2.2238921475752549</v>
      </c>
      <c r="K178" s="42">
        <v>24.775806601100683</v>
      </c>
      <c r="L178" s="244">
        <v>1.2485294513849525</v>
      </c>
      <c r="M178" s="42">
        <v>6.2712769222319391</v>
      </c>
      <c r="N178" s="32">
        <v>27.524837077235684</v>
      </c>
      <c r="O178" s="32">
        <v>24.749293450418612</v>
      </c>
      <c r="P178" s="32">
        <v>28.480074325976933</v>
      </c>
      <c r="Q178" s="32">
        <v>26.495610122337524</v>
      </c>
      <c r="R178" s="32">
        <v>27.050448707454969</v>
      </c>
      <c r="S178" s="32">
        <v>26.776282524035857</v>
      </c>
      <c r="T178" s="32">
        <v>25.43792547357684</v>
      </c>
      <c r="U178" s="32">
        <v>26.505352368127568</v>
      </c>
      <c r="V178" s="32">
        <v>24.764471577823244</v>
      </c>
      <c r="W178" s="32">
        <v>28.236203336990211</v>
      </c>
      <c r="X178" s="32">
        <v>24.987504776591138</v>
      </c>
      <c r="Y178" s="32">
        <v>27.204860594175692</v>
      </c>
      <c r="Z178" s="32"/>
      <c r="AA178" s="32">
        <v>11.685935995276989</v>
      </c>
      <c r="AB178" s="32">
        <v>10.040213218956119</v>
      </c>
      <c r="AC178" s="32">
        <v>9.6306782921584038</v>
      </c>
      <c r="AD178" s="32">
        <v>10.056033746687961</v>
      </c>
      <c r="AE178" s="32">
        <v>9.8663173890275999</v>
      </c>
      <c r="AF178" s="32">
        <v>8.6574199031752759</v>
      </c>
      <c r="AG178" s="32">
        <v>10.164911461730071</v>
      </c>
      <c r="AH178" s="32">
        <v>8.3362555786702224</v>
      </c>
      <c r="AI178" s="32">
        <v>10.262834859623952</v>
      </c>
      <c r="AJ178" s="32">
        <v>9.2176266310976516</v>
      </c>
      <c r="AK178" s="32">
        <v>11.059257832377341</v>
      </c>
      <c r="AL178" s="32">
        <v>11.766324869239735</v>
      </c>
      <c r="AM178" s="42"/>
      <c r="AN178" s="42"/>
      <c r="AO178" s="42"/>
      <c r="AP178" s="42"/>
      <c r="AQ178" s="42"/>
      <c r="AR178" s="42"/>
      <c r="AS178" s="245"/>
      <c r="AT178" s="42"/>
      <c r="AU178" s="42"/>
      <c r="AV178" s="42"/>
      <c r="AW178" s="42"/>
      <c r="AX178" s="42"/>
      <c r="AY178" s="42"/>
      <c r="AZ178" s="245"/>
      <c r="BA178" s="42"/>
      <c r="BB178" s="42"/>
      <c r="BC178" s="42"/>
      <c r="BD178" s="42"/>
      <c r="BE178" s="42"/>
      <c r="BF178" s="42"/>
      <c r="BG178" s="42"/>
      <c r="BH178" s="245"/>
      <c r="BI178" s="42"/>
      <c r="BJ178" s="42"/>
      <c r="BK178" s="42"/>
      <c r="BL178" s="42"/>
      <c r="BM178" s="42"/>
      <c r="BN178" s="42"/>
      <c r="BO178" s="42"/>
      <c r="BP178" s="42"/>
      <c r="BQ178" s="42"/>
      <c r="BR178" s="42"/>
      <c r="BS178" s="42"/>
      <c r="BT178" s="42"/>
      <c r="BU178" s="42"/>
      <c r="BV178" s="42"/>
      <c r="BW178" s="42"/>
      <c r="BX178" s="42"/>
      <c r="BY178" s="42"/>
      <c r="BZ178" s="42"/>
      <c r="CA178" s="42"/>
      <c r="CB178" s="42"/>
      <c r="CC178" s="42"/>
      <c r="CD178" s="245"/>
      <c r="CE178" s="42"/>
      <c r="CF178" s="42"/>
      <c r="CG178" s="42"/>
      <c r="CH178" s="42"/>
      <c r="CI178" s="42"/>
      <c r="CJ178" s="42"/>
      <c r="CK178" s="42"/>
      <c r="CL178" s="42"/>
      <c r="CM178" s="42"/>
      <c r="CN178" s="42"/>
      <c r="CO178" s="42"/>
      <c r="CP178" s="42"/>
      <c r="CQ178" s="42"/>
      <c r="CR178" s="42"/>
      <c r="CS178" s="42"/>
      <c r="CT178" s="42"/>
      <c r="CU178" s="42"/>
      <c r="CV178" s="42"/>
      <c r="CW178" s="245"/>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row>
    <row r="179" spans="1:131">
      <c r="A179" s="18"/>
      <c r="B179" s="18" t="s">
        <v>59</v>
      </c>
      <c r="C179" s="42">
        <v>1017.3758145910955</v>
      </c>
      <c r="D179" s="42">
        <v>220.33385958073814</v>
      </c>
      <c r="E179" s="42">
        <v>44.06677191614763</v>
      </c>
      <c r="F179" s="42">
        <v>264.40063149688575</v>
      </c>
      <c r="G179" s="42">
        <v>808.47776340913174</v>
      </c>
      <c r="H179" s="42">
        <v>822.33912110226402</v>
      </c>
      <c r="I179" s="42">
        <v>2276.5918932755717</v>
      </c>
      <c r="J179" s="42">
        <v>3.0351241321597966</v>
      </c>
      <c r="K179" s="42">
        <v>37.293721821447257</v>
      </c>
      <c r="L179" s="244">
        <v>1.0191578402794039</v>
      </c>
      <c r="M179" s="42">
        <v>12.280402116219468</v>
      </c>
      <c r="N179" s="32">
        <v>63.794686798055153</v>
      </c>
      <c r="O179" s="32">
        <v>57.361771832190591</v>
      </c>
      <c r="P179" s="32">
        <v>66.008653076230985</v>
      </c>
      <c r="Q179" s="32">
        <v>61.409233578201309</v>
      </c>
      <c r="R179" s="32">
        <v>62.695190463676113</v>
      </c>
      <c r="S179" s="32">
        <v>62.059751795946241</v>
      </c>
      <c r="T179" s="32">
        <v>58.95782357677377</v>
      </c>
      <c r="U179" s="32">
        <v>61.431813312902065</v>
      </c>
      <c r="V179" s="32">
        <v>57.396950383156835</v>
      </c>
      <c r="W179" s="32">
        <v>65.443429989973112</v>
      </c>
      <c r="X179" s="32">
        <v>57.913877441472962</v>
      </c>
      <c r="Y179" s="32">
        <v>63.053072979877896</v>
      </c>
      <c r="Z179" s="32"/>
      <c r="AA179" s="32">
        <v>27.084651751758337</v>
      </c>
      <c r="AB179" s="32">
        <v>23.270337836758063</v>
      </c>
      <c r="AC179" s="32">
        <v>22.321153203453463</v>
      </c>
      <c r="AD179" s="32">
        <v>23.307005287642536</v>
      </c>
      <c r="AE179" s="32">
        <v>22.867297122124633</v>
      </c>
      <c r="AF179" s="32">
        <v>20.065419085044873</v>
      </c>
      <c r="AG179" s="32">
        <v>23.55935263890602</v>
      </c>
      <c r="AH179" s="32">
        <v>19.321052190700783</v>
      </c>
      <c r="AI179" s="32">
        <v>23.786311021304876</v>
      </c>
      <c r="AJ179" s="32">
        <v>21.363817787630776</v>
      </c>
      <c r="AK179" s="32">
        <v>25.632191306191235</v>
      </c>
      <c r="AL179" s="32">
        <v>27.270970131122812</v>
      </c>
      <c r="AM179" s="42"/>
      <c r="AN179" s="42"/>
      <c r="AO179" s="42"/>
      <c r="AP179" s="42"/>
      <c r="AQ179" s="42"/>
      <c r="AR179" s="42"/>
      <c r="AS179" s="245"/>
      <c r="AT179" s="42"/>
      <c r="AU179" s="42"/>
      <c r="AV179" s="42"/>
      <c r="AW179" s="42"/>
      <c r="AX179" s="42"/>
      <c r="AY179" s="42"/>
      <c r="AZ179" s="245"/>
      <c r="BA179" s="42"/>
      <c r="BB179" s="42"/>
      <c r="BC179" s="42"/>
      <c r="BD179" s="42"/>
      <c r="BE179" s="42"/>
      <c r="BF179" s="42"/>
      <c r="BG179" s="42"/>
      <c r="BH179" s="245"/>
      <c r="BI179" s="42"/>
      <c r="BJ179" s="42"/>
      <c r="BK179" s="42"/>
      <c r="BL179" s="42"/>
      <c r="BM179" s="42"/>
      <c r="BN179" s="42"/>
      <c r="BO179" s="42"/>
      <c r="BP179" s="42"/>
      <c r="BQ179" s="42"/>
      <c r="BR179" s="42"/>
      <c r="BS179" s="42"/>
      <c r="BT179" s="42"/>
      <c r="BU179" s="42"/>
      <c r="BV179" s="42"/>
      <c r="BW179" s="42"/>
      <c r="BX179" s="42"/>
      <c r="BY179" s="42"/>
      <c r="BZ179" s="42"/>
      <c r="CA179" s="42"/>
      <c r="CB179" s="42"/>
      <c r="CC179" s="42"/>
      <c r="CD179" s="245"/>
      <c r="CE179" s="42"/>
      <c r="CF179" s="42"/>
      <c r="CG179" s="42"/>
      <c r="CH179" s="42"/>
      <c r="CI179" s="42"/>
      <c r="CJ179" s="42"/>
      <c r="CK179" s="42"/>
      <c r="CL179" s="42"/>
      <c r="CM179" s="42"/>
      <c r="CN179" s="42"/>
      <c r="CO179" s="42"/>
      <c r="CP179" s="42"/>
      <c r="CQ179" s="42"/>
      <c r="CR179" s="42"/>
      <c r="CS179" s="42"/>
      <c r="CT179" s="42"/>
      <c r="CU179" s="42"/>
      <c r="CV179" s="42"/>
      <c r="CW179" s="245"/>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row>
    <row r="180" spans="1:131">
      <c r="A180" s="18"/>
      <c r="B180" s="18" t="s">
        <v>62</v>
      </c>
      <c r="C180" s="42">
        <v>1049.307382044939</v>
      </c>
      <c r="D180" s="42">
        <v>263.35211244063186</v>
      </c>
      <c r="E180" s="42">
        <v>52.670422488126384</v>
      </c>
      <c r="F180" s="42">
        <v>316.02253492875826</v>
      </c>
      <c r="G180" s="42">
        <v>966.3259530796397</v>
      </c>
      <c r="H180" s="42">
        <v>904.33297425828323</v>
      </c>
      <c r="I180" s="42">
        <v>2638.2711618599487</v>
      </c>
      <c r="J180" s="42">
        <v>5.2129422112982082</v>
      </c>
      <c r="K180" s="42">
        <v>42.643447828572114</v>
      </c>
      <c r="L180" s="245">
        <v>0.93679073855419359</v>
      </c>
      <c r="M180" s="42">
        <v>13.677325972985015</v>
      </c>
      <c r="N180" s="32">
        <v>65.796960014573131</v>
      </c>
      <c r="O180" s="32">
        <v>59.162140250883297</v>
      </c>
      <c r="P180" s="32">
        <v>68.080414295646435</v>
      </c>
      <c r="Q180" s="32">
        <v>63.336636467250031</v>
      </c>
      <c r="R180" s="32">
        <v>64.66295466114434</v>
      </c>
      <c r="S180" s="32">
        <v>64.007571984140426</v>
      </c>
      <c r="T180" s="32">
        <v>60.80828600518349</v>
      </c>
      <c r="U180" s="32">
        <v>63.359924894167897</v>
      </c>
      <c r="V180" s="32">
        <v>59.19842292311624</v>
      </c>
      <c r="W180" s="32">
        <v>67.497451000857495</v>
      </c>
      <c r="X180" s="32">
        <v>59.731574360854999</v>
      </c>
      <c r="Y180" s="32">
        <v>65.032069751919607</v>
      </c>
      <c r="Z180" s="32"/>
      <c r="AA180" s="32">
        <v>27.934736225923608</v>
      </c>
      <c r="AB180" s="32">
        <v>24.000705466547664</v>
      </c>
      <c r="AC180" s="32">
        <v>23.021729528289846</v>
      </c>
      <c r="AD180" s="32">
        <v>24.038523769619196</v>
      </c>
      <c r="AE180" s="32">
        <v>23.585014832797437</v>
      </c>
      <c r="AF180" s="32">
        <v>20.695196472923183</v>
      </c>
      <c r="AG180" s="32">
        <v>24.29879134697131</v>
      </c>
      <c r="AH180" s="32">
        <v>19.927466725485615</v>
      </c>
      <c r="AI180" s="32">
        <v>24.532873092037971</v>
      </c>
      <c r="AJ180" s="32">
        <v>22.034346985370291</v>
      </c>
      <c r="AK180" s="32">
        <v>26.436688556808924</v>
      </c>
      <c r="AL180" s="32">
        <v>28.12690243242653</v>
      </c>
      <c r="AM180" s="42"/>
      <c r="AN180" s="42"/>
      <c r="AO180" s="42"/>
      <c r="AP180" s="42"/>
      <c r="AQ180" s="42"/>
      <c r="AR180" s="42"/>
      <c r="AS180" s="245"/>
      <c r="AT180" s="42"/>
      <c r="AU180" s="42"/>
      <c r="AV180" s="42"/>
      <c r="AW180" s="42"/>
      <c r="AX180" s="42"/>
      <c r="AY180" s="42"/>
      <c r="AZ180" s="245"/>
      <c r="BA180" s="42"/>
      <c r="BB180" s="42"/>
      <c r="BC180" s="42"/>
      <c r="BD180" s="42"/>
      <c r="BE180" s="42"/>
      <c r="BF180" s="42"/>
      <c r="BG180" s="42"/>
      <c r="BH180" s="245"/>
      <c r="BI180" s="42"/>
      <c r="BJ180" s="42"/>
      <c r="BK180" s="42"/>
      <c r="BL180" s="42"/>
      <c r="BM180" s="42"/>
      <c r="BN180" s="42"/>
      <c r="BO180" s="42"/>
      <c r="BP180" s="42"/>
      <c r="BQ180" s="42"/>
      <c r="BR180" s="42"/>
      <c r="BS180" s="42"/>
      <c r="BT180" s="42"/>
      <c r="BU180" s="42"/>
      <c r="BV180" s="42"/>
      <c r="BW180" s="42"/>
      <c r="BX180" s="42"/>
      <c r="BY180" s="42"/>
      <c r="BZ180" s="42"/>
      <c r="CA180" s="42"/>
      <c r="CB180" s="42"/>
      <c r="CC180" s="42"/>
      <c r="CD180" s="245"/>
      <c r="CE180" s="42"/>
      <c r="CF180" s="42"/>
      <c r="CG180" s="42"/>
      <c r="CH180" s="42"/>
      <c r="CI180" s="42"/>
      <c r="CJ180" s="42"/>
      <c r="CK180" s="42"/>
      <c r="CL180" s="42"/>
      <c r="CM180" s="42"/>
      <c r="CN180" s="42"/>
      <c r="CO180" s="42"/>
      <c r="CP180" s="42"/>
      <c r="CQ180" s="42"/>
      <c r="CR180" s="42"/>
      <c r="CS180" s="42"/>
      <c r="CT180" s="42"/>
      <c r="CU180" s="42"/>
      <c r="CV180" s="42"/>
      <c r="CW180" s="245"/>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row>
    <row r="181" spans="1:131">
      <c r="A181" s="18"/>
      <c r="B181" s="18" t="s">
        <v>65</v>
      </c>
      <c r="C181" s="254">
        <v>0</v>
      </c>
      <c r="D181" s="254">
        <v>0</v>
      </c>
      <c r="E181" s="254">
        <v>0</v>
      </c>
      <c r="F181" s="254">
        <v>0</v>
      </c>
      <c r="G181" s="254">
        <v>0</v>
      </c>
      <c r="H181" s="254">
        <v>0</v>
      </c>
      <c r="I181" s="254">
        <v>0</v>
      </c>
      <c r="J181" s="254">
        <v>0</v>
      </c>
      <c r="K181" s="254">
        <v>0</v>
      </c>
      <c r="L181" s="255">
        <v>0</v>
      </c>
      <c r="M181" s="254">
        <v>0</v>
      </c>
      <c r="N181" s="254">
        <v>0</v>
      </c>
      <c r="O181" s="254">
        <v>0</v>
      </c>
      <c r="P181" s="254">
        <v>0</v>
      </c>
      <c r="Q181" s="254">
        <v>0</v>
      </c>
      <c r="R181" s="254">
        <v>0</v>
      </c>
      <c r="S181" s="254">
        <v>0</v>
      </c>
      <c r="T181" s="254">
        <v>0</v>
      </c>
      <c r="U181" s="254">
        <v>0</v>
      </c>
      <c r="V181" s="254">
        <v>0</v>
      </c>
      <c r="W181" s="254">
        <v>0</v>
      </c>
      <c r="X181" s="254">
        <v>0</v>
      </c>
      <c r="Y181" s="254">
        <v>0</v>
      </c>
      <c r="Z181" s="254"/>
      <c r="AA181" s="254">
        <v>0</v>
      </c>
      <c r="AB181" s="254">
        <v>0</v>
      </c>
      <c r="AC181" s="254">
        <v>0</v>
      </c>
      <c r="AD181" s="254">
        <v>0</v>
      </c>
      <c r="AE181" s="254">
        <v>0</v>
      </c>
      <c r="AF181" s="254">
        <v>0</v>
      </c>
      <c r="AG181" s="254">
        <v>0</v>
      </c>
      <c r="AH181" s="254">
        <v>0</v>
      </c>
      <c r="AI181" s="254">
        <v>0</v>
      </c>
      <c r="AJ181" s="254">
        <v>0</v>
      </c>
      <c r="AK181" s="254">
        <v>0</v>
      </c>
      <c r="AL181" s="254">
        <v>0</v>
      </c>
      <c r="AM181" s="42"/>
      <c r="AN181" s="42"/>
      <c r="AO181" s="42"/>
      <c r="AP181" s="42"/>
      <c r="AQ181" s="42"/>
      <c r="AR181" s="42"/>
      <c r="AS181" s="245"/>
      <c r="AT181" s="42"/>
      <c r="AU181" s="42"/>
      <c r="AV181" s="42"/>
      <c r="AW181" s="42"/>
      <c r="AX181" s="42"/>
      <c r="AY181" s="42"/>
      <c r="AZ181" s="245"/>
      <c r="BA181" s="42"/>
      <c r="BB181" s="42"/>
      <c r="BC181" s="42"/>
      <c r="BD181" s="42"/>
      <c r="BE181" s="42"/>
      <c r="BF181" s="42"/>
      <c r="BG181" s="42"/>
      <c r="BH181" s="245"/>
      <c r="BI181" s="42"/>
      <c r="BJ181" s="42"/>
      <c r="BK181" s="42"/>
      <c r="BL181" s="42"/>
      <c r="BM181" s="42"/>
      <c r="BN181" s="42"/>
      <c r="BO181" s="42"/>
      <c r="BP181" s="42"/>
      <c r="BQ181" s="42"/>
      <c r="BR181" s="42"/>
      <c r="BS181" s="42"/>
      <c r="BT181" s="42"/>
      <c r="BU181" s="42"/>
      <c r="BV181" s="42"/>
      <c r="BW181" s="42"/>
      <c r="BX181" s="42"/>
      <c r="BY181" s="42"/>
      <c r="BZ181" s="42"/>
      <c r="CA181" s="42"/>
      <c r="CB181" s="42"/>
      <c r="CC181" s="42"/>
      <c r="CD181" s="245"/>
      <c r="CE181" s="42"/>
      <c r="CF181" s="42"/>
      <c r="CG181" s="42"/>
      <c r="CH181" s="42"/>
      <c r="CI181" s="42"/>
      <c r="CJ181" s="42"/>
      <c r="CK181" s="42"/>
      <c r="CL181" s="42"/>
      <c r="CM181" s="42"/>
      <c r="CN181" s="42"/>
      <c r="CO181" s="42"/>
      <c r="CP181" s="42"/>
      <c r="CQ181" s="42"/>
      <c r="CR181" s="42"/>
      <c r="CS181" s="42"/>
      <c r="CT181" s="42"/>
      <c r="CU181" s="42"/>
      <c r="CV181" s="42"/>
      <c r="CW181" s="245"/>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row>
    <row r="182" spans="1:131">
      <c r="A182" s="18"/>
      <c r="B182" s="18" t="s">
        <v>68</v>
      </c>
      <c r="C182" s="254">
        <v>0</v>
      </c>
      <c r="D182" s="254">
        <v>0</v>
      </c>
      <c r="E182" s="254">
        <v>0</v>
      </c>
      <c r="F182" s="254">
        <v>0</v>
      </c>
      <c r="G182" s="254">
        <v>0</v>
      </c>
      <c r="H182" s="254">
        <v>0</v>
      </c>
      <c r="I182" s="254">
        <v>0</v>
      </c>
      <c r="J182" s="254">
        <v>0</v>
      </c>
      <c r="K182" s="254">
        <v>0</v>
      </c>
      <c r="L182" s="255">
        <v>0</v>
      </c>
      <c r="M182" s="254">
        <v>0</v>
      </c>
      <c r="N182" s="254">
        <v>0</v>
      </c>
      <c r="O182" s="254">
        <v>0</v>
      </c>
      <c r="P182" s="254">
        <v>0</v>
      </c>
      <c r="Q182" s="254">
        <v>0</v>
      </c>
      <c r="R182" s="254">
        <v>0</v>
      </c>
      <c r="S182" s="254">
        <v>0</v>
      </c>
      <c r="T182" s="254">
        <v>0</v>
      </c>
      <c r="U182" s="254">
        <v>0</v>
      </c>
      <c r="V182" s="254">
        <v>0</v>
      </c>
      <c r="W182" s="254">
        <v>0</v>
      </c>
      <c r="X182" s="254">
        <v>0</v>
      </c>
      <c r="Y182" s="254">
        <v>0</v>
      </c>
      <c r="Z182" s="254"/>
      <c r="AA182" s="254">
        <v>0</v>
      </c>
      <c r="AB182" s="254">
        <v>0</v>
      </c>
      <c r="AC182" s="254">
        <v>0</v>
      </c>
      <c r="AD182" s="254">
        <v>0</v>
      </c>
      <c r="AE182" s="254">
        <v>0</v>
      </c>
      <c r="AF182" s="254">
        <v>0</v>
      </c>
      <c r="AG182" s="254">
        <v>0</v>
      </c>
      <c r="AH182" s="254">
        <v>0</v>
      </c>
      <c r="AI182" s="254">
        <v>0</v>
      </c>
      <c r="AJ182" s="254">
        <v>0</v>
      </c>
      <c r="AK182" s="254">
        <v>0</v>
      </c>
      <c r="AL182" s="254">
        <v>0</v>
      </c>
      <c r="AM182" s="42"/>
      <c r="AN182" s="42"/>
      <c r="AO182" s="42"/>
      <c r="AP182" s="42"/>
      <c r="AQ182" s="42"/>
      <c r="AR182" s="42"/>
      <c r="AS182" s="245"/>
      <c r="AT182" s="42"/>
      <c r="AU182" s="42"/>
      <c r="AV182" s="42"/>
      <c r="AW182" s="42"/>
      <c r="AX182" s="42"/>
      <c r="AY182" s="42"/>
      <c r="AZ182" s="245"/>
      <c r="BA182" s="42"/>
      <c r="BB182" s="42"/>
      <c r="BC182" s="42"/>
      <c r="BD182" s="42"/>
      <c r="BE182" s="42"/>
      <c r="BF182" s="42"/>
      <c r="BG182" s="42"/>
      <c r="BH182" s="245"/>
      <c r="BI182" s="42"/>
      <c r="BJ182" s="42"/>
      <c r="BK182" s="42"/>
      <c r="BL182" s="42"/>
      <c r="BM182" s="42"/>
      <c r="BN182" s="42"/>
      <c r="BO182" s="42"/>
      <c r="BP182" s="42"/>
      <c r="BQ182" s="42"/>
      <c r="BR182" s="42"/>
      <c r="BS182" s="42"/>
      <c r="BT182" s="42"/>
      <c r="BU182" s="42"/>
      <c r="BV182" s="42"/>
      <c r="BW182" s="42"/>
      <c r="BX182" s="42"/>
      <c r="BY182" s="42"/>
      <c r="BZ182" s="42"/>
      <c r="CA182" s="42"/>
      <c r="CB182" s="42"/>
      <c r="CC182" s="42"/>
      <c r="CD182" s="245"/>
      <c r="CE182" s="42"/>
      <c r="CF182" s="42"/>
      <c r="CG182" s="42"/>
      <c r="CH182" s="42"/>
      <c r="CI182" s="42"/>
      <c r="CJ182" s="42"/>
      <c r="CK182" s="42"/>
      <c r="CL182" s="42"/>
      <c r="CM182" s="42"/>
      <c r="CN182" s="42"/>
      <c r="CO182" s="42"/>
      <c r="CP182" s="42"/>
      <c r="CQ182" s="42"/>
      <c r="CR182" s="42"/>
      <c r="CS182" s="42"/>
      <c r="CT182" s="42"/>
      <c r="CU182" s="42"/>
      <c r="CV182" s="42"/>
      <c r="CW182" s="245"/>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row>
    <row r="183" spans="1:131">
      <c r="A183" s="18"/>
      <c r="B183" s="18" t="s">
        <v>71</v>
      </c>
      <c r="C183" s="42">
        <v>228.18668270794055</v>
      </c>
      <c r="D183" s="42">
        <v>96.894909081558765</v>
      </c>
      <c r="E183" s="42">
        <v>19.37898181631175</v>
      </c>
      <c r="F183" s="42">
        <v>116.27389089787052</v>
      </c>
      <c r="G183" s="42">
        <v>355.53945058219341</v>
      </c>
      <c r="H183" s="42">
        <v>243.19629272753869</v>
      </c>
      <c r="I183" s="42">
        <v>4463.7104680162893</v>
      </c>
      <c r="J183" s="42">
        <v>16.204655225088846</v>
      </c>
      <c r="K183" s="42">
        <v>74.522750957555004</v>
      </c>
      <c r="L183" s="245">
        <v>0.6820117928610292</v>
      </c>
      <c r="M183" s="42">
        <v>3.812131498959741</v>
      </c>
      <c r="N183" s="32">
        <v>14.308476519751997</v>
      </c>
      <c r="O183" s="32">
        <v>12.865641428578851</v>
      </c>
      <c r="P183" s="32">
        <v>14.805045843888369</v>
      </c>
      <c r="Q183" s="32">
        <v>13.773444480276792</v>
      </c>
      <c r="R183" s="32">
        <v>14.061871069147365</v>
      </c>
      <c r="S183" s="32">
        <v>13.919348866855863</v>
      </c>
      <c r="T183" s="32">
        <v>13.223619029189532</v>
      </c>
      <c r="U183" s="32">
        <v>13.778508877015829</v>
      </c>
      <c r="V183" s="32">
        <v>12.873531607146431</v>
      </c>
      <c r="W183" s="32">
        <v>14.678272257182886</v>
      </c>
      <c r="X183" s="32">
        <v>12.989472903319802</v>
      </c>
      <c r="Y183" s="32">
        <v>14.142140349191218</v>
      </c>
      <c r="Z183" s="32"/>
      <c r="AA183" s="32">
        <v>6.0748021988487695</v>
      </c>
      <c r="AB183" s="32">
        <v>5.2192917507057963</v>
      </c>
      <c r="AC183" s="32">
        <v>5.0063996319382778</v>
      </c>
      <c r="AD183" s="32">
        <v>5.2275158738475946</v>
      </c>
      <c r="AE183" s="32">
        <v>5.1288939622490259</v>
      </c>
      <c r="AF183" s="32">
        <v>4.5004622210340708</v>
      </c>
      <c r="AG183" s="32">
        <v>5.2841147276330993</v>
      </c>
      <c r="AH183" s="32">
        <v>4.3335085644777109</v>
      </c>
      <c r="AI183" s="32">
        <v>5.3350191030365686</v>
      </c>
      <c r="AJ183" s="32">
        <v>4.791679378475985</v>
      </c>
      <c r="AK183" s="32">
        <v>5.7490306146562933</v>
      </c>
      <c r="AL183" s="32">
        <v>6.1165914494923834</v>
      </c>
      <c r="AM183" s="42"/>
      <c r="AN183" s="42"/>
      <c r="AO183" s="42"/>
      <c r="AP183" s="42"/>
      <c r="AQ183" s="42"/>
      <c r="AR183" s="42"/>
      <c r="AS183" s="245"/>
      <c r="AT183" s="42"/>
      <c r="AU183" s="42"/>
      <c r="AV183" s="42"/>
      <c r="AW183" s="42"/>
      <c r="AX183" s="42"/>
      <c r="AY183" s="42"/>
      <c r="AZ183" s="245"/>
      <c r="BA183" s="42"/>
      <c r="BB183" s="42"/>
      <c r="BC183" s="42"/>
      <c r="BD183" s="42"/>
      <c r="BE183" s="42"/>
      <c r="BF183" s="42"/>
      <c r="BG183" s="42"/>
      <c r="BH183" s="245"/>
      <c r="BI183" s="42"/>
      <c r="BJ183" s="42"/>
      <c r="BK183" s="42"/>
      <c r="BL183" s="42"/>
      <c r="BM183" s="42"/>
      <c r="BN183" s="42"/>
      <c r="BO183" s="42"/>
      <c r="BP183" s="42"/>
      <c r="BQ183" s="42"/>
      <c r="BR183" s="42"/>
      <c r="BS183" s="42"/>
      <c r="BT183" s="42"/>
      <c r="BU183" s="42"/>
      <c r="BV183" s="42"/>
      <c r="BW183" s="42"/>
      <c r="BX183" s="42"/>
      <c r="BY183" s="42"/>
      <c r="BZ183" s="42"/>
      <c r="CA183" s="42"/>
      <c r="CB183" s="42"/>
      <c r="CC183" s="42"/>
      <c r="CD183" s="245"/>
      <c r="CE183" s="42"/>
      <c r="CF183" s="42"/>
      <c r="CG183" s="42"/>
      <c r="CH183" s="42"/>
      <c r="CI183" s="42"/>
      <c r="CJ183" s="42"/>
      <c r="CK183" s="42"/>
      <c r="CL183" s="42"/>
      <c r="CM183" s="42"/>
      <c r="CN183" s="42"/>
      <c r="CO183" s="42"/>
      <c r="CP183" s="42"/>
      <c r="CQ183" s="42"/>
      <c r="CR183" s="42"/>
      <c r="CS183" s="42"/>
      <c r="CT183" s="42"/>
      <c r="CU183" s="42"/>
      <c r="CV183" s="42"/>
      <c r="CW183" s="245"/>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row>
    <row r="184" spans="1:131">
      <c r="A184" s="18"/>
      <c r="B184" s="18" t="s">
        <v>74</v>
      </c>
      <c r="C184" s="42">
        <v>37.459341284727984</v>
      </c>
      <c r="D184" s="42">
        <v>15.378181835946435</v>
      </c>
      <c r="E184" s="42">
        <v>3.0756363671892872</v>
      </c>
      <c r="F184" s="42">
        <v>18.453818203135722</v>
      </c>
      <c r="G184" s="42">
        <v>56.427632501345293</v>
      </c>
      <c r="H184" s="42">
        <v>31.18768580655545</v>
      </c>
      <c r="I184" s="42">
        <v>4315.4909273691683</v>
      </c>
      <c r="J184" s="42">
        <v>15.31216504569227</v>
      </c>
      <c r="K184" s="42">
        <v>87.875319189015713</v>
      </c>
      <c r="L184" s="245">
        <v>0.55270236272648698</v>
      </c>
      <c r="M184" s="42">
        <v>0.46853328841395991</v>
      </c>
      <c r="N184" s="32">
        <v>2.3488930153909262</v>
      </c>
      <c r="O184" s="32">
        <v>2.1120358445146885</v>
      </c>
      <c r="P184" s="32">
        <v>2.4304103044965264</v>
      </c>
      <c r="Q184" s="32">
        <v>2.261061650619224</v>
      </c>
      <c r="R184" s="32">
        <v>2.3084100317774761</v>
      </c>
      <c r="S184" s="32">
        <v>2.285013452481385</v>
      </c>
      <c r="T184" s="32">
        <v>2.1708017854295085</v>
      </c>
      <c r="U184" s="32">
        <v>2.2618930267696529</v>
      </c>
      <c r="V184" s="32">
        <v>2.1133311036781635</v>
      </c>
      <c r="W184" s="32">
        <v>2.4095990328047079</v>
      </c>
      <c r="X184" s="32">
        <v>2.1323641363284995</v>
      </c>
      <c r="Y184" s="32">
        <v>2.3215871125788592</v>
      </c>
      <c r="Z184" s="32"/>
      <c r="AA184" s="32">
        <v>0.99724526472540465</v>
      </c>
      <c r="AB184" s="32">
        <v>0.85680386179456192</v>
      </c>
      <c r="AC184" s="32">
        <v>0.82185529056725504</v>
      </c>
      <c r="AD184" s="32">
        <v>0.85815394161464753</v>
      </c>
      <c r="AE184" s="32">
        <v>0.84196407548888652</v>
      </c>
      <c r="AF184" s="32">
        <v>0.73880012749260104</v>
      </c>
      <c r="AG184" s="32">
        <v>0.8674452628921</v>
      </c>
      <c r="AH184" s="32">
        <v>0.71139285759647597</v>
      </c>
      <c r="AI184" s="32">
        <v>0.87580177322169317</v>
      </c>
      <c r="AJ184" s="32">
        <v>0.7866066110223493</v>
      </c>
      <c r="AK184" s="32">
        <v>0.94376629387436872</v>
      </c>
      <c r="AL184" s="32">
        <v>1.0041054275680177</v>
      </c>
      <c r="AM184" s="42"/>
      <c r="AN184" s="42"/>
      <c r="AO184" s="42"/>
      <c r="AP184" s="42"/>
      <c r="AQ184" s="42"/>
      <c r="AR184" s="42"/>
      <c r="AS184" s="245"/>
      <c r="AT184" s="42"/>
      <c r="AU184" s="42"/>
      <c r="AV184" s="42"/>
      <c r="AW184" s="42"/>
      <c r="AX184" s="42"/>
      <c r="AY184" s="42"/>
      <c r="AZ184" s="245"/>
      <c r="BA184" s="42"/>
      <c r="BB184" s="42"/>
      <c r="BC184" s="42"/>
      <c r="BD184" s="42"/>
      <c r="BE184" s="42"/>
      <c r="BF184" s="42"/>
      <c r="BG184" s="42"/>
      <c r="BH184" s="245"/>
      <c r="BI184" s="42"/>
      <c r="BJ184" s="42"/>
      <c r="BK184" s="42"/>
      <c r="BL184" s="42"/>
      <c r="BM184" s="42"/>
      <c r="BN184" s="42"/>
      <c r="BO184" s="42"/>
      <c r="BP184" s="42"/>
      <c r="BQ184" s="42"/>
      <c r="BR184" s="42"/>
      <c r="BS184" s="42"/>
      <c r="BT184" s="42"/>
      <c r="BU184" s="42"/>
      <c r="BV184" s="42"/>
      <c r="BW184" s="42"/>
      <c r="BX184" s="42"/>
      <c r="BY184" s="42"/>
      <c r="BZ184" s="42"/>
      <c r="CA184" s="42"/>
      <c r="CB184" s="42"/>
      <c r="CC184" s="42"/>
      <c r="CD184" s="245"/>
      <c r="CE184" s="42"/>
      <c r="CF184" s="42"/>
      <c r="CG184" s="42"/>
      <c r="CH184" s="42"/>
      <c r="CI184" s="42"/>
      <c r="CJ184" s="42"/>
      <c r="CK184" s="42"/>
      <c r="CL184" s="42"/>
      <c r="CM184" s="42"/>
      <c r="CN184" s="42"/>
      <c r="CO184" s="42"/>
      <c r="CP184" s="42"/>
      <c r="CQ184" s="42"/>
      <c r="CR184" s="42"/>
      <c r="CS184" s="42"/>
      <c r="CT184" s="42"/>
      <c r="CU184" s="42"/>
      <c r="CV184" s="42"/>
      <c r="CW184" s="245"/>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row>
    <row r="185" spans="1:131">
      <c r="A185" s="18"/>
      <c r="B185" s="18" t="s">
        <v>77</v>
      </c>
      <c r="C185" s="254">
        <v>0</v>
      </c>
      <c r="D185" s="254">
        <v>0</v>
      </c>
      <c r="E185" s="254">
        <v>0</v>
      </c>
      <c r="F185" s="254">
        <v>0</v>
      </c>
      <c r="G185" s="254">
        <v>0</v>
      </c>
      <c r="H185" s="254">
        <v>0</v>
      </c>
      <c r="I185" s="254">
        <v>0</v>
      </c>
      <c r="J185" s="254">
        <v>0</v>
      </c>
      <c r="K185" s="254">
        <v>0</v>
      </c>
      <c r="L185" s="255">
        <v>0</v>
      </c>
      <c r="M185" s="254">
        <v>0</v>
      </c>
      <c r="N185" s="254">
        <v>0</v>
      </c>
      <c r="O185" s="254">
        <v>0</v>
      </c>
      <c r="P185" s="254">
        <v>0</v>
      </c>
      <c r="Q185" s="254">
        <v>0</v>
      </c>
      <c r="R185" s="254">
        <v>0</v>
      </c>
      <c r="S185" s="254">
        <v>0</v>
      </c>
      <c r="T185" s="254">
        <v>0</v>
      </c>
      <c r="U185" s="254">
        <v>0</v>
      </c>
      <c r="V185" s="254">
        <v>0</v>
      </c>
      <c r="W185" s="254">
        <v>0</v>
      </c>
      <c r="X185" s="254">
        <v>0</v>
      </c>
      <c r="Y185" s="254">
        <v>0</v>
      </c>
      <c r="Z185" s="254"/>
      <c r="AA185" s="254">
        <v>0</v>
      </c>
      <c r="AB185" s="254">
        <v>0</v>
      </c>
      <c r="AC185" s="254">
        <v>0</v>
      </c>
      <c r="AD185" s="254">
        <v>0</v>
      </c>
      <c r="AE185" s="254">
        <v>0</v>
      </c>
      <c r="AF185" s="254">
        <v>0</v>
      </c>
      <c r="AG185" s="254">
        <v>0</v>
      </c>
      <c r="AH185" s="254">
        <v>0</v>
      </c>
      <c r="AI185" s="254">
        <v>0</v>
      </c>
      <c r="AJ185" s="254">
        <v>0</v>
      </c>
      <c r="AK185" s="254">
        <v>0</v>
      </c>
      <c r="AL185" s="254">
        <v>0</v>
      </c>
      <c r="AM185" s="42"/>
      <c r="AN185" s="42"/>
      <c r="AO185" s="42"/>
      <c r="AP185" s="42"/>
      <c r="AQ185" s="42"/>
      <c r="AR185" s="42"/>
      <c r="AS185" s="245"/>
      <c r="AT185" s="42"/>
      <c r="AU185" s="42"/>
      <c r="AV185" s="42"/>
      <c r="AW185" s="42"/>
      <c r="AX185" s="42"/>
      <c r="AY185" s="42"/>
      <c r="AZ185" s="245"/>
      <c r="BA185" s="42"/>
      <c r="BB185" s="42"/>
      <c r="BC185" s="42"/>
      <c r="BD185" s="42"/>
      <c r="BE185" s="42"/>
      <c r="BF185" s="42"/>
      <c r="BG185" s="42"/>
      <c r="BH185" s="245"/>
      <c r="BI185" s="42"/>
      <c r="BJ185" s="42"/>
      <c r="BK185" s="42"/>
      <c r="BL185" s="42"/>
      <c r="BM185" s="42"/>
      <c r="BN185" s="42"/>
      <c r="BO185" s="42"/>
      <c r="BP185" s="42"/>
      <c r="BQ185" s="42"/>
      <c r="BR185" s="42"/>
      <c r="BS185" s="42"/>
      <c r="BT185" s="42"/>
      <c r="BU185" s="42"/>
      <c r="BV185" s="42"/>
      <c r="BW185" s="42"/>
      <c r="BX185" s="42"/>
      <c r="BY185" s="42"/>
      <c r="BZ185" s="42"/>
      <c r="CA185" s="42"/>
      <c r="CB185" s="42"/>
      <c r="CC185" s="42"/>
      <c r="CD185" s="245"/>
      <c r="CE185" s="42"/>
      <c r="CF185" s="42"/>
      <c r="CG185" s="42"/>
      <c r="CH185" s="42"/>
      <c r="CI185" s="42"/>
      <c r="CJ185" s="42"/>
      <c r="CK185" s="42"/>
      <c r="CL185" s="42"/>
      <c r="CM185" s="42"/>
      <c r="CN185" s="42"/>
      <c r="CO185" s="42"/>
      <c r="CP185" s="42"/>
      <c r="CQ185" s="42"/>
      <c r="CR185" s="42"/>
      <c r="CS185" s="42"/>
      <c r="CT185" s="42"/>
      <c r="CU185" s="42"/>
      <c r="CV185" s="42"/>
      <c r="CW185" s="245"/>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row>
    <row r="186" spans="1:131">
      <c r="A186" s="18"/>
      <c r="B186" s="18" t="s">
        <v>80</v>
      </c>
      <c r="C186" s="254">
        <v>0</v>
      </c>
      <c r="D186" s="254">
        <v>0</v>
      </c>
      <c r="E186" s="254">
        <v>0</v>
      </c>
      <c r="F186" s="254">
        <v>0</v>
      </c>
      <c r="G186" s="254">
        <v>0</v>
      </c>
      <c r="H186" s="254">
        <v>0</v>
      </c>
      <c r="I186" s="254">
        <v>0</v>
      </c>
      <c r="J186" s="254">
        <v>0</v>
      </c>
      <c r="K186" s="254">
        <v>0</v>
      </c>
      <c r="L186" s="255">
        <v>0</v>
      </c>
      <c r="M186" s="254">
        <v>0</v>
      </c>
      <c r="N186" s="254">
        <v>0</v>
      </c>
      <c r="O186" s="254">
        <v>0</v>
      </c>
      <c r="P186" s="254">
        <v>0</v>
      </c>
      <c r="Q186" s="254">
        <v>0</v>
      </c>
      <c r="R186" s="254">
        <v>0</v>
      </c>
      <c r="S186" s="254">
        <v>0</v>
      </c>
      <c r="T186" s="254">
        <v>0</v>
      </c>
      <c r="U186" s="254">
        <v>0</v>
      </c>
      <c r="V186" s="254">
        <v>0</v>
      </c>
      <c r="W186" s="254">
        <v>0</v>
      </c>
      <c r="X186" s="254">
        <v>0</v>
      </c>
      <c r="Y186" s="254">
        <v>0</v>
      </c>
      <c r="Z186" s="254"/>
      <c r="AA186" s="254">
        <v>0</v>
      </c>
      <c r="AB186" s="254">
        <v>0</v>
      </c>
      <c r="AC186" s="254">
        <v>0</v>
      </c>
      <c r="AD186" s="254">
        <v>0</v>
      </c>
      <c r="AE186" s="254">
        <v>0</v>
      </c>
      <c r="AF186" s="254">
        <v>0</v>
      </c>
      <c r="AG186" s="254">
        <v>0</v>
      </c>
      <c r="AH186" s="254">
        <v>0</v>
      </c>
      <c r="AI186" s="254">
        <v>0</v>
      </c>
      <c r="AJ186" s="254">
        <v>0</v>
      </c>
      <c r="AK186" s="254">
        <v>0</v>
      </c>
      <c r="AL186" s="254">
        <v>0</v>
      </c>
      <c r="AM186" s="42"/>
      <c r="AN186" s="42"/>
      <c r="AO186" s="42"/>
      <c r="AP186" s="42"/>
      <c r="AQ186" s="42"/>
      <c r="AR186" s="42"/>
      <c r="AS186" s="245"/>
      <c r="AT186" s="42"/>
      <c r="AU186" s="42"/>
      <c r="AV186" s="42"/>
      <c r="AW186" s="42"/>
      <c r="AX186" s="42"/>
      <c r="AY186" s="42"/>
      <c r="AZ186" s="245"/>
      <c r="BA186" s="42"/>
      <c r="BB186" s="42"/>
      <c r="BC186" s="42"/>
      <c r="BD186" s="42"/>
      <c r="BE186" s="42"/>
      <c r="BF186" s="42"/>
      <c r="BG186" s="42"/>
      <c r="BH186" s="245"/>
      <c r="BI186" s="42"/>
      <c r="BJ186" s="42"/>
      <c r="BK186" s="42"/>
      <c r="BL186" s="42"/>
      <c r="BM186" s="42"/>
      <c r="BN186" s="42"/>
      <c r="BO186" s="42"/>
      <c r="BP186" s="42"/>
      <c r="BQ186" s="42"/>
      <c r="BR186" s="42"/>
      <c r="BS186" s="42"/>
      <c r="BT186" s="42"/>
      <c r="BU186" s="42"/>
      <c r="BV186" s="42"/>
      <c r="BW186" s="42"/>
      <c r="BX186" s="42"/>
      <c r="BY186" s="42"/>
      <c r="BZ186" s="42"/>
      <c r="CA186" s="42"/>
      <c r="CB186" s="42"/>
      <c r="CC186" s="42"/>
      <c r="CD186" s="245"/>
      <c r="CE186" s="42"/>
      <c r="CF186" s="42"/>
      <c r="CG186" s="42"/>
      <c r="CH186" s="42"/>
      <c r="CI186" s="42"/>
      <c r="CJ186" s="42"/>
      <c r="CK186" s="42"/>
      <c r="CL186" s="42"/>
      <c r="CM186" s="42"/>
      <c r="CN186" s="42"/>
      <c r="CO186" s="42"/>
      <c r="CP186" s="42"/>
      <c r="CQ186" s="42"/>
      <c r="CR186" s="42"/>
      <c r="CS186" s="42"/>
      <c r="CT186" s="42"/>
      <c r="CU186" s="42"/>
      <c r="CV186" s="42"/>
      <c r="CW186" s="245"/>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row>
    <row r="187" spans="1:131">
      <c r="A187" s="18"/>
      <c r="B187" s="18" t="s">
        <v>83</v>
      </c>
      <c r="C187" s="254">
        <v>0</v>
      </c>
      <c r="D187" s="254">
        <v>0</v>
      </c>
      <c r="E187" s="254">
        <v>0</v>
      </c>
      <c r="F187" s="254">
        <v>0</v>
      </c>
      <c r="G187" s="254">
        <v>0</v>
      </c>
      <c r="H187" s="254">
        <v>0</v>
      </c>
      <c r="I187" s="254">
        <v>0</v>
      </c>
      <c r="J187" s="254">
        <v>0</v>
      </c>
      <c r="K187" s="254">
        <v>0</v>
      </c>
      <c r="L187" s="255">
        <v>0</v>
      </c>
      <c r="M187" s="254">
        <v>0</v>
      </c>
      <c r="N187" s="254">
        <v>0</v>
      </c>
      <c r="O187" s="254">
        <v>0</v>
      </c>
      <c r="P187" s="254">
        <v>0</v>
      </c>
      <c r="Q187" s="254">
        <v>0</v>
      </c>
      <c r="R187" s="254">
        <v>0</v>
      </c>
      <c r="S187" s="254">
        <v>0</v>
      </c>
      <c r="T187" s="254">
        <v>0</v>
      </c>
      <c r="U187" s="254">
        <v>0</v>
      </c>
      <c r="V187" s="254">
        <v>0</v>
      </c>
      <c r="W187" s="254">
        <v>0</v>
      </c>
      <c r="X187" s="254">
        <v>0</v>
      </c>
      <c r="Y187" s="254">
        <v>0</v>
      </c>
      <c r="Z187" s="254"/>
      <c r="AA187" s="254">
        <v>0</v>
      </c>
      <c r="AB187" s="254">
        <v>0</v>
      </c>
      <c r="AC187" s="254">
        <v>0</v>
      </c>
      <c r="AD187" s="254">
        <v>0</v>
      </c>
      <c r="AE187" s="254">
        <v>0</v>
      </c>
      <c r="AF187" s="254">
        <v>0</v>
      </c>
      <c r="AG187" s="254">
        <v>0</v>
      </c>
      <c r="AH187" s="254">
        <v>0</v>
      </c>
      <c r="AI187" s="254">
        <v>0</v>
      </c>
      <c r="AJ187" s="254">
        <v>0</v>
      </c>
      <c r="AK187" s="254">
        <v>0</v>
      </c>
      <c r="AL187" s="254">
        <v>0</v>
      </c>
      <c r="AM187" s="42"/>
      <c r="AN187" s="42"/>
      <c r="AO187" s="42"/>
      <c r="AP187" s="42"/>
      <c r="AQ187" s="42"/>
      <c r="AR187" s="42"/>
      <c r="AS187" s="245"/>
      <c r="AT187" s="42"/>
      <c r="AU187" s="42"/>
      <c r="AV187" s="42"/>
      <c r="AW187" s="42"/>
      <c r="AX187" s="42"/>
      <c r="AY187" s="42"/>
      <c r="AZ187" s="245"/>
      <c r="BA187" s="42"/>
      <c r="BB187" s="42"/>
      <c r="BC187" s="42"/>
      <c r="BD187" s="42"/>
      <c r="BE187" s="42"/>
      <c r="BF187" s="42"/>
      <c r="BG187" s="42"/>
      <c r="BH187" s="245"/>
      <c r="BI187" s="42"/>
      <c r="BJ187" s="42"/>
      <c r="BK187" s="42"/>
      <c r="BL187" s="42"/>
      <c r="BM187" s="42"/>
      <c r="BN187" s="42"/>
      <c r="BO187" s="42"/>
      <c r="BP187" s="42"/>
      <c r="BQ187" s="42"/>
      <c r="BR187" s="42"/>
      <c r="BS187" s="42"/>
      <c r="BT187" s="42"/>
      <c r="BU187" s="42"/>
      <c r="BV187" s="42"/>
      <c r="BW187" s="42"/>
      <c r="BX187" s="42"/>
      <c r="BY187" s="42"/>
      <c r="BZ187" s="42"/>
      <c r="CA187" s="42"/>
      <c r="CB187" s="42"/>
      <c r="CC187" s="42"/>
      <c r="CD187" s="245"/>
      <c r="CE187" s="42"/>
      <c r="CF187" s="42"/>
      <c r="CG187" s="42"/>
      <c r="CH187" s="42"/>
      <c r="CI187" s="42"/>
      <c r="CJ187" s="42"/>
      <c r="CK187" s="42"/>
      <c r="CL187" s="42"/>
      <c r="CM187" s="42"/>
      <c r="CN187" s="42"/>
      <c r="CO187" s="42"/>
      <c r="CP187" s="42"/>
      <c r="CQ187" s="42"/>
      <c r="CR187" s="42"/>
      <c r="CS187" s="42"/>
      <c r="CT187" s="42"/>
      <c r="CU187" s="42"/>
      <c r="CV187" s="42"/>
      <c r="CW187" s="245"/>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row>
    <row r="188" spans="1:131">
      <c r="A188" s="18"/>
      <c r="B188" s="18" t="s">
        <v>86</v>
      </c>
      <c r="C188" s="254">
        <v>0</v>
      </c>
      <c r="D188" s="254">
        <v>0</v>
      </c>
      <c r="E188" s="254">
        <v>0</v>
      </c>
      <c r="F188" s="254">
        <v>0</v>
      </c>
      <c r="G188" s="254">
        <v>0</v>
      </c>
      <c r="H188" s="254">
        <v>0</v>
      </c>
      <c r="I188" s="254">
        <v>0</v>
      </c>
      <c r="J188" s="254">
        <v>0</v>
      </c>
      <c r="K188" s="254">
        <v>0</v>
      </c>
      <c r="L188" s="255">
        <v>0</v>
      </c>
      <c r="M188" s="254">
        <v>0</v>
      </c>
      <c r="N188" s="254">
        <v>0</v>
      </c>
      <c r="O188" s="254">
        <v>0</v>
      </c>
      <c r="P188" s="254">
        <v>0</v>
      </c>
      <c r="Q188" s="254">
        <v>0</v>
      </c>
      <c r="R188" s="254">
        <v>0</v>
      </c>
      <c r="S188" s="254">
        <v>0</v>
      </c>
      <c r="T188" s="254">
        <v>0</v>
      </c>
      <c r="U188" s="254">
        <v>0</v>
      </c>
      <c r="V188" s="254">
        <v>0</v>
      </c>
      <c r="W188" s="254">
        <v>0</v>
      </c>
      <c r="X188" s="254">
        <v>0</v>
      </c>
      <c r="Y188" s="254">
        <v>0</v>
      </c>
      <c r="Z188" s="254"/>
      <c r="AA188" s="254">
        <v>0</v>
      </c>
      <c r="AB188" s="254">
        <v>0</v>
      </c>
      <c r="AC188" s="254">
        <v>0</v>
      </c>
      <c r="AD188" s="254">
        <v>0</v>
      </c>
      <c r="AE188" s="254">
        <v>0</v>
      </c>
      <c r="AF188" s="254">
        <v>0</v>
      </c>
      <c r="AG188" s="254">
        <v>0</v>
      </c>
      <c r="AH188" s="254">
        <v>0</v>
      </c>
      <c r="AI188" s="254">
        <v>0</v>
      </c>
      <c r="AJ188" s="254">
        <v>0</v>
      </c>
      <c r="AK188" s="254">
        <v>0</v>
      </c>
      <c r="AL188" s="254">
        <v>0</v>
      </c>
      <c r="AM188" s="42"/>
      <c r="AN188" s="42"/>
      <c r="AO188" s="42"/>
      <c r="AP188" s="42"/>
      <c r="AQ188" s="42"/>
      <c r="AR188" s="42"/>
      <c r="AS188" s="245"/>
      <c r="AT188" s="42"/>
      <c r="AU188" s="42"/>
      <c r="AV188" s="42"/>
      <c r="AW188" s="42"/>
      <c r="AX188" s="42"/>
      <c r="AY188" s="42"/>
      <c r="AZ188" s="245"/>
      <c r="BA188" s="42"/>
      <c r="BB188" s="42"/>
      <c r="BC188" s="42"/>
      <c r="BD188" s="42"/>
      <c r="BE188" s="42"/>
      <c r="BF188" s="42"/>
      <c r="BG188" s="42"/>
      <c r="BH188" s="245"/>
      <c r="BI188" s="42"/>
      <c r="BJ188" s="42"/>
      <c r="BK188" s="42"/>
      <c r="BL188" s="42"/>
      <c r="BM188" s="42"/>
      <c r="BN188" s="42"/>
      <c r="BO188" s="42"/>
      <c r="BP188" s="42"/>
      <c r="BQ188" s="42"/>
      <c r="BR188" s="42"/>
      <c r="BS188" s="42"/>
      <c r="BT188" s="42"/>
      <c r="BU188" s="42"/>
      <c r="BV188" s="42"/>
      <c r="BW188" s="42"/>
      <c r="BX188" s="42"/>
      <c r="BY188" s="42"/>
      <c r="BZ188" s="42"/>
      <c r="CA188" s="42"/>
      <c r="CB188" s="42"/>
      <c r="CC188" s="42"/>
      <c r="CD188" s="245"/>
      <c r="CE188" s="42"/>
      <c r="CF188" s="42"/>
      <c r="CG188" s="42"/>
      <c r="CH188" s="42"/>
      <c r="CI188" s="42"/>
      <c r="CJ188" s="42"/>
      <c r="CK188" s="42"/>
      <c r="CL188" s="42"/>
      <c r="CM188" s="42"/>
      <c r="CN188" s="42"/>
      <c r="CO188" s="42"/>
      <c r="CP188" s="42"/>
      <c r="CQ188" s="42"/>
      <c r="CR188" s="42"/>
      <c r="CS188" s="42"/>
      <c r="CT188" s="42"/>
      <c r="CU188" s="42"/>
      <c r="CV188" s="42"/>
      <c r="CW188" s="245"/>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row>
    <row r="189" spans="1:131">
      <c r="A189" s="18"/>
      <c r="B189" s="18" t="s">
        <v>89</v>
      </c>
      <c r="C189" s="42">
        <v>236.73046392719183</v>
      </c>
      <c r="D189" s="42">
        <v>143.75452147683055</v>
      </c>
      <c r="E189" s="42">
        <v>28.750904295366112</v>
      </c>
      <c r="F189" s="42">
        <v>172.50542577219665</v>
      </c>
      <c r="G189" s="42">
        <v>527.48285817119267</v>
      </c>
      <c r="H189" s="42">
        <v>228.57088631281783</v>
      </c>
      <c r="I189" s="42">
        <v>6383.4096579526285</v>
      </c>
      <c r="J189" s="42">
        <v>27.763945362768958</v>
      </c>
      <c r="K189" s="42">
        <v>131.20556367350659</v>
      </c>
      <c r="L189" s="245">
        <v>0.43332381853181656</v>
      </c>
      <c r="M189" s="42">
        <v>3.5276278521088864</v>
      </c>
      <c r="N189" s="32">
        <v>14.844215466104197</v>
      </c>
      <c r="O189" s="32">
        <v>13.347357645785983</v>
      </c>
      <c r="P189" s="32">
        <v>15.359377372486231</v>
      </c>
      <c r="Q189" s="32">
        <v>14.289150720792177</v>
      </c>
      <c r="R189" s="32">
        <v>14.588376597526009</v>
      </c>
      <c r="S189" s="32">
        <v>14.440518069289391</v>
      </c>
      <c r="T189" s="32">
        <v>13.718738667949205</v>
      </c>
      <c r="U189" s="32">
        <v>14.294404739016713</v>
      </c>
      <c r="V189" s="32">
        <v>13.355543248953554</v>
      </c>
      <c r="W189" s="32">
        <v>15.22785712056638</v>
      </c>
      <c r="X189" s="32">
        <v>13.475825626985982</v>
      </c>
      <c r="Y189" s="32">
        <v>14.671651325386462</v>
      </c>
      <c r="Z189" s="32"/>
      <c r="AA189" s="32">
        <v>6.3022553539639627</v>
      </c>
      <c r="AB189" s="32">
        <v>5.4147128257145773</v>
      </c>
      <c r="AC189" s="32">
        <v>5.1938495858261096</v>
      </c>
      <c r="AD189" s="32">
        <v>5.4232448770317196</v>
      </c>
      <c r="AE189" s="32">
        <v>5.3209303571436433</v>
      </c>
      <c r="AF189" s="32">
        <v>4.6689688321373781</v>
      </c>
      <c r="AG189" s="32">
        <v>5.4819629089316733</v>
      </c>
      <c r="AH189" s="32">
        <v>4.4957640854716221</v>
      </c>
      <c r="AI189" s="32">
        <v>5.5347732494045703</v>
      </c>
      <c r="AJ189" s="32">
        <v>4.9710897620998855</v>
      </c>
      <c r="AK189" s="32">
        <v>5.9642862080656087</v>
      </c>
      <c r="AL189" s="32">
        <v>6.3456092805587705</v>
      </c>
      <c r="AM189" s="42"/>
      <c r="AN189" s="42"/>
      <c r="AO189" s="42"/>
      <c r="AP189" s="42"/>
      <c r="AQ189" s="42"/>
      <c r="AR189" s="42"/>
      <c r="AS189" s="245"/>
      <c r="AT189" s="42"/>
      <c r="AU189" s="42"/>
      <c r="AV189" s="42"/>
      <c r="AW189" s="42"/>
      <c r="AX189" s="42"/>
      <c r="AY189" s="42"/>
      <c r="AZ189" s="245"/>
      <c r="BA189" s="42"/>
      <c r="BB189" s="42"/>
      <c r="BC189" s="42"/>
      <c r="BD189" s="42"/>
      <c r="BE189" s="42"/>
      <c r="BF189" s="42"/>
      <c r="BG189" s="42"/>
      <c r="BH189" s="245"/>
      <c r="BI189" s="42"/>
      <c r="BJ189" s="42"/>
      <c r="BK189" s="42"/>
      <c r="BL189" s="42"/>
      <c r="BM189" s="42"/>
      <c r="BN189" s="42"/>
      <c r="BO189" s="42"/>
      <c r="BP189" s="42"/>
      <c r="BQ189" s="42"/>
      <c r="BR189" s="42"/>
      <c r="BS189" s="42"/>
      <c r="BT189" s="42"/>
      <c r="BU189" s="42"/>
      <c r="BV189" s="42"/>
      <c r="BW189" s="42"/>
      <c r="BX189" s="42"/>
      <c r="BY189" s="42"/>
      <c r="BZ189" s="42"/>
      <c r="CA189" s="42"/>
      <c r="CB189" s="42"/>
      <c r="CC189" s="42"/>
      <c r="CD189" s="245"/>
      <c r="CE189" s="42"/>
      <c r="CF189" s="42"/>
      <c r="CG189" s="42"/>
      <c r="CH189" s="42"/>
      <c r="CI189" s="42"/>
      <c r="CJ189" s="42"/>
      <c r="CK189" s="42"/>
      <c r="CL189" s="42"/>
      <c r="CM189" s="42"/>
      <c r="CN189" s="42"/>
      <c r="CO189" s="42"/>
      <c r="CP189" s="42"/>
      <c r="CQ189" s="42"/>
      <c r="CR189" s="42"/>
      <c r="CS189" s="42"/>
      <c r="CT189" s="42"/>
      <c r="CU189" s="42"/>
      <c r="CV189" s="42"/>
      <c r="CW189" s="245"/>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row>
    <row r="190" spans="1:131">
      <c r="A190" s="18"/>
      <c r="B190" s="18" t="s">
        <v>92</v>
      </c>
      <c r="C190" s="254">
        <v>0</v>
      </c>
      <c r="D190" s="254">
        <v>0</v>
      </c>
      <c r="E190" s="254">
        <v>0</v>
      </c>
      <c r="F190" s="254">
        <v>0</v>
      </c>
      <c r="G190" s="254">
        <v>0</v>
      </c>
      <c r="H190" s="254">
        <v>0</v>
      </c>
      <c r="I190" s="254">
        <v>0</v>
      </c>
      <c r="J190" s="254">
        <v>0</v>
      </c>
      <c r="K190" s="254">
        <v>0</v>
      </c>
      <c r="L190" s="255">
        <v>0</v>
      </c>
      <c r="M190" s="254">
        <v>0</v>
      </c>
      <c r="N190" s="254">
        <v>0</v>
      </c>
      <c r="O190" s="254">
        <v>0</v>
      </c>
      <c r="P190" s="254">
        <v>0</v>
      </c>
      <c r="Q190" s="254">
        <v>0</v>
      </c>
      <c r="R190" s="254">
        <v>0</v>
      </c>
      <c r="S190" s="254">
        <v>0</v>
      </c>
      <c r="T190" s="254">
        <v>0</v>
      </c>
      <c r="U190" s="254">
        <v>0</v>
      </c>
      <c r="V190" s="254">
        <v>0</v>
      </c>
      <c r="W190" s="254">
        <v>0</v>
      </c>
      <c r="X190" s="254">
        <v>0</v>
      </c>
      <c r="Y190" s="254">
        <v>0</v>
      </c>
      <c r="Z190" s="254"/>
      <c r="AA190" s="254">
        <v>0</v>
      </c>
      <c r="AB190" s="254">
        <v>0</v>
      </c>
      <c r="AC190" s="254">
        <v>0</v>
      </c>
      <c r="AD190" s="254">
        <v>0</v>
      </c>
      <c r="AE190" s="254">
        <v>0</v>
      </c>
      <c r="AF190" s="254">
        <v>0</v>
      </c>
      <c r="AG190" s="254">
        <v>0</v>
      </c>
      <c r="AH190" s="254">
        <v>0</v>
      </c>
      <c r="AI190" s="254">
        <v>0</v>
      </c>
      <c r="AJ190" s="254">
        <v>0</v>
      </c>
      <c r="AK190" s="254">
        <v>0</v>
      </c>
      <c r="AL190" s="254">
        <v>0</v>
      </c>
      <c r="AM190" s="42"/>
      <c r="AN190" s="42"/>
      <c r="AO190" s="42"/>
      <c r="AP190" s="42"/>
      <c r="AQ190" s="42"/>
      <c r="AR190" s="42"/>
      <c r="AS190" s="245"/>
      <c r="AT190" s="42"/>
      <c r="AU190" s="42"/>
      <c r="AV190" s="42"/>
      <c r="AW190" s="42"/>
      <c r="AX190" s="42"/>
      <c r="AY190" s="42"/>
      <c r="AZ190" s="245"/>
      <c r="BA190" s="42"/>
      <c r="BB190" s="42"/>
      <c r="BC190" s="42"/>
      <c r="BD190" s="42"/>
      <c r="BE190" s="42"/>
      <c r="BF190" s="42"/>
      <c r="BG190" s="42"/>
      <c r="BH190" s="245"/>
      <c r="BI190" s="42"/>
      <c r="BJ190" s="42"/>
      <c r="BK190" s="42"/>
      <c r="BL190" s="42"/>
      <c r="BM190" s="42"/>
      <c r="BN190" s="42"/>
      <c r="BO190" s="42"/>
      <c r="BP190" s="42"/>
      <c r="BQ190" s="42"/>
      <c r="BR190" s="42"/>
      <c r="BS190" s="42"/>
      <c r="BT190" s="42"/>
      <c r="BU190" s="42"/>
      <c r="BV190" s="42"/>
      <c r="BW190" s="42"/>
      <c r="BX190" s="42"/>
      <c r="BY190" s="42"/>
      <c r="BZ190" s="42"/>
      <c r="CA190" s="42"/>
      <c r="CB190" s="42"/>
      <c r="CC190" s="42"/>
      <c r="CD190" s="245"/>
      <c r="CE190" s="42"/>
      <c r="CF190" s="42"/>
      <c r="CG190" s="42"/>
      <c r="CH190" s="42"/>
      <c r="CI190" s="42"/>
      <c r="CJ190" s="42"/>
      <c r="CK190" s="42"/>
      <c r="CL190" s="42"/>
      <c r="CM190" s="42"/>
      <c r="CN190" s="42"/>
      <c r="CO190" s="42"/>
      <c r="CP190" s="42"/>
      <c r="CQ190" s="42"/>
      <c r="CR190" s="42"/>
      <c r="CS190" s="42"/>
      <c r="CT190" s="42"/>
      <c r="CU190" s="42"/>
      <c r="CV190" s="42"/>
      <c r="CW190" s="245"/>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row>
    <row r="191" spans="1:131">
      <c r="A191" s="18"/>
      <c r="B191" s="18" t="s">
        <v>95</v>
      </c>
      <c r="C191" s="42">
        <v>24.700676711430738</v>
      </c>
      <c r="D191" s="42">
        <v>16.176643769731875</v>
      </c>
      <c r="E191" s="42">
        <v>3.2353287539463751</v>
      </c>
      <c r="F191" s="42">
        <v>19.411972523678251</v>
      </c>
      <c r="G191" s="42">
        <v>59.357453272526556</v>
      </c>
      <c r="H191" s="42">
        <v>18.917428496047027</v>
      </c>
      <c r="I191" s="42">
        <v>6884.3813995074852</v>
      </c>
      <c r="J191" s="42">
        <v>30.780500113517938</v>
      </c>
      <c r="K191" s="42">
        <v>158.76451573600036</v>
      </c>
      <c r="L191" s="245">
        <v>0.31870350651992863</v>
      </c>
      <c r="M191" s="42">
        <v>0.27928640198987775</v>
      </c>
      <c r="N191" s="32">
        <v>1.5488592434636106</v>
      </c>
      <c r="O191" s="32">
        <v>1.3926757067556841</v>
      </c>
      <c r="P191" s="32">
        <v>1.6026117157584336</v>
      </c>
      <c r="Q191" s="32">
        <v>1.4909432718543059</v>
      </c>
      <c r="R191" s="32">
        <v>1.5221647780444427</v>
      </c>
      <c r="S191" s="32">
        <v>1.5067370817335703</v>
      </c>
      <c r="T191" s="32">
        <v>1.43142594790773</v>
      </c>
      <c r="U191" s="32">
        <v>1.4914914810008908</v>
      </c>
      <c r="V191" s="32">
        <v>1.39352980020093</v>
      </c>
      <c r="W191" s="32">
        <v>1.5888887703893186</v>
      </c>
      <c r="X191" s="32">
        <v>1.4060801753599754</v>
      </c>
      <c r="Y191" s="32">
        <v>1.5308537405758809</v>
      </c>
      <c r="Z191" s="32"/>
      <c r="AA191" s="32">
        <v>0.65758318329078591</v>
      </c>
      <c r="AB191" s="32">
        <v>0.56497617068138839</v>
      </c>
      <c r="AC191" s="32">
        <v>0.54193109487905278</v>
      </c>
      <c r="AD191" s="32">
        <v>0.56586641284867811</v>
      </c>
      <c r="AE191" s="32">
        <v>0.55519082071441905</v>
      </c>
      <c r="AF191" s="32">
        <v>0.48716454901994061</v>
      </c>
      <c r="AG191" s="32">
        <v>0.5719931068914792</v>
      </c>
      <c r="AH191" s="32">
        <v>0.46909220471197721</v>
      </c>
      <c r="AI191" s="32">
        <v>0.5775033869179772</v>
      </c>
      <c r="AJ191" s="32">
        <v>0.51868812775569584</v>
      </c>
      <c r="AK191" s="32">
        <v>0.62231916837363044</v>
      </c>
      <c r="AL191" s="32">
        <v>0.66210677230093873</v>
      </c>
      <c r="AM191" s="42"/>
      <c r="AN191" s="42"/>
      <c r="AO191" s="42"/>
      <c r="AP191" s="42"/>
      <c r="AQ191" s="42"/>
      <c r="AR191" s="42"/>
      <c r="AS191" s="245"/>
      <c r="AT191" s="42"/>
      <c r="AU191" s="42"/>
      <c r="AV191" s="42"/>
      <c r="AW191" s="42"/>
      <c r="AX191" s="42"/>
      <c r="AY191" s="42"/>
      <c r="AZ191" s="245"/>
      <c r="BA191" s="42"/>
      <c r="BB191" s="42"/>
      <c r="BC191" s="42"/>
      <c r="BD191" s="42"/>
      <c r="BE191" s="42"/>
      <c r="BF191" s="42"/>
      <c r="BG191" s="42"/>
      <c r="BH191" s="245"/>
      <c r="BI191" s="42"/>
      <c r="BJ191" s="42"/>
      <c r="BK191" s="42"/>
      <c r="BL191" s="42"/>
      <c r="BM191" s="42"/>
      <c r="BN191" s="42"/>
      <c r="BO191" s="42"/>
      <c r="BP191" s="42"/>
      <c r="BQ191" s="42"/>
      <c r="BR191" s="42"/>
      <c r="BS191" s="42"/>
      <c r="BT191" s="42"/>
      <c r="BU191" s="42"/>
      <c r="BV191" s="42"/>
      <c r="BW191" s="42"/>
      <c r="BX191" s="42"/>
      <c r="BY191" s="42"/>
      <c r="BZ191" s="42"/>
      <c r="CA191" s="42"/>
      <c r="CB191" s="42"/>
      <c r="CC191" s="42"/>
      <c r="CD191" s="245"/>
      <c r="CE191" s="42"/>
      <c r="CF191" s="42"/>
      <c r="CG191" s="42"/>
      <c r="CH191" s="42"/>
      <c r="CI191" s="42"/>
      <c r="CJ191" s="42"/>
      <c r="CK191" s="42"/>
      <c r="CL191" s="42"/>
      <c r="CM191" s="42"/>
      <c r="CN191" s="42"/>
      <c r="CO191" s="42"/>
      <c r="CP191" s="42"/>
      <c r="CQ191" s="42"/>
      <c r="CR191" s="42"/>
      <c r="CS191" s="42"/>
      <c r="CT191" s="42"/>
      <c r="CU191" s="42"/>
      <c r="CV191" s="42"/>
      <c r="CW191" s="245"/>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row>
    <row r="192" spans="1:131">
      <c r="A192" s="18"/>
      <c r="B192" s="18" t="s">
        <v>98</v>
      </c>
      <c r="C192" s="254">
        <v>0</v>
      </c>
      <c r="D192" s="254">
        <v>0</v>
      </c>
      <c r="E192" s="254">
        <v>0</v>
      </c>
      <c r="F192" s="254">
        <v>0</v>
      </c>
      <c r="G192" s="254">
        <v>0</v>
      </c>
      <c r="H192" s="254">
        <v>0</v>
      </c>
      <c r="I192" s="254">
        <v>0</v>
      </c>
      <c r="J192" s="254">
        <v>0</v>
      </c>
      <c r="K192" s="254">
        <v>0</v>
      </c>
      <c r="L192" s="255">
        <v>0</v>
      </c>
      <c r="M192" s="254">
        <v>0</v>
      </c>
      <c r="N192" s="254">
        <v>0</v>
      </c>
      <c r="O192" s="254">
        <v>0</v>
      </c>
      <c r="P192" s="254">
        <v>0</v>
      </c>
      <c r="Q192" s="254">
        <v>0</v>
      </c>
      <c r="R192" s="254">
        <v>0</v>
      </c>
      <c r="S192" s="254">
        <v>0</v>
      </c>
      <c r="T192" s="254">
        <v>0</v>
      </c>
      <c r="U192" s="254">
        <v>0</v>
      </c>
      <c r="V192" s="254">
        <v>0</v>
      </c>
      <c r="W192" s="254">
        <v>0</v>
      </c>
      <c r="X192" s="254">
        <v>0</v>
      </c>
      <c r="Y192" s="254">
        <v>0</v>
      </c>
      <c r="Z192" s="254"/>
      <c r="AA192" s="254">
        <v>0</v>
      </c>
      <c r="AB192" s="254">
        <v>0</v>
      </c>
      <c r="AC192" s="254">
        <v>0</v>
      </c>
      <c r="AD192" s="254">
        <v>0</v>
      </c>
      <c r="AE192" s="254">
        <v>0</v>
      </c>
      <c r="AF192" s="254">
        <v>0</v>
      </c>
      <c r="AG192" s="254">
        <v>0</v>
      </c>
      <c r="AH192" s="254">
        <v>0</v>
      </c>
      <c r="AI192" s="254">
        <v>0</v>
      </c>
      <c r="AJ192" s="254">
        <v>0</v>
      </c>
      <c r="AK192" s="254">
        <v>0</v>
      </c>
      <c r="AL192" s="254">
        <v>0</v>
      </c>
      <c r="AM192" s="42"/>
      <c r="AN192" s="42"/>
      <c r="AO192" s="42"/>
      <c r="AP192" s="42"/>
      <c r="AQ192" s="42"/>
      <c r="AR192" s="42"/>
      <c r="AS192" s="245"/>
      <c r="AT192" s="42"/>
      <c r="AU192" s="42"/>
      <c r="AV192" s="42"/>
      <c r="AW192" s="42"/>
      <c r="AX192" s="42"/>
      <c r="AY192" s="42"/>
      <c r="AZ192" s="245"/>
      <c r="BA192" s="42"/>
      <c r="BB192" s="42"/>
      <c r="BC192" s="42"/>
      <c r="BD192" s="42"/>
      <c r="BE192" s="42"/>
      <c r="BF192" s="42"/>
      <c r="BG192" s="42"/>
      <c r="BH192" s="245"/>
      <c r="BI192" s="42"/>
      <c r="BJ192" s="42"/>
      <c r="BK192" s="42"/>
      <c r="BL192" s="42"/>
      <c r="BM192" s="42"/>
      <c r="BN192" s="42"/>
      <c r="BO192" s="42"/>
      <c r="BP192" s="42"/>
      <c r="BQ192" s="42"/>
      <c r="BR192" s="42"/>
      <c r="BS192" s="42"/>
      <c r="BT192" s="42"/>
      <c r="BU192" s="42"/>
      <c r="BV192" s="42"/>
      <c r="BW192" s="42"/>
      <c r="BX192" s="42"/>
      <c r="BY192" s="42"/>
      <c r="BZ192" s="42"/>
      <c r="CA192" s="42"/>
      <c r="CB192" s="42"/>
      <c r="CC192" s="42"/>
      <c r="CD192" s="245"/>
      <c r="CE192" s="42"/>
      <c r="CF192" s="42"/>
      <c r="CG192" s="42"/>
      <c r="CH192" s="42"/>
      <c r="CI192" s="42"/>
      <c r="CJ192" s="42"/>
      <c r="CK192" s="42"/>
      <c r="CL192" s="42"/>
      <c r="CM192" s="42"/>
      <c r="CN192" s="42"/>
      <c r="CO192" s="42"/>
      <c r="CP192" s="42"/>
      <c r="CQ192" s="42"/>
      <c r="CR192" s="42"/>
      <c r="CS192" s="42"/>
      <c r="CT192" s="42"/>
      <c r="CU192" s="42"/>
      <c r="CV192" s="42"/>
      <c r="CW192" s="245"/>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row>
    <row r="193" spans="1:131">
      <c r="A193" s="18"/>
      <c r="B193" s="18" t="s">
        <v>101</v>
      </c>
      <c r="C193" s="254">
        <v>0</v>
      </c>
      <c r="D193" s="254">
        <v>0</v>
      </c>
      <c r="E193" s="254">
        <v>0</v>
      </c>
      <c r="F193" s="254">
        <v>0</v>
      </c>
      <c r="G193" s="254">
        <v>0</v>
      </c>
      <c r="H193" s="254">
        <v>0</v>
      </c>
      <c r="I193" s="254">
        <v>0</v>
      </c>
      <c r="J193" s="254">
        <v>0</v>
      </c>
      <c r="K193" s="254">
        <v>0</v>
      </c>
      <c r="L193" s="255">
        <v>0</v>
      </c>
      <c r="M193" s="254">
        <v>0</v>
      </c>
      <c r="N193" s="254">
        <v>0</v>
      </c>
      <c r="O193" s="254">
        <v>0</v>
      </c>
      <c r="P193" s="254">
        <v>0</v>
      </c>
      <c r="Q193" s="254">
        <v>0</v>
      </c>
      <c r="R193" s="254">
        <v>0</v>
      </c>
      <c r="S193" s="254">
        <v>0</v>
      </c>
      <c r="T193" s="254">
        <v>0</v>
      </c>
      <c r="U193" s="254">
        <v>0</v>
      </c>
      <c r="V193" s="254">
        <v>0</v>
      </c>
      <c r="W193" s="254">
        <v>0</v>
      </c>
      <c r="X193" s="254">
        <v>0</v>
      </c>
      <c r="Y193" s="254">
        <v>0</v>
      </c>
      <c r="Z193" s="254"/>
      <c r="AA193" s="254">
        <v>0</v>
      </c>
      <c r="AB193" s="254">
        <v>0</v>
      </c>
      <c r="AC193" s="254">
        <v>0</v>
      </c>
      <c r="AD193" s="254">
        <v>0</v>
      </c>
      <c r="AE193" s="254">
        <v>0</v>
      </c>
      <c r="AF193" s="254">
        <v>0</v>
      </c>
      <c r="AG193" s="254">
        <v>0</v>
      </c>
      <c r="AH193" s="254">
        <v>0</v>
      </c>
      <c r="AI193" s="254">
        <v>0</v>
      </c>
      <c r="AJ193" s="254">
        <v>0</v>
      </c>
      <c r="AK193" s="254">
        <v>0</v>
      </c>
      <c r="AL193" s="254">
        <v>0</v>
      </c>
      <c r="AM193" s="42"/>
      <c r="AN193" s="42"/>
      <c r="AO193" s="42"/>
      <c r="AP193" s="42"/>
      <c r="AQ193" s="42"/>
      <c r="AR193" s="42"/>
      <c r="AS193" s="245"/>
      <c r="AT193" s="42"/>
      <c r="AU193" s="42"/>
      <c r="AV193" s="42"/>
      <c r="AW193" s="42"/>
      <c r="AX193" s="42"/>
      <c r="AY193" s="42"/>
      <c r="AZ193" s="245"/>
      <c r="BA193" s="42"/>
      <c r="BB193" s="42"/>
      <c r="BC193" s="42"/>
      <c r="BD193" s="42"/>
      <c r="BE193" s="42"/>
      <c r="BF193" s="42"/>
      <c r="BG193" s="42"/>
      <c r="BH193" s="245"/>
      <c r="BI193" s="42"/>
      <c r="BJ193" s="42"/>
      <c r="BK193" s="42"/>
      <c r="BL193" s="42"/>
      <c r="BM193" s="42"/>
      <c r="BN193" s="42"/>
      <c r="BO193" s="42"/>
      <c r="BP193" s="42"/>
      <c r="BQ193" s="42"/>
      <c r="BR193" s="42"/>
      <c r="BS193" s="42"/>
      <c r="BT193" s="42"/>
      <c r="BU193" s="42"/>
      <c r="BV193" s="42"/>
      <c r="BW193" s="42"/>
      <c r="BX193" s="42"/>
      <c r="BY193" s="42"/>
      <c r="BZ193" s="42"/>
      <c r="CA193" s="42"/>
      <c r="CB193" s="42"/>
      <c r="CC193" s="42"/>
      <c r="CD193" s="245"/>
      <c r="CE193" s="42"/>
      <c r="CF193" s="42"/>
      <c r="CG193" s="42"/>
      <c r="CH193" s="42"/>
      <c r="CI193" s="42"/>
      <c r="CJ193" s="42"/>
      <c r="CK193" s="42"/>
      <c r="CL193" s="42"/>
      <c r="CM193" s="42"/>
      <c r="CN193" s="42"/>
      <c r="CO193" s="42"/>
      <c r="CP193" s="42"/>
      <c r="CQ193" s="42"/>
      <c r="CR193" s="42"/>
      <c r="CS193" s="42"/>
      <c r="CT193" s="42"/>
      <c r="CU193" s="42"/>
      <c r="CV193" s="42"/>
      <c r="CW193" s="245"/>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row>
    <row r="194" spans="1:131">
      <c r="A194" s="18"/>
      <c r="B194" s="18" t="s">
        <v>104</v>
      </c>
      <c r="C194" s="254">
        <v>0</v>
      </c>
      <c r="D194" s="254">
        <v>0</v>
      </c>
      <c r="E194" s="254">
        <v>0</v>
      </c>
      <c r="F194" s="254">
        <v>0</v>
      </c>
      <c r="G194" s="254">
        <v>0</v>
      </c>
      <c r="H194" s="254">
        <v>0</v>
      </c>
      <c r="I194" s="254">
        <v>0</v>
      </c>
      <c r="J194" s="254">
        <v>0</v>
      </c>
      <c r="K194" s="254">
        <v>0</v>
      </c>
      <c r="L194" s="255">
        <v>0</v>
      </c>
      <c r="M194" s="254">
        <v>0</v>
      </c>
      <c r="N194" s="254">
        <v>0</v>
      </c>
      <c r="O194" s="254">
        <v>0</v>
      </c>
      <c r="P194" s="254">
        <v>0</v>
      </c>
      <c r="Q194" s="254">
        <v>0</v>
      </c>
      <c r="R194" s="254">
        <v>0</v>
      </c>
      <c r="S194" s="254">
        <v>0</v>
      </c>
      <c r="T194" s="254">
        <v>0</v>
      </c>
      <c r="U194" s="254">
        <v>0</v>
      </c>
      <c r="V194" s="254">
        <v>0</v>
      </c>
      <c r="W194" s="254">
        <v>0</v>
      </c>
      <c r="X194" s="254">
        <v>0</v>
      </c>
      <c r="Y194" s="254">
        <v>0</v>
      </c>
      <c r="Z194" s="254"/>
      <c r="AA194" s="254">
        <v>0</v>
      </c>
      <c r="AB194" s="254">
        <v>0</v>
      </c>
      <c r="AC194" s="254">
        <v>0</v>
      </c>
      <c r="AD194" s="254">
        <v>0</v>
      </c>
      <c r="AE194" s="254">
        <v>0</v>
      </c>
      <c r="AF194" s="254">
        <v>0</v>
      </c>
      <c r="AG194" s="254">
        <v>0</v>
      </c>
      <c r="AH194" s="254">
        <v>0</v>
      </c>
      <c r="AI194" s="254">
        <v>0</v>
      </c>
      <c r="AJ194" s="254">
        <v>0</v>
      </c>
      <c r="AK194" s="254">
        <v>0</v>
      </c>
      <c r="AL194" s="254">
        <v>0</v>
      </c>
      <c r="AM194" s="42"/>
      <c r="AN194" s="42"/>
      <c r="AO194" s="42"/>
      <c r="AP194" s="42"/>
      <c r="AQ194" s="42"/>
      <c r="AR194" s="42"/>
      <c r="AS194" s="245"/>
      <c r="AT194" s="42"/>
      <c r="AU194" s="42"/>
      <c r="AV194" s="42"/>
      <c r="AW194" s="42"/>
      <c r="AX194" s="42"/>
      <c r="AY194" s="42"/>
      <c r="AZ194" s="245"/>
      <c r="BA194" s="42"/>
      <c r="BB194" s="42"/>
      <c r="BC194" s="42"/>
      <c r="BD194" s="42"/>
      <c r="BE194" s="42"/>
      <c r="BF194" s="42"/>
      <c r="BG194" s="42"/>
      <c r="BH194" s="245"/>
      <c r="BI194" s="42"/>
      <c r="BJ194" s="42"/>
      <c r="BK194" s="42"/>
      <c r="BL194" s="42"/>
      <c r="BM194" s="42"/>
      <c r="BN194" s="42"/>
      <c r="BO194" s="42"/>
      <c r="BP194" s="42"/>
      <c r="BQ194" s="42"/>
      <c r="BR194" s="42"/>
      <c r="BS194" s="42"/>
      <c r="BT194" s="42"/>
      <c r="BU194" s="42"/>
      <c r="BV194" s="42"/>
      <c r="BW194" s="42"/>
      <c r="BX194" s="42"/>
      <c r="BY194" s="42"/>
      <c r="BZ194" s="42"/>
      <c r="CA194" s="42"/>
      <c r="CB194" s="42"/>
      <c r="CC194" s="42"/>
      <c r="CD194" s="245"/>
      <c r="CE194" s="42"/>
      <c r="CF194" s="42"/>
      <c r="CG194" s="42"/>
      <c r="CH194" s="42"/>
      <c r="CI194" s="42"/>
      <c r="CJ194" s="42"/>
      <c r="CK194" s="42"/>
      <c r="CL194" s="42"/>
      <c r="CM194" s="42"/>
      <c r="CN194" s="42"/>
      <c r="CO194" s="42"/>
      <c r="CP194" s="42"/>
      <c r="CQ194" s="42"/>
      <c r="CR194" s="42"/>
      <c r="CS194" s="42"/>
      <c r="CT194" s="42"/>
      <c r="CU194" s="42"/>
      <c r="CV194" s="42"/>
      <c r="CW194" s="245"/>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row>
    <row r="195" spans="1:131">
      <c r="A195" s="18"/>
      <c r="B195" s="18" t="s">
        <v>107</v>
      </c>
      <c r="C195" s="254">
        <v>0</v>
      </c>
      <c r="D195" s="254">
        <v>0</v>
      </c>
      <c r="E195" s="254">
        <v>0</v>
      </c>
      <c r="F195" s="254">
        <v>0</v>
      </c>
      <c r="G195" s="254">
        <v>0</v>
      </c>
      <c r="H195" s="254">
        <v>0</v>
      </c>
      <c r="I195" s="254">
        <v>0</v>
      </c>
      <c r="J195" s="254">
        <v>0</v>
      </c>
      <c r="K195" s="254">
        <v>0</v>
      </c>
      <c r="L195" s="255">
        <v>0</v>
      </c>
      <c r="M195" s="254">
        <v>0</v>
      </c>
      <c r="N195" s="254">
        <v>0</v>
      </c>
      <c r="O195" s="254">
        <v>0</v>
      </c>
      <c r="P195" s="254">
        <v>0</v>
      </c>
      <c r="Q195" s="254">
        <v>0</v>
      </c>
      <c r="R195" s="254">
        <v>0</v>
      </c>
      <c r="S195" s="254">
        <v>0</v>
      </c>
      <c r="T195" s="254">
        <v>0</v>
      </c>
      <c r="U195" s="254">
        <v>0</v>
      </c>
      <c r="V195" s="254">
        <v>0</v>
      </c>
      <c r="W195" s="254">
        <v>0</v>
      </c>
      <c r="X195" s="254">
        <v>0</v>
      </c>
      <c r="Y195" s="254">
        <v>0</v>
      </c>
      <c r="Z195" s="254"/>
      <c r="AA195" s="254">
        <v>0</v>
      </c>
      <c r="AB195" s="254">
        <v>0</v>
      </c>
      <c r="AC195" s="254">
        <v>0</v>
      </c>
      <c r="AD195" s="254">
        <v>0</v>
      </c>
      <c r="AE195" s="254">
        <v>0</v>
      </c>
      <c r="AF195" s="254">
        <v>0</v>
      </c>
      <c r="AG195" s="254">
        <v>0</v>
      </c>
      <c r="AH195" s="254">
        <v>0</v>
      </c>
      <c r="AI195" s="254">
        <v>0</v>
      </c>
      <c r="AJ195" s="254">
        <v>0</v>
      </c>
      <c r="AK195" s="254">
        <v>0</v>
      </c>
      <c r="AL195" s="254">
        <v>0</v>
      </c>
      <c r="AM195" s="42"/>
      <c r="AN195" s="42"/>
      <c r="AO195" s="42"/>
      <c r="AP195" s="42"/>
      <c r="AQ195" s="42"/>
      <c r="AR195" s="42"/>
      <c r="AS195" s="245"/>
      <c r="AT195" s="42"/>
      <c r="AU195" s="42"/>
      <c r="AV195" s="42"/>
      <c r="AW195" s="42"/>
      <c r="AX195" s="42"/>
      <c r="AY195" s="42"/>
      <c r="AZ195" s="245"/>
      <c r="BA195" s="42"/>
      <c r="BB195" s="42"/>
      <c r="BC195" s="42"/>
      <c r="BD195" s="42"/>
      <c r="BE195" s="42"/>
      <c r="BF195" s="42"/>
      <c r="BG195" s="42"/>
      <c r="BH195" s="245"/>
      <c r="BI195" s="42"/>
      <c r="BJ195" s="42"/>
      <c r="BK195" s="42"/>
      <c r="BL195" s="42"/>
      <c r="BM195" s="42"/>
      <c r="BN195" s="42"/>
      <c r="BO195" s="42"/>
      <c r="BP195" s="42"/>
      <c r="BQ195" s="42"/>
      <c r="BR195" s="42"/>
      <c r="BS195" s="42"/>
      <c r="BT195" s="42"/>
      <c r="BU195" s="42"/>
      <c r="BV195" s="42"/>
      <c r="BW195" s="42"/>
      <c r="BX195" s="42"/>
      <c r="BY195" s="42"/>
      <c r="BZ195" s="42"/>
      <c r="CA195" s="42"/>
      <c r="CB195" s="42"/>
      <c r="CC195" s="42"/>
      <c r="CD195" s="245"/>
      <c r="CE195" s="42"/>
      <c r="CF195" s="42"/>
      <c r="CG195" s="42"/>
      <c r="CH195" s="42"/>
      <c r="CI195" s="42"/>
      <c r="CJ195" s="42"/>
      <c r="CK195" s="42"/>
      <c r="CL195" s="42"/>
      <c r="CM195" s="42"/>
      <c r="CN195" s="42"/>
      <c r="CO195" s="42"/>
      <c r="CP195" s="42"/>
      <c r="CQ195" s="42"/>
      <c r="CR195" s="42"/>
      <c r="CS195" s="42"/>
      <c r="CT195" s="42"/>
      <c r="CU195" s="42"/>
      <c r="CV195" s="42"/>
      <c r="CW195" s="245"/>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row>
    <row r="196" spans="1:131">
      <c r="A196" s="18"/>
      <c r="B196" s="18" t="s">
        <v>144</v>
      </c>
      <c r="C196" s="254">
        <v>0</v>
      </c>
      <c r="D196" s="254">
        <v>0</v>
      </c>
      <c r="E196" s="254">
        <v>0</v>
      </c>
      <c r="F196" s="254">
        <v>0</v>
      </c>
      <c r="G196" s="254">
        <v>0</v>
      </c>
      <c r="H196" s="254">
        <v>0</v>
      </c>
      <c r="I196" s="254">
        <v>0</v>
      </c>
      <c r="J196" s="254">
        <v>0</v>
      </c>
      <c r="K196" s="254">
        <v>0</v>
      </c>
      <c r="L196" s="255">
        <v>0</v>
      </c>
      <c r="M196" s="254">
        <v>0</v>
      </c>
      <c r="N196" s="254">
        <v>0</v>
      </c>
      <c r="O196" s="254">
        <v>0</v>
      </c>
      <c r="P196" s="254">
        <v>0</v>
      </c>
      <c r="Q196" s="254">
        <v>0</v>
      </c>
      <c r="R196" s="254">
        <v>0</v>
      </c>
      <c r="S196" s="254">
        <v>0</v>
      </c>
      <c r="T196" s="254">
        <v>0</v>
      </c>
      <c r="U196" s="254">
        <v>0</v>
      </c>
      <c r="V196" s="254">
        <v>0</v>
      </c>
      <c r="W196" s="254">
        <v>0</v>
      </c>
      <c r="X196" s="254">
        <v>0</v>
      </c>
      <c r="Y196" s="254">
        <v>0</v>
      </c>
      <c r="Z196" s="254"/>
      <c r="AA196" s="254">
        <v>0</v>
      </c>
      <c r="AB196" s="254">
        <v>0</v>
      </c>
      <c r="AC196" s="254">
        <v>0</v>
      </c>
      <c r="AD196" s="254">
        <v>0</v>
      </c>
      <c r="AE196" s="254">
        <v>0</v>
      </c>
      <c r="AF196" s="254">
        <v>0</v>
      </c>
      <c r="AG196" s="254">
        <v>0</v>
      </c>
      <c r="AH196" s="254">
        <v>0</v>
      </c>
      <c r="AI196" s="254">
        <v>0</v>
      </c>
      <c r="AJ196" s="254">
        <v>0</v>
      </c>
      <c r="AK196" s="254">
        <v>0</v>
      </c>
      <c r="AL196" s="254">
        <v>0</v>
      </c>
      <c r="AM196" s="42"/>
      <c r="AN196" s="42"/>
      <c r="AO196" s="42"/>
      <c r="AP196" s="42"/>
      <c r="AQ196" s="42"/>
      <c r="AR196" s="42"/>
      <c r="AS196" s="245"/>
      <c r="AT196" s="42"/>
      <c r="AU196" s="42"/>
      <c r="AV196" s="42"/>
      <c r="AW196" s="42"/>
      <c r="AX196" s="42"/>
      <c r="AY196" s="42"/>
      <c r="AZ196" s="245"/>
      <c r="BA196" s="42"/>
      <c r="BB196" s="42"/>
      <c r="BC196" s="42"/>
      <c r="BD196" s="42"/>
      <c r="BE196" s="42"/>
      <c r="BF196" s="42"/>
      <c r="BG196" s="42"/>
      <c r="BH196" s="245"/>
      <c r="BI196" s="42"/>
      <c r="BJ196" s="42"/>
      <c r="BK196" s="42"/>
      <c r="BL196" s="42"/>
      <c r="BM196" s="42"/>
      <c r="BN196" s="42"/>
      <c r="BO196" s="42"/>
      <c r="BP196" s="42"/>
      <c r="BQ196" s="42"/>
      <c r="BR196" s="42"/>
      <c r="BS196" s="42"/>
      <c r="BT196" s="42"/>
      <c r="BU196" s="42"/>
      <c r="BV196" s="42"/>
      <c r="BW196" s="42"/>
      <c r="BX196" s="42"/>
      <c r="BY196" s="42"/>
      <c r="BZ196" s="42"/>
      <c r="CA196" s="42"/>
      <c r="CB196" s="42"/>
      <c r="CC196" s="42"/>
      <c r="CD196" s="245"/>
      <c r="CE196" s="42"/>
      <c r="CF196" s="42"/>
      <c r="CG196" s="42"/>
      <c r="CH196" s="42"/>
      <c r="CI196" s="42"/>
      <c r="CJ196" s="42"/>
      <c r="CK196" s="42"/>
      <c r="CL196" s="42"/>
      <c r="CM196" s="42"/>
      <c r="CN196" s="42"/>
      <c r="CO196" s="42"/>
      <c r="CP196" s="42"/>
      <c r="CQ196" s="42"/>
      <c r="CR196" s="42"/>
      <c r="CS196" s="42"/>
      <c r="CT196" s="42"/>
      <c r="CU196" s="42"/>
      <c r="CV196" s="42"/>
      <c r="CW196" s="245"/>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row>
    <row r="197" spans="1:131">
      <c r="A197" s="18"/>
      <c r="B197" s="18"/>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245"/>
      <c r="AT197" s="42"/>
      <c r="AU197" s="42"/>
      <c r="AV197" s="42"/>
      <c r="AW197" s="42"/>
      <c r="AX197" s="42"/>
      <c r="AY197" s="42"/>
      <c r="AZ197" s="245"/>
      <c r="BA197" s="42"/>
      <c r="BB197" s="42"/>
      <c r="BC197" s="42"/>
      <c r="BD197" s="42"/>
      <c r="BE197" s="42"/>
      <c r="BF197" s="42"/>
      <c r="BG197" s="42"/>
      <c r="BH197" s="245"/>
      <c r="BI197" s="42"/>
      <c r="BJ197" s="42"/>
      <c r="BK197" s="42"/>
      <c r="BL197" s="42"/>
      <c r="BM197" s="42"/>
      <c r="BN197" s="42"/>
      <c r="BO197" s="42"/>
      <c r="BP197" s="42"/>
      <c r="BQ197" s="42"/>
      <c r="BR197" s="42"/>
      <c r="BS197" s="42"/>
      <c r="BT197" s="42"/>
      <c r="BU197" s="42"/>
      <c r="BV197" s="42"/>
      <c r="BW197" s="42"/>
      <c r="BX197" s="42"/>
      <c r="BY197" s="42"/>
      <c r="BZ197" s="42"/>
      <c r="CA197" s="42"/>
      <c r="CB197" s="42"/>
      <c r="CC197" s="42"/>
      <c r="CD197" s="245"/>
      <c r="CE197" s="42"/>
      <c r="CF197" s="42"/>
      <c r="CG197" s="42"/>
      <c r="CH197" s="42"/>
      <c r="CI197" s="42"/>
      <c r="CJ197" s="42"/>
      <c r="CK197" s="42"/>
      <c r="CL197" s="42"/>
      <c r="CM197" s="42"/>
      <c r="CN197" s="42"/>
      <c r="CO197" s="42"/>
      <c r="CP197" s="42"/>
      <c r="CQ197" s="42"/>
      <c r="CR197" s="42"/>
      <c r="CS197" s="42"/>
      <c r="CT197" s="42"/>
      <c r="CU197" s="42"/>
      <c r="CV197" s="42"/>
      <c r="CW197" s="245"/>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row>
    <row r="198" spans="1:131">
      <c r="A198" s="18"/>
      <c r="B198" s="18"/>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c r="AI198" s="42"/>
      <c r="AJ198" s="42"/>
      <c r="AK198" s="42"/>
      <c r="AL198" s="42"/>
      <c r="AM198" s="42"/>
      <c r="AN198" s="42"/>
      <c r="AO198" s="42"/>
      <c r="AP198" s="42"/>
      <c r="AQ198" s="42"/>
      <c r="AR198" s="42"/>
      <c r="AS198" s="245"/>
      <c r="AT198" s="42"/>
      <c r="AU198" s="42"/>
      <c r="AV198" s="42"/>
      <c r="AW198" s="42"/>
      <c r="AX198" s="42"/>
      <c r="AY198" s="42"/>
      <c r="AZ198" s="245"/>
      <c r="BA198" s="42"/>
      <c r="BB198" s="42"/>
      <c r="BC198" s="42"/>
      <c r="BD198" s="42"/>
      <c r="BE198" s="42"/>
      <c r="BF198" s="42"/>
      <c r="BG198" s="42"/>
      <c r="BH198" s="245"/>
      <c r="BI198" s="42"/>
      <c r="BJ198" s="42"/>
      <c r="BK198" s="42"/>
      <c r="BL198" s="42"/>
      <c r="BM198" s="42"/>
      <c r="BN198" s="42"/>
      <c r="BO198" s="42"/>
      <c r="BP198" s="42"/>
      <c r="BQ198" s="42"/>
      <c r="BR198" s="42"/>
      <c r="BS198" s="42"/>
      <c r="BT198" s="42"/>
      <c r="BU198" s="42"/>
      <c r="BV198" s="42"/>
      <c r="BW198" s="42"/>
      <c r="BX198" s="42"/>
      <c r="BY198" s="42"/>
      <c r="BZ198" s="42"/>
      <c r="CA198" s="42"/>
      <c r="CB198" s="42"/>
      <c r="CC198" s="42"/>
      <c r="CD198" s="245"/>
      <c r="CE198" s="42"/>
      <c r="CF198" s="42"/>
      <c r="CG198" s="42"/>
      <c r="CH198" s="42"/>
      <c r="CI198" s="42"/>
      <c r="CJ198" s="42"/>
      <c r="CK198" s="42"/>
      <c r="CL198" s="42"/>
      <c r="CM198" s="42"/>
      <c r="CN198" s="42"/>
      <c r="CO198" s="42"/>
      <c r="CP198" s="42"/>
      <c r="CQ198" s="42"/>
      <c r="CR198" s="42"/>
      <c r="CS198" s="42"/>
      <c r="CT198" s="42"/>
      <c r="CU198" s="42"/>
      <c r="CV198" s="42"/>
      <c r="CW198" s="245"/>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row>
    <row r="199" spans="1:131" ht="13.5" thickBot="1">
      <c r="A199" s="222" t="s">
        <v>781</v>
      </c>
      <c r="B199" s="224"/>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c r="AI199" s="42"/>
      <c r="AJ199" s="42"/>
      <c r="AK199" s="42"/>
      <c r="AL199" s="42"/>
      <c r="AM199" s="42"/>
      <c r="AN199" s="42"/>
      <c r="AO199" s="42"/>
      <c r="AP199" s="42"/>
      <c r="AQ199" s="42"/>
      <c r="AR199" s="42"/>
      <c r="AS199" s="245"/>
      <c r="AT199" s="42"/>
      <c r="AU199" s="42"/>
      <c r="AV199" s="42"/>
      <c r="AW199" s="42"/>
      <c r="AX199" s="42"/>
      <c r="AY199" s="42"/>
      <c r="AZ199" s="245"/>
      <c r="BA199" s="42"/>
      <c r="BB199" s="42"/>
      <c r="BC199" s="42"/>
      <c r="BD199" s="42"/>
      <c r="BE199" s="42"/>
      <c r="BF199" s="42"/>
      <c r="BG199" s="42"/>
      <c r="BH199" s="245"/>
      <c r="BI199" s="42"/>
      <c r="BJ199" s="42"/>
      <c r="BK199" s="42"/>
      <c r="BL199" s="42"/>
      <c r="BM199" s="42"/>
      <c r="BN199" s="42"/>
      <c r="BO199" s="42"/>
      <c r="BP199" s="42"/>
      <c r="BQ199" s="42"/>
      <c r="BR199" s="42"/>
      <c r="BS199" s="42"/>
      <c r="BT199" s="42"/>
      <c r="BU199" s="42"/>
      <c r="BV199" s="42"/>
      <c r="BW199" s="42"/>
      <c r="BX199" s="42"/>
      <c r="BY199" s="42"/>
      <c r="BZ199" s="42"/>
      <c r="CA199" s="42"/>
      <c r="CB199" s="42"/>
      <c r="CC199" s="42"/>
      <c r="CD199" s="245"/>
      <c r="CE199" s="42"/>
      <c r="CF199" s="42"/>
      <c r="CG199" s="42"/>
      <c r="CH199" s="42"/>
      <c r="CI199" s="42"/>
      <c r="CJ199" s="42"/>
      <c r="CK199" s="42"/>
      <c r="CL199" s="42"/>
      <c r="CM199" s="42"/>
      <c r="CN199" s="42"/>
      <c r="CO199" s="42"/>
      <c r="CP199" s="42"/>
      <c r="CQ199" s="42"/>
      <c r="CR199" s="42"/>
      <c r="CS199" s="42"/>
      <c r="CT199" s="42"/>
      <c r="CU199" s="42"/>
      <c r="CV199" s="42"/>
      <c r="CW199" s="245"/>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row>
    <row r="200" spans="1:131" ht="13.5" thickBot="1">
      <c r="A200" s="256"/>
      <c r="B200" s="257"/>
      <c r="C200" s="258"/>
      <c r="D200" s="258"/>
      <c r="E200" s="258"/>
      <c r="F200" s="258"/>
      <c r="G200" s="258"/>
      <c r="H200" s="258"/>
      <c r="I200" s="258"/>
      <c r="J200" s="258"/>
      <c r="K200" s="258"/>
      <c r="L200" s="258"/>
      <c r="M200" s="258"/>
      <c r="N200" s="258"/>
      <c r="O200" s="259" t="s">
        <v>786</v>
      </c>
      <c r="P200" s="260"/>
      <c r="Q200" s="260"/>
      <c r="R200" s="260"/>
      <c r="S200" s="260"/>
      <c r="T200" s="260"/>
      <c r="U200" s="260"/>
      <c r="V200" s="260"/>
      <c r="W200" s="260"/>
      <c r="X200" s="260"/>
      <c r="Y200" s="260"/>
      <c r="Z200" s="249"/>
      <c r="AA200" s="258"/>
      <c r="AB200" s="259" t="s">
        <v>787</v>
      </c>
      <c r="AC200" s="260"/>
      <c r="AD200" s="260"/>
      <c r="AE200" s="260"/>
      <c r="AF200" s="260"/>
      <c r="AG200" s="260"/>
      <c r="AH200" s="260"/>
      <c r="AI200" s="260"/>
      <c r="AJ200" s="260"/>
      <c r="AK200" s="260"/>
      <c r="AL200" s="260"/>
      <c r="AM200" s="249"/>
      <c r="AN200" s="42"/>
      <c r="AO200" s="42"/>
      <c r="AP200" s="42"/>
      <c r="AQ200" s="42"/>
      <c r="AR200" s="42"/>
      <c r="AS200" s="245"/>
      <c r="AT200" s="42"/>
      <c r="AU200" s="42"/>
      <c r="AV200" s="42"/>
      <c r="AW200" s="42"/>
      <c r="AX200" s="42"/>
      <c r="AY200" s="42"/>
      <c r="AZ200" s="245"/>
      <c r="BA200" s="42"/>
      <c r="BB200" s="42"/>
      <c r="BC200" s="42"/>
      <c r="BD200" s="42"/>
      <c r="BE200" s="42"/>
      <c r="BF200" s="42"/>
      <c r="BG200" s="42"/>
      <c r="BH200" s="245"/>
      <c r="BI200" s="42"/>
      <c r="BJ200" s="42"/>
      <c r="BK200" s="42"/>
      <c r="BL200" s="42"/>
      <c r="BM200" s="42"/>
      <c r="BN200" s="42"/>
      <c r="BO200" s="42"/>
      <c r="BP200" s="42"/>
      <c r="BQ200" s="42"/>
      <c r="BR200" s="42"/>
      <c r="BS200" s="42"/>
      <c r="BT200" s="42"/>
      <c r="BU200" s="42"/>
      <c r="BV200" s="42"/>
      <c r="BW200" s="42"/>
      <c r="BX200" s="42"/>
      <c r="BY200" s="42"/>
      <c r="BZ200" s="42"/>
      <c r="CA200" s="42"/>
      <c r="CB200" s="42"/>
      <c r="CC200" s="42"/>
      <c r="CD200" s="245"/>
      <c r="CE200" s="42"/>
      <c r="CF200" s="42"/>
      <c r="CG200" s="42"/>
      <c r="CH200" s="42"/>
      <c r="CI200" s="42"/>
      <c r="CJ200" s="42"/>
      <c r="CK200" s="42"/>
      <c r="CL200" s="42"/>
      <c r="CM200" s="42"/>
      <c r="CN200" s="42"/>
      <c r="CO200" s="42"/>
      <c r="CP200" s="42"/>
      <c r="CQ200" s="42"/>
      <c r="CR200" s="42"/>
      <c r="CS200" s="42"/>
      <c r="CT200" s="42"/>
      <c r="CU200" s="42"/>
      <c r="CV200" s="42"/>
      <c r="CW200" s="245"/>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row>
    <row r="201" spans="1:131" ht="102">
      <c r="A201" s="240" t="s">
        <v>671</v>
      </c>
      <c r="B201" s="241" t="s">
        <v>672</v>
      </c>
      <c r="C201" s="242" t="s">
        <v>782</v>
      </c>
      <c r="D201" s="242" t="s">
        <v>758</v>
      </c>
      <c r="E201" s="242" t="s">
        <v>759</v>
      </c>
      <c r="F201" s="242" t="s">
        <v>760</v>
      </c>
      <c r="G201" s="242" t="s">
        <v>761</v>
      </c>
      <c r="H201" s="242" t="s">
        <v>762</v>
      </c>
      <c r="I201" s="242" t="s">
        <v>763</v>
      </c>
      <c r="J201" s="242" t="s">
        <v>764</v>
      </c>
      <c r="K201" s="242" t="s">
        <v>734</v>
      </c>
      <c r="L201" s="242" t="s">
        <v>733</v>
      </c>
      <c r="M201" s="242" t="s">
        <v>765</v>
      </c>
      <c r="N201" s="242" t="s">
        <v>783</v>
      </c>
      <c r="O201" s="242" t="s">
        <v>766</v>
      </c>
      <c r="P201" s="242" t="s">
        <v>767</v>
      </c>
      <c r="Q201" s="242" t="s">
        <v>768</v>
      </c>
      <c r="R201" s="242" t="s">
        <v>769</v>
      </c>
      <c r="S201" s="242" t="s">
        <v>770</v>
      </c>
      <c r="T201" s="242" t="s">
        <v>771</v>
      </c>
      <c r="U201" s="242" t="s">
        <v>772</v>
      </c>
      <c r="V201" s="242" t="s">
        <v>773</v>
      </c>
      <c r="W201" s="242" t="s">
        <v>774</v>
      </c>
      <c r="X201" s="242" t="s">
        <v>775</v>
      </c>
      <c r="Y201" s="242" t="s">
        <v>776</v>
      </c>
      <c r="Z201" s="242" t="s">
        <v>777</v>
      </c>
      <c r="AA201" s="242"/>
      <c r="AB201" s="242" t="s">
        <v>766</v>
      </c>
      <c r="AC201" s="242" t="s">
        <v>767</v>
      </c>
      <c r="AD201" s="242" t="s">
        <v>768</v>
      </c>
      <c r="AE201" s="242" t="s">
        <v>769</v>
      </c>
      <c r="AF201" s="242" t="s">
        <v>770</v>
      </c>
      <c r="AG201" s="242" t="s">
        <v>771</v>
      </c>
      <c r="AH201" s="242" t="s">
        <v>772</v>
      </c>
      <c r="AI201" s="242" t="s">
        <v>773</v>
      </c>
      <c r="AJ201" s="242" t="s">
        <v>774</v>
      </c>
      <c r="AK201" s="242" t="s">
        <v>775</v>
      </c>
      <c r="AL201" s="242" t="s">
        <v>776</v>
      </c>
      <c r="AM201" s="242" t="s">
        <v>777</v>
      </c>
      <c r="AN201" s="42"/>
      <c r="AO201" s="42"/>
      <c r="AP201" s="42"/>
      <c r="AQ201" s="42"/>
      <c r="AR201" s="42"/>
      <c r="AS201" s="245"/>
      <c r="AT201" s="42"/>
      <c r="AU201" s="42"/>
      <c r="AV201" s="42"/>
      <c r="AW201" s="42"/>
      <c r="AX201" s="42"/>
      <c r="AY201" s="42"/>
      <c r="AZ201" s="245"/>
      <c r="BA201" s="42"/>
      <c r="BB201" s="42"/>
      <c r="BC201" s="42"/>
      <c r="BD201" s="42"/>
      <c r="BE201" s="42"/>
      <c r="BF201" s="42"/>
      <c r="BG201" s="42"/>
      <c r="BH201" s="245"/>
      <c r="BI201" s="42"/>
      <c r="BJ201" s="42"/>
      <c r="BK201" s="42"/>
      <c r="BL201" s="42"/>
      <c r="BM201" s="42"/>
      <c r="BN201" s="42"/>
      <c r="BO201" s="42"/>
      <c r="BP201" s="42"/>
      <c r="BQ201" s="42"/>
      <c r="BR201" s="42"/>
      <c r="BS201" s="42"/>
      <c r="BT201" s="42"/>
      <c r="BU201" s="42"/>
      <c r="BV201" s="42"/>
      <c r="BW201" s="42"/>
      <c r="BX201" s="42"/>
      <c r="BY201" s="42"/>
      <c r="BZ201" s="42"/>
      <c r="CA201" s="42"/>
      <c r="CB201" s="42"/>
      <c r="CC201" s="42"/>
      <c r="CD201" s="245"/>
      <c r="CE201" s="42"/>
      <c r="CF201" s="42"/>
      <c r="CG201" s="42"/>
      <c r="CH201" s="42"/>
      <c r="CI201" s="42"/>
      <c r="CJ201" s="42"/>
      <c r="CK201" s="42"/>
      <c r="CL201" s="42"/>
      <c r="CM201" s="42"/>
      <c r="CN201" s="42"/>
      <c r="CO201" s="42"/>
      <c r="CP201" s="42"/>
      <c r="CQ201" s="42"/>
      <c r="CR201" s="42"/>
      <c r="CS201" s="42"/>
      <c r="CT201" s="42"/>
      <c r="CU201" s="42"/>
      <c r="CV201" s="42"/>
      <c r="CW201" s="245"/>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row>
    <row r="202" spans="1:131">
      <c r="A202" s="18" t="s">
        <v>493</v>
      </c>
      <c r="B202" s="18"/>
      <c r="C202" s="32">
        <v>0</v>
      </c>
      <c r="D202" s="32">
        <v>0</v>
      </c>
      <c r="E202" s="32">
        <v>0</v>
      </c>
      <c r="F202" s="32">
        <v>0</v>
      </c>
      <c r="G202" s="32">
        <v>0</v>
      </c>
      <c r="H202" s="32">
        <v>0</v>
      </c>
      <c r="I202" s="32">
        <v>0</v>
      </c>
      <c r="J202" s="32">
        <v>9999</v>
      </c>
      <c r="K202" s="32">
        <v>9999</v>
      </c>
      <c r="L202" s="244">
        <v>9999</v>
      </c>
      <c r="M202" s="32">
        <v>0</v>
      </c>
      <c r="N202" s="32">
        <v>0</v>
      </c>
      <c r="O202" s="32">
        <v>0</v>
      </c>
      <c r="P202" s="32">
        <v>0</v>
      </c>
      <c r="Q202" s="32">
        <v>0</v>
      </c>
      <c r="R202" s="32">
        <v>0</v>
      </c>
      <c r="S202" s="32">
        <v>0</v>
      </c>
      <c r="T202" s="32">
        <v>0</v>
      </c>
      <c r="U202" s="32">
        <v>0</v>
      </c>
      <c r="V202" s="32">
        <v>0</v>
      </c>
      <c r="W202" s="32">
        <v>0</v>
      </c>
      <c r="X202" s="32">
        <v>0</v>
      </c>
      <c r="Y202" s="32">
        <v>0</v>
      </c>
      <c r="Z202" s="32">
        <v>0</v>
      </c>
      <c r="AA202" s="32"/>
      <c r="AB202" s="32">
        <v>0</v>
      </c>
      <c r="AC202" s="32">
        <v>0</v>
      </c>
      <c r="AD202" s="32">
        <v>0</v>
      </c>
      <c r="AE202" s="32">
        <v>0</v>
      </c>
      <c r="AF202" s="32">
        <v>0</v>
      </c>
      <c r="AG202" s="32">
        <v>0</v>
      </c>
      <c r="AH202" s="32">
        <v>0</v>
      </c>
      <c r="AI202" s="32">
        <v>0</v>
      </c>
      <c r="AJ202" s="32">
        <v>0</v>
      </c>
      <c r="AK202" s="32">
        <v>0</v>
      </c>
      <c r="AL202" s="32">
        <v>0</v>
      </c>
      <c r="AM202" s="42">
        <v>0</v>
      </c>
      <c r="AN202" s="42"/>
      <c r="AO202" s="42"/>
      <c r="AP202" s="42"/>
      <c r="AQ202" s="42"/>
      <c r="AR202" s="42"/>
      <c r="AS202" s="245"/>
      <c r="AT202" s="42"/>
      <c r="AU202" s="42"/>
      <c r="AV202" s="42"/>
      <c r="AW202" s="42"/>
      <c r="AX202" s="42"/>
      <c r="AY202" s="42"/>
      <c r="AZ202" s="245"/>
      <c r="BA202" s="42"/>
      <c r="BB202" s="42"/>
      <c r="BC202" s="42"/>
      <c r="BD202" s="42"/>
      <c r="BE202" s="42"/>
      <c r="BF202" s="42"/>
      <c r="BG202" s="42"/>
      <c r="BH202" s="245"/>
      <c r="BI202" s="42"/>
      <c r="BJ202" s="42"/>
      <c r="BK202" s="42"/>
      <c r="BL202" s="42"/>
      <c r="BM202" s="42"/>
      <c r="BN202" s="42"/>
      <c r="BO202" s="42"/>
      <c r="BP202" s="42"/>
      <c r="BQ202" s="42"/>
      <c r="BR202" s="42"/>
      <c r="BS202" s="42"/>
      <c r="BT202" s="42"/>
      <c r="BU202" s="42"/>
      <c r="BV202" s="42"/>
      <c r="BW202" s="42"/>
      <c r="BX202" s="42"/>
      <c r="BY202" s="42"/>
      <c r="BZ202" s="42"/>
      <c r="CA202" s="42"/>
      <c r="CB202" s="42"/>
      <c r="CC202" s="42"/>
      <c r="CD202" s="245"/>
      <c r="CE202" s="42"/>
      <c r="CF202" s="42"/>
      <c r="CG202" s="42"/>
      <c r="CH202" s="42"/>
      <c r="CI202" s="42"/>
      <c r="CJ202" s="42"/>
      <c r="CK202" s="42"/>
      <c r="CL202" s="42"/>
      <c r="CM202" s="42"/>
      <c r="CN202" s="42"/>
      <c r="CO202" s="42"/>
      <c r="CP202" s="42"/>
      <c r="CQ202" s="42"/>
      <c r="CR202" s="42"/>
      <c r="CS202" s="42"/>
      <c r="CT202" s="42"/>
      <c r="CU202" s="42"/>
      <c r="CV202" s="42"/>
      <c r="CW202" s="245"/>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row>
    <row r="203" spans="1:131">
      <c r="A203" s="18" t="s">
        <v>499</v>
      </c>
      <c r="B203" s="18"/>
      <c r="C203" s="32">
        <v>1641.1873183039959</v>
      </c>
      <c r="D203" s="32">
        <v>237.96646220549687</v>
      </c>
      <c r="E203" s="32">
        <v>47.593292441099379</v>
      </c>
      <c r="F203" s="32">
        <v>285.55975464659628</v>
      </c>
      <c r="G203" s="32">
        <v>873.17761099621225</v>
      </c>
      <c r="H203" s="32">
        <v>1467.4528296305696</v>
      </c>
      <c r="I203" s="32">
        <v>1524.2034975564145</v>
      </c>
      <c r="J203" s="32">
        <v>-1.4953126195636952</v>
      </c>
      <c r="K203" s="32">
        <v>11.652235462638782</v>
      </c>
      <c r="L203" s="244">
        <v>1.6805891621022508</v>
      </c>
      <c r="M203" s="32">
        <v>22.346702896938005</v>
      </c>
      <c r="N203" s="32">
        <v>0.30852084582295208</v>
      </c>
      <c r="O203" s="32">
        <v>102.91087073877826</v>
      </c>
      <c r="P203" s="32">
        <v>92.53356639333515</v>
      </c>
      <c r="Q203" s="32">
        <v>106.48234681161499</v>
      </c>
      <c r="R203" s="32">
        <v>99.062759237911621</v>
      </c>
      <c r="S203" s="32">
        <v>101.13721009673728</v>
      </c>
      <c r="T203" s="32">
        <v>100.1121475111308</v>
      </c>
      <c r="U203" s="32">
        <v>95.10824906713124</v>
      </c>
      <c r="V203" s="32">
        <v>99.09918390391023</v>
      </c>
      <c r="W203" s="32">
        <v>92.590314932954527</v>
      </c>
      <c r="X203" s="32">
        <v>105.57055301046995</v>
      </c>
      <c r="Y203" s="32">
        <v>93.424199639499861</v>
      </c>
      <c r="Z203" s="32">
        <v>101.71453092411429</v>
      </c>
      <c r="AA203" s="32"/>
      <c r="AB203" s="32">
        <v>43.691806251096764</v>
      </c>
      <c r="AC203" s="32">
        <v>37.53871755412893</v>
      </c>
      <c r="AD203" s="32">
        <v>36.007533344157665</v>
      </c>
      <c r="AE203" s="32">
        <v>37.597867923661077</v>
      </c>
      <c r="AF203" s="32">
        <v>36.888549445029128</v>
      </c>
      <c r="AG203" s="32">
        <v>32.368679170996721</v>
      </c>
      <c r="AH203" s="32">
        <v>38.004943919336959</v>
      </c>
      <c r="AI203" s="32">
        <v>31.167898211156576</v>
      </c>
      <c r="AJ203" s="32">
        <v>38.371063512149867</v>
      </c>
      <c r="AK203" s="32">
        <v>34.4632006390963</v>
      </c>
      <c r="AL203" s="32">
        <v>41.348758943095859</v>
      </c>
      <c r="AM203" s="42">
        <v>43.992367122501825</v>
      </c>
      <c r="AN203" s="42"/>
      <c r="AO203" s="42"/>
      <c r="AP203" s="42"/>
      <c r="AQ203" s="42"/>
      <c r="AR203" s="42"/>
      <c r="AS203" s="42"/>
      <c r="AT203" s="42"/>
      <c r="AU203" s="42"/>
      <c r="AV203" s="42"/>
      <c r="AW203" s="42"/>
      <c r="AX203" s="42"/>
      <c r="AY203" s="42"/>
      <c r="AZ203" s="42"/>
      <c r="BA203" s="42"/>
      <c r="BB203" s="42"/>
      <c r="BC203" s="42"/>
      <c r="BD203" s="42"/>
      <c r="BE203" s="42"/>
      <c r="BF203" s="42"/>
      <c r="BG203" s="42"/>
      <c r="BH203" s="42"/>
      <c r="BI203" s="42"/>
      <c r="BJ203" s="42"/>
      <c r="BK203" s="42"/>
      <c r="BL203" s="42"/>
      <c r="BM203" s="42"/>
      <c r="BN203" s="42"/>
      <c r="BO203" s="42"/>
      <c r="BP203" s="42"/>
      <c r="BQ203" s="42"/>
      <c r="BR203" s="42"/>
      <c r="BS203" s="42"/>
      <c r="BT203" s="42"/>
      <c r="BU203" s="42"/>
      <c r="BV203" s="42"/>
      <c r="BW203" s="42"/>
      <c r="BX203" s="42"/>
      <c r="BY203" s="42"/>
      <c r="BZ203" s="42"/>
      <c r="CA203" s="42"/>
      <c r="CB203" s="42"/>
      <c r="CC203" s="42"/>
      <c r="CD203" s="42"/>
      <c r="CE203" s="42"/>
      <c r="CF203" s="42"/>
      <c r="CG203" s="42"/>
      <c r="CH203" s="42"/>
      <c r="CI203" s="42"/>
      <c r="CJ203" s="42"/>
      <c r="CK203" s="42"/>
      <c r="CL203" s="42"/>
      <c r="CM203" s="42"/>
      <c r="CN203" s="42"/>
      <c r="CO203" s="42"/>
      <c r="CP203" s="42"/>
      <c r="CQ203" s="42"/>
      <c r="CR203" s="42"/>
      <c r="CS203" s="42"/>
      <c r="CT203" s="42"/>
      <c r="CU203" s="42"/>
      <c r="CV203" s="42"/>
      <c r="CW203" s="42"/>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row>
    <row r="204" spans="1:131">
      <c r="A204" s="18" t="s">
        <v>501</v>
      </c>
      <c r="B204" s="18"/>
      <c r="C204" s="32">
        <v>152.4085038874982</v>
      </c>
      <c r="D204" s="32">
        <v>21.255916464149205</v>
      </c>
      <c r="E204" s="32">
        <v>4.2511832928298414</v>
      </c>
      <c r="F204" s="32">
        <v>25.507099756979045</v>
      </c>
      <c r="G204" s="32">
        <v>77.994983770751404</v>
      </c>
      <c r="H204" s="32">
        <v>116.36689487206102</v>
      </c>
      <c r="I204" s="32">
        <v>1466.074321128908</v>
      </c>
      <c r="J204" s="32">
        <v>-1.8453320493329095</v>
      </c>
      <c r="K204" s="32">
        <v>19.770557184294496</v>
      </c>
      <c r="L204" s="244">
        <v>1.4919792177160414</v>
      </c>
      <c r="M204" s="32">
        <v>1.7168172374306869</v>
      </c>
      <c r="N204" s="32">
        <v>2.865072134396783E-2</v>
      </c>
      <c r="O204" s="32">
        <v>9.5567956613662322</v>
      </c>
      <c r="P204" s="32">
        <v>8.5931095470300374</v>
      </c>
      <c r="Q204" s="32">
        <v>9.8884600112306646</v>
      </c>
      <c r="R204" s="32">
        <v>9.1994416225564315</v>
      </c>
      <c r="S204" s="32">
        <v>9.3920850510399507</v>
      </c>
      <c r="T204" s="32">
        <v>9.2968928366467889</v>
      </c>
      <c r="U204" s="32">
        <v>8.8322068943723497</v>
      </c>
      <c r="V204" s="32">
        <v>9.2028241912538231</v>
      </c>
      <c r="W204" s="32">
        <v>8.5983794878373594</v>
      </c>
      <c r="X204" s="32">
        <v>9.8037864779072308</v>
      </c>
      <c r="Y204" s="32">
        <v>8.6758180100107936</v>
      </c>
      <c r="Z204" s="32">
        <v>9.4456978242939815</v>
      </c>
      <c r="AA204" s="32"/>
      <c r="AB204" s="32">
        <v>4.0574300986882585</v>
      </c>
      <c r="AC204" s="32">
        <v>3.4860248531486753</v>
      </c>
      <c r="AD204" s="32">
        <v>3.343831764026441</v>
      </c>
      <c r="AE204" s="32">
        <v>3.4915178393692266</v>
      </c>
      <c r="AF204" s="32">
        <v>3.4256471328981521</v>
      </c>
      <c r="AG204" s="32">
        <v>3.0059103615083207</v>
      </c>
      <c r="AH204" s="32">
        <v>3.5293208633004554</v>
      </c>
      <c r="AI204" s="32">
        <v>2.894400098453795</v>
      </c>
      <c r="AJ204" s="32">
        <v>3.5633204797745694</v>
      </c>
      <c r="AK204" s="32">
        <v>3.2004176427632043</v>
      </c>
      <c r="AL204" s="32">
        <v>3.8398435192848321</v>
      </c>
      <c r="AM204" s="42">
        <v>4.0853416187366243</v>
      </c>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c r="BM204" s="42"/>
      <c r="BN204" s="42"/>
      <c r="BO204" s="42"/>
      <c r="BP204" s="42"/>
      <c r="BQ204" s="42"/>
      <c r="BR204" s="42"/>
      <c r="BS204" s="42"/>
      <c r="BT204" s="42"/>
      <c r="BU204" s="42"/>
      <c r="BV204" s="42"/>
      <c r="BW204" s="42"/>
      <c r="BX204" s="42"/>
      <c r="BY204" s="42"/>
      <c r="BZ204" s="42"/>
      <c r="CA204" s="42"/>
      <c r="CB204" s="42"/>
      <c r="CC204" s="42"/>
      <c r="CD204" s="42"/>
      <c r="CE204" s="42"/>
      <c r="CF204" s="42"/>
      <c r="CG204" s="42"/>
      <c r="CH204" s="42"/>
      <c r="CI204" s="42"/>
      <c r="CJ204" s="42"/>
      <c r="CK204" s="42"/>
      <c r="CL204" s="42"/>
      <c r="CM204" s="42"/>
      <c r="CN204" s="42"/>
      <c r="CO204" s="42"/>
      <c r="CP204" s="42"/>
      <c r="CQ204" s="42"/>
      <c r="CR204" s="42"/>
      <c r="CS204" s="42"/>
      <c r="CT204" s="42"/>
      <c r="CU204" s="42"/>
      <c r="CV204" s="42"/>
      <c r="CW204" s="42"/>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row>
    <row r="205" spans="1:131">
      <c r="A205" s="18" t="s">
        <v>483</v>
      </c>
      <c r="B205" s="18"/>
      <c r="C205" s="32">
        <v>155.34471430154173</v>
      </c>
      <c r="D205" s="32">
        <v>25.463820854268903</v>
      </c>
      <c r="E205" s="32">
        <v>5.0927641708537807</v>
      </c>
      <c r="F205" s="32">
        <v>30.556585025122683</v>
      </c>
      <c r="G205" s="32">
        <v>93.435175924771315</v>
      </c>
      <c r="H205" s="32">
        <v>119.51070887324541</v>
      </c>
      <c r="I205" s="32">
        <v>1723.1077737249934</v>
      </c>
      <c r="J205" s="32">
        <v>-0.29762901897100197</v>
      </c>
      <c r="K205" s="32">
        <v>25.945111299992629</v>
      </c>
      <c r="L205" s="244">
        <v>1.2790761904217811</v>
      </c>
      <c r="M205" s="32">
        <v>1.7661305835403112</v>
      </c>
      <c r="N205" s="32">
        <v>2.9202688880123919E-2</v>
      </c>
      <c r="O205" s="32">
        <v>9.7409111288765171</v>
      </c>
      <c r="P205" s="32">
        <v>8.7586592184554011</v>
      </c>
      <c r="Q205" s="32">
        <v>10.07896512428696</v>
      </c>
      <c r="R205" s="32">
        <v>9.3766725224508018</v>
      </c>
      <c r="S205" s="32">
        <v>9.5730273031652153</v>
      </c>
      <c r="T205" s="32">
        <v>9.4760011729201956</v>
      </c>
      <c r="U205" s="32">
        <v>9.0023628712421591</v>
      </c>
      <c r="V205" s="32">
        <v>9.3801202576788132</v>
      </c>
      <c r="W205" s="32">
        <v>8.7640306867673257</v>
      </c>
      <c r="X205" s="32">
        <v>9.9926603216839478</v>
      </c>
      <c r="Y205" s="32">
        <v>8.8429610928544129</v>
      </c>
      <c r="Z205" s="32">
        <v>9.6276729478085645</v>
      </c>
      <c r="AA205" s="32"/>
      <c r="AB205" s="32">
        <v>4.1355981024816444</v>
      </c>
      <c r="AC205" s="32">
        <v>3.5531845077371447</v>
      </c>
      <c r="AD205" s="32">
        <v>3.4082520122272331</v>
      </c>
      <c r="AE205" s="32">
        <v>3.5587833185208506</v>
      </c>
      <c r="AF205" s="32">
        <v>3.4916435867041598</v>
      </c>
      <c r="AG205" s="32">
        <v>3.0638204195563747</v>
      </c>
      <c r="AH205" s="32">
        <v>3.597314632735876</v>
      </c>
      <c r="AI205" s="32">
        <v>2.9501618669556491</v>
      </c>
      <c r="AJ205" s="32">
        <v>3.631969265337164</v>
      </c>
      <c r="AK205" s="32">
        <v>3.2620749609067281</v>
      </c>
      <c r="AL205" s="32">
        <v>3.9138196311292486</v>
      </c>
      <c r="AM205" s="42">
        <v>4.1640473490593539</v>
      </c>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c r="BM205" s="42"/>
      <c r="BN205" s="42"/>
      <c r="BO205" s="42"/>
      <c r="BP205" s="42"/>
      <c r="BQ205" s="42"/>
      <c r="BR205" s="42"/>
      <c r="BS205" s="42"/>
      <c r="BT205" s="42"/>
      <c r="BU205" s="42"/>
      <c r="BV205" s="42"/>
      <c r="BW205" s="42"/>
      <c r="BX205" s="42"/>
      <c r="BY205" s="42"/>
      <c r="BZ205" s="42"/>
      <c r="CA205" s="42"/>
      <c r="CB205" s="42"/>
      <c r="CC205" s="42"/>
      <c r="CD205" s="42"/>
      <c r="CE205" s="42"/>
      <c r="CF205" s="42"/>
      <c r="CG205" s="42"/>
      <c r="CH205" s="42"/>
      <c r="CI205" s="42"/>
      <c r="CJ205" s="42"/>
      <c r="CK205" s="42"/>
      <c r="CL205" s="42"/>
      <c r="CM205" s="42"/>
      <c r="CN205" s="42"/>
      <c r="CO205" s="42"/>
      <c r="CP205" s="42"/>
      <c r="CQ205" s="42"/>
      <c r="CR205" s="42"/>
      <c r="CS205" s="42"/>
      <c r="CT205" s="42"/>
      <c r="CU205" s="42"/>
      <c r="CV205" s="42"/>
      <c r="CW205" s="42"/>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row>
    <row r="206" spans="1:131">
      <c r="A206" s="18" t="s">
        <v>505</v>
      </c>
      <c r="B206" s="18"/>
      <c r="C206" s="32">
        <v>217.23607745202173</v>
      </c>
      <c r="D206" s="32">
        <v>50.322059921932109</v>
      </c>
      <c r="E206" s="32">
        <v>10.064411984386423</v>
      </c>
      <c r="F206" s="32">
        <v>60.386471906318533</v>
      </c>
      <c r="G206" s="32">
        <v>184.6482720959909</v>
      </c>
      <c r="H206" s="32">
        <v>228.94505879225576</v>
      </c>
      <c r="I206" s="32">
        <v>2435.072019822218</v>
      </c>
      <c r="J206" s="32">
        <v>3.9893974753025296</v>
      </c>
      <c r="K206" s="32">
        <v>23.292130073677438</v>
      </c>
      <c r="L206" s="244">
        <v>1.239898192349381</v>
      </c>
      <c r="M206" s="32">
        <v>3.5827344164654216</v>
      </c>
      <c r="N206" s="32">
        <v>4.08374215491858E-2</v>
      </c>
      <c r="O206" s="32">
        <v>13.621817349628856</v>
      </c>
      <c r="P206" s="32">
        <v>12.248223448806188</v>
      </c>
      <c r="Q206" s="32">
        <v>14.094556472167636</v>
      </c>
      <c r="R206" s="32">
        <v>13.112461325046512</v>
      </c>
      <c r="S206" s="32">
        <v>13.387046415006848</v>
      </c>
      <c r="T206" s="32">
        <v>13.251363807204285</v>
      </c>
      <c r="U206" s="32">
        <v>12.589021819900807</v>
      </c>
      <c r="V206" s="32">
        <v>13.117282683020578</v>
      </c>
      <c r="W206" s="32">
        <v>12.255734980250864</v>
      </c>
      <c r="X206" s="32">
        <v>13.973866708971983</v>
      </c>
      <c r="Y206" s="32">
        <v>12.36611229104092</v>
      </c>
      <c r="Z206" s="32">
        <v>13.463463598208302</v>
      </c>
      <c r="AA206" s="32"/>
      <c r="AB206" s="32">
        <v>5.7832744019679856</v>
      </c>
      <c r="AC206" s="32">
        <v>4.9688196241154587</v>
      </c>
      <c r="AD206" s="32">
        <v>4.7661441294166771</v>
      </c>
      <c r="AE206" s="32">
        <v>4.976649074242018</v>
      </c>
      <c r="AF206" s="32">
        <v>4.882759996350849</v>
      </c>
      <c r="AG206" s="32">
        <v>4.2844864915705001</v>
      </c>
      <c r="AH206" s="32">
        <v>5.030531767301631</v>
      </c>
      <c r="AI206" s="32">
        <v>4.1255448871079992</v>
      </c>
      <c r="AJ206" s="32">
        <v>5.0789932581588708</v>
      </c>
      <c r="AK206" s="32">
        <v>4.561728231617094</v>
      </c>
      <c r="AL206" s="32">
        <v>5.473136490958149</v>
      </c>
      <c r="AM206" s="42">
        <v>5.8230581999606903</v>
      </c>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c r="BM206" s="42"/>
      <c r="BN206" s="42"/>
      <c r="BO206" s="42"/>
      <c r="BP206" s="42"/>
      <c r="BQ206" s="42"/>
      <c r="BR206" s="42"/>
      <c r="BS206" s="42"/>
      <c r="BT206" s="42"/>
      <c r="BU206" s="42"/>
      <c r="BV206" s="42"/>
      <c r="BW206" s="42"/>
      <c r="BX206" s="42"/>
      <c r="BY206" s="42"/>
      <c r="BZ206" s="42"/>
      <c r="CA206" s="42"/>
      <c r="CB206" s="42"/>
      <c r="CC206" s="42"/>
      <c r="CD206" s="42"/>
      <c r="CE206" s="42"/>
      <c r="CF206" s="42"/>
      <c r="CG206" s="42"/>
      <c r="CH206" s="42"/>
      <c r="CI206" s="42"/>
      <c r="CJ206" s="42"/>
      <c r="CK206" s="42"/>
      <c r="CL206" s="42"/>
      <c r="CM206" s="42"/>
      <c r="CN206" s="42"/>
      <c r="CO206" s="42"/>
      <c r="CP206" s="42"/>
      <c r="CQ206" s="42"/>
      <c r="CR206" s="42"/>
      <c r="CS206" s="42"/>
      <c r="CT206" s="42"/>
      <c r="CU206" s="42"/>
      <c r="CV206" s="42"/>
      <c r="CW206" s="42"/>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row>
    <row r="207" spans="1:131">
      <c r="A207" s="18" t="s">
        <v>491</v>
      </c>
      <c r="B207" s="18"/>
      <c r="C207" s="32">
        <v>66.375882359202151</v>
      </c>
      <c r="D207" s="32">
        <v>13.653514106582991</v>
      </c>
      <c r="E207" s="32">
        <v>2.7307028213165982</v>
      </c>
      <c r="F207" s="32">
        <v>16.38421692789959</v>
      </c>
      <c r="G207" s="32">
        <v>50.099256503607542</v>
      </c>
      <c r="H207" s="32">
        <v>60.383984289753442</v>
      </c>
      <c r="I207" s="32">
        <v>2162.3176248217878</v>
      </c>
      <c r="J207" s="32">
        <v>2.3470322523209357</v>
      </c>
      <c r="K207" s="32">
        <v>26.894991456271843</v>
      </c>
      <c r="L207" s="244">
        <v>1.2052870342577902</v>
      </c>
      <c r="M207" s="32">
        <v>0.92241192222620594</v>
      </c>
      <c r="N207" s="32">
        <v>1.2477761154569573E-2</v>
      </c>
      <c r="O207" s="32">
        <v>4.1621085987303124</v>
      </c>
      <c r="P207" s="32">
        <v>3.742410783157025</v>
      </c>
      <c r="Q207" s="32">
        <v>4.3065527295223385</v>
      </c>
      <c r="R207" s="32">
        <v>4.0064762748402103</v>
      </c>
      <c r="S207" s="32">
        <v>4.0903749892829042</v>
      </c>
      <c r="T207" s="32">
        <v>4.048917543911374</v>
      </c>
      <c r="U207" s="32">
        <v>3.8465407824338724</v>
      </c>
      <c r="V207" s="32">
        <v>4.0079494274281764</v>
      </c>
      <c r="W207" s="32">
        <v>3.7447059108050529</v>
      </c>
      <c r="X207" s="32">
        <v>4.2696763063342802</v>
      </c>
      <c r="Y207" s="32">
        <v>3.7784313926958037</v>
      </c>
      <c r="Z207" s="32">
        <v>4.113724048158824</v>
      </c>
      <c r="AA207" s="32"/>
      <c r="AB207" s="32">
        <v>1.7670634908273597</v>
      </c>
      <c r="AC207" s="32">
        <v>1.5182090871035165</v>
      </c>
      <c r="AD207" s="32">
        <v>1.4562821505144938</v>
      </c>
      <c r="AE207" s="32">
        <v>1.5206013539250922</v>
      </c>
      <c r="AF207" s="32">
        <v>1.4919138059725909</v>
      </c>
      <c r="AG207" s="32">
        <v>1.3091129920484008</v>
      </c>
      <c r="AH207" s="32">
        <v>1.5370650616925641</v>
      </c>
      <c r="AI207" s="32">
        <v>1.2605488246065732</v>
      </c>
      <c r="AJ207" s="32">
        <v>1.5518723361279172</v>
      </c>
      <c r="AK207" s="32">
        <v>1.3938234385738284</v>
      </c>
      <c r="AL207" s="32">
        <v>1.6723017102899436</v>
      </c>
      <c r="AM207" s="42">
        <v>1.7792193202196911</v>
      </c>
      <c r="AN207" s="42"/>
      <c r="AO207" s="42"/>
      <c r="AP207" s="42"/>
      <c r="AQ207" s="42"/>
      <c r="AR207" s="42"/>
      <c r="AS207" s="42"/>
      <c r="AT207" s="42"/>
      <c r="AU207" s="42"/>
      <c r="AV207" s="42"/>
      <c r="AW207" s="42"/>
      <c r="AX207" s="42"/>
      <c r="AY207" s="42"/>
      <c r="AZ207" s="42"/>
      <c r="BA207" s="42"/>
      <c r="BB207" s="42"/>
      <c r="BC207" s="42"/>
      <c r="BD207" s="42"/>
      <c r="BE207" s="42"/>
      <c r="BF207" s="42"/>
      <c r="BG207" s="42"/>
      <c r="BH207" s="42"/>
      <c r="BI207" s="42"/>
      <c r="BJ207" s="42"/>
      <c r="BK207" s="42"/>
      <c r="BL207" s="42"/>
      <c r="BM207" s="42"/>
      <c r="BN207" s="42"/>
      <c r="BO207" s="42"/>
      <c r="BP207" s="42"/>
      <c r="BQ207" s="42"/>
      <c r="BR207" s="42"/>
      <c r="BS207" s="42"/>
      <c r="BT207" s="42"/>
      <c r="BU207" s="42"/>
      <c r="BV207" s="42"/>
      <c r="BW207" s="42"/>
      <c r="BX207" s="42"/>
      <c r="BY207" s="42"/>
      <c r="BZ207" s="42"/>
      <c r="CA207" s="42"/>
      <c r="CB207" s="42"/>
      <c r="CC207" s="42"/>
      <c r="CD207" s="42"/>
      <c r="CE207" s="42"/>
      <c r="CF207" s="42"/>
      <c r="CG207" s="42"/>
      <c r="CH207" s="42"/>
      <c r="CI207" s="42"/>
      <c r="CJ207" s="42"/>
      <c r="CK207" s="42"/>
      <c r="CL207" s="42"/>
      <c r="CM207" s="42"/>
      <c r="CN207" s="42"/>
      <c r="CO207" s="42"/>
      <c r="CP207" s="42"/>
      <c r="CQ207" s="42"/>
      <c r="CR207" s="42"/>
      <c r="CS207" s="42"/>
      <c r="CT207" s="42"/>
      <c r="CU207" s="42"/>
      <c r="CV207" s="42"/>
      <c r="CW207" s="42"/>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row>
    <row r="208" spans="1:131">
      <c r="A208" s="18" t="s">
        <v>497</v>
      </c>
      <c r="B208" s="18"/>
      <c r="C208" s="32">
        <v>116.81796682580887</v>
      </c>
      <c r="D208" s="32">
        <v>19.913031082870759</v>
      </c>
      <c r="E208" s="32">
        <v>3.982606216574152</v>
      </c>
      <c r="F208" s="32">
        <v>23.89563729944491</v>
      </c>
      <c r="G208" s="32">
        <v>73.06749340845883</v>
      </c>
      <c r="H208" s="32">
        <v>83.4808660471369</v>
      </c>
      <c r="I208" s="32">
        <v>1791.8971578684468</v>
      </c>
      <c r="J208" s="32">
        <v>0.11657986014661867</v>
      </c>
      <c r="K208" s="32">
        <v>31.737029906803112</v>
      </c>
      <c r="L208" s="244">
        <v>1.1425171735461852</v>
      </c>
      <c r="M208" s="32">
        <v>1.2130713465050922</v>
      </c>
      <c r="N208" s="32">
        <v>2.1960185489162003E-2</v>
      </c>
      <c r="O208" s="32">
        <v>7.3250862652296629</v>
      </c>
      <c r="P208" s="32">
        <v>6.586440785065923</v>
      </c>
      <c r="Q208" s="32">
        <v>7.5793001314609478</v>
      </c>
      <c r="R208" s="32">
        <v>7.0511817836164399</v>
      </c>
      <c r="S208" s="32">
        <v>7.1988389881934856</v>
      </c>
      <c r="T208" s="32">
        <v>7.125876124183848</v>
      </c>
      <c r="U208" s="32">
        <v>6.7697039579043006</v>
      </c>
      <c r="V208" s="32">
        <v>7.0537744525804333</v>
      </c>
      <c r="W208" s="32">
        <v>6.590480085726325</v>
      </c>
      <c r="X208" s="32">
        <v>7.5143996189928082</v>
      </c>
      <c r="Y208" s="32">
        <v>6.6498351117488452</v>
      </c>
      <c r="Z208" s="32">
        <v>7.2399320703226291</v>
      </c>
      <c r="AA208" s="32"/>
      <c r="AB208" s="32">
        <v>3.1099362737428144</v>
      </c>
      <c r="AC208" s="32">
        <v>2.6719659681829051</v>
      </c>
      <c r="AD208" s="32">
        <v>2.5629779055469659</v>
      </c>
      <c r="AE208" s="32">
        <v>2.6761762285405597</v>
      </c>
      <c r="AF208" s="32">
        <v>2.6256876940621252</v>
      </c>
      <c r="AG208" s="32">
        <v>2.3039681378358958</v>
      </c>
      <c r="AH208" s="32">
        <v>2.7051514647174946</v>
      </c>
      <c r="AI208" s="32">
        <v>2.2184978269413258</v>
      </c>
      <c r="AJ208" s="32">
        <v>2.7312114677229378</v>
      </c>
      <c r="AK208" s="32">
        <v>2.4530539470226569</v>
      </c>
      <c r="AL208" s="32">
        <v>2.9431606597439184</v>
      </c>
      <c r="AM208" s="42">
        <v>3.1313298767236217</v>
      </c>
      <c r="AN208" s="42"/>
      <c r="AO208" s="42"/>
      <c r="AP208" s="42"/>
      <c r="AQ208" s="42"/>
      <c r="AR208" s="42"/>
      <c r="AS208" s="42"/>
      <c r="AT208" s="42"/>
      <c r="AU208" s="42"/>
      <c r="AV208" s="42"/>
      <c r="AW208" s="42"/>
      <c r="AX208" s="42"/>
      <c r="AY208" s="42"/>
      <c r="AZ208" s="42"/>
      <c r="BA208" s="42"/>
      <c r="BB208" s="42"/>
      <c r="BC208" s="42"/>
      <c r="BD208" s="42"/>
      <c r="BE208" s="42"/>
      <c r="BF208" s="42"/>
      <c r="BG208" s="42"/>
      <c r="BH208" s="42"/>
      <c r="BI208" s="42"/>
      <c r="BJ208" s="42"/>
      <c r="BK208" s="42"/>
      <c r="BL208" s="42"/>
      <c r="BM208" s="42"/>
      <c r="BN208" s="42"/>
      <c r="BO208" s="42"/>
      <c r="BP208" s="42"/>
      <c r="BQ208" s="42"/>
      <c r="BR208" s="42"/>
      <c r="BS208" s="42"/>
      <c r="BT208" s="42"/>
      <c r="BU208" s="42"/>
      <c r="BV208" s="42"/>
      <c r="BW208" s="42"/>
      <c r="BX208" s="42"/>
      <c r="BY208" s="42"/>
      <c r="BZ208" s="42"/>
      <c r="CA208" s="42"/>
      <c r="CB208" s="42"/>
      <c r="CC208" s="42"/>
      <c r="CD208" s="42"/>
      <c r="CE208" s="42"/>
      <c r="CF208" s="42"/>
      <c r="CG208" s="42"/>
      <c r="CH208" s="42"/>
      <c r="CI208" s="42"/>
      <c r="CJ208" s="42"/>
      <c r="CK208" s="42"/>
      <c r="CL208" s="42"/>
      <c r="CM208" s="42"/>
      <c r="CN208" s="42"/>
      <c r="CO208" s="42"/>
      <c r="CP208" s="42"/>
      <c r="CQ208" s="42"/>
      <c r="CR208" s="42"/>
      <c r="CS208" s="42"/>
      <c r="CT208" s="42"/>
      <c r="CU208" s="42"/>
      <c r="CV208" s="42"/>
      <c r="CW208" s="42"/>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row>
    <row r="209" spans="1:131">
      <c r="A209" s="18" t="s">
        <v>503</v>
      </c>
      <c r="B209" s="18"/>
      <c r="C209" s="32">
        <v>175.0491992019071</v>
      </c>
      <c r="D209" s="32">
        <v>42.297440439819695</v>
      </c>
      <c r="E209" s="32">
        <v>8.4594880879639387</v>
      </c>
      <c r="F209" s="32">
        <v>50.756928527783636</v>
      </c>
      <c r="G209" s="32">
        <v>155.20329063262093</v>
      </c>
      <c r="H209" s="32">
        <v>167.19174985738709</v>
      </c>
      <c r="I209" s="32">
        <v>2540.0327218323005</v>
      </c>
      <c r="J209" s="32">
        <v>4.621408580974431</v>
      </c>
      <c r="K209" s="32">
        <v>33.256908653882199</v>
      </c>
      <c r="L209" s="244">
        <v>1.0772435892041996</v>
      </c>
      <c r="M209" s="32">
        <v>2.5756515086063296</v>
      </c>
      <c r="N209" s="32">
        <v>3.290686346163884E-2</v>
      </c>
      <c r="O209" s="32">
        <v>10.976483495260165</v>
      </c>
      <c r="P209" s="32">
        <v>9.8696392031524862</v>
      </c>
      <c r="Q209" s="32">
        <v>11.357417481007088</v>
      </c>
      <c r="R209" s="32">
        <v>10.566043547818664</v>
      </c>
      <c r="S209" s="32">
        <v>10.787304678447189</v>
      </c>
      <c r="T209" s="32">
        <v>10.677971403237823</v>
      </c>
      <c r="U209" s="32">
        <v>10.144255107882229</v>
      </c>
      <c r="V209" s="32">
        <v>10.569928606241392</v>
      </c>
      <c r="W209" s="32">
        <v>9.8756920079149033</v>
      </c>
      <c r="X209" s="32">
        <v>11.260165465379377</v>
      </c>
      <c r="Y209" s="32">
        <v>9.964634231925217</v>
      </c>
      <c r="Z209" s="32">
        <v>10.848881774119219</v>
      </c>
      <c r="AA209" s="32"/>
      <c r="AB209" s="32">
        <v>4.6601723097903527</v>
      </c>
      <c r="AC209" s="32">
        <v>4.0038832701360638</v>
      </c>
      <c r="AD209" s="32">
        <v>3.8405670131818859</v>
      </c>
      <c r="AE209" s="32">
        <v>4.010192254310887</v>
      </c>
      <c r="AF209" s="32">
        <v>3.9345362763010443</v>
      </c>
      <c r="AG209" s="32">
        <v>3.4524464726925799</v>
      </c>
      <c r="AH209" s="32">
        <v>4.053611019653907</v>
      </c>
      <c r="AI209" s="32">
        <v>3.324371058574628</v>
      </c>
      <c r="AJ209" s="32">
        <v>4.0926613710789095</v>
      </c>
      <c r="AK209" s="32">
        <v>3.675848336460894</v>
      </c>
      <c r="AL209" s="32">
        <v>4.4102626557347806</v>
      </c>
      <c r="AM209" s="42">
        <v>4.6922301616053739</v>
      </c>
      <c r="AN209" s="42"/>
      <c r="AO209" s="42"/>
      <c r="AP209" s="42"/>
      <c r="AQ209" s="42"/>
      <c r="AR209" s="42"/>
      <c r="AS209" s="42"/>
      <c r="AT209" s="42"/>
      <c r="AU209" s="42"/>
      <c r="AV209" s="42"/>
      <c r="AW209" s="42"/>
      <c r="AX209" s="42"/>
      <c r="AY209" s="42"/>
      <c r="AZ209" s="42"/>
      <c r="BA209" s="42"/>
      <c r="BB209" s="42"/>
      <c r="BC209" s="42"/>
      <c r="BD209" s="42"/>
      <c r="BE209" s="42"/>
      <c r="BF209" s="42"/>
      <c r="BG209" s="42"/>
      <c r="BH209" s="42"/>
      <c r="BI209" s="42"/>
      <c r="BJ209" s="42"/>
      <c r="BK209" s="42"/>
      <c r="BL209" s="42"/>
      <c r="BM209" s="42"/>
      <c r="BN209" s="42"/>
      <c r="BO209" s="42"/>
      <c r="BP209" s="42"/>
      <c r="BQ209" s="42"/>
      <c r="BR209" s="42"/>
      <c r="BS209" s="42"/>
      <c r="BT209" s="42"/>
      <c r="BU209" s="42"/>
      <c r="BV209" s="42"/>
      <c r="BW209" s="42"/>
      <c r="BX209" s="42"/>
      <c r="BY209" s="42"/>
      <c r="BZ209" s="42"/>
      <c r="CA209" s="42"/>
      <c r="CB209" s="42"/>
      <c r="CC209" s="42"/>
      <c r="CD209" s="42"/>
      <c r="CE209" s="42"/>
      <c r="CF209" s="42"/>
      <c r="CG209" s="42"/>
      <c r="CH209" s="42"/>
      <c r="CI209" s="42"/>
      <c r="CJ209" s="42"/>
      <c r="CK209" s="42"/>
      <c r="CL209" s="42"/>
      <c r="CM209" s="42"/>
      <c r="CN209" s="42"/>
      <c r="CO209" s="42"/>
      <c r="CP209" s="42"/>
      <c r="CQ209" s="42"/>
      <c r="CR209" s="42"/>
      <c r="CS209" s="42"/>
      <c r="CT209" s="42"/>
      <c r="CU209" s="42"/>
      <c r="CV209" s="42"/>
      <c r="CW209" s="42"/>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row>
    <row r="210" spans="1:131">
      <c r="A210" s="18" t="s">
        <v>471</v>
      </c>
      <c r="B210" s="18"/>
      <c r="C210" s="32">
        <v>725.50864856337955</v>
      </c>
      <c r="D210" s="32">
        <v>158.12338805804768</v>
      </c>
      <c r="E210" s="32">
        <v>31.624677611609538</v>
      </c>
      <c r="F210" s="32">
        <v>189.74806566965722</v>
      </c>
      <c r="G210" s="32">
        <v>580.20697936805198</v>
      </c>
      <c r="H210" s="32">
        <v>571.66650519773998</v>
      </c>
      <c r="I210" s="32">
        <v>2291.0726957667548</v>
      </c>
      <c r="J210" s="32">
        <v>3.1223189376269889</v>
      </c>
      <c r="K210" s="32">
        <v>39.162427820666892</v>
      </c>
      <c r="L210" s="245">
        <v>0.98528029742142353</v>
      </c>
      <c r="M210" s="32">
        <v>8.4916792611080467</v>
      </c>
      <c r="N210" s="32">
        <v>0.13638573696630285</v>
      </c>
      <c r="O210" s="32">
        <v>45.49311703756532</v>
      </c>
      <c r="P210" s="32">
        <v>40.905691843972178</v>
      </c>
      <c r="Q210" s="32">
        <v>47.071935463762948</v>
      </c>
      <c r="R210" s="32">
        <v>43.792008246766201</v>
      </c>
      <c r="S210" s="32">
        <v>44.709046797035434</v>
      </c>
      <c r="T210" s="32">
        <v>44.255904268524567</v>
      </c>
      <c r="U210" s="32">
        <v>42.043864510987241</v>
      </c>
      <c r="V210" s="32">
        <v>43.808110254080241</v>
      </c>
      <c r="W210" s="32">
        <v>40.930778289515608</v>
      </c>
      <c r="X210" s="32">
        <v>46.668864905600934</v>
      </c>
      <c r="Y210" s="32">
        <v>41.299408097798903</v>
      </c>
      <c r="Z210" s="32">
        <v>44.964259135436045</v>
      </c>
      <c r="AA210" s="32"/>
      <c r="AB210" s="32">
        <v>19.314543168225171</v>
      </c>
      <c r="AC210" s="32">
        <v>16.594488598439092</v>
      </c>
      <c r="AD210" s="32">
        <v>15.917608284724611</v>
      </c>
      <c r="AE210" s="32">
        <v>16.62063680479109</v>
      </c>
      <c r="AF210" s="32">
        <v>16.307073151761461</v>
      </c>
      <c r="AG210" s="32">
        <v>14.309004474516398</v>
      </c>
      <c r="AH210" s="32">
        <v>16.800590154534618</v>
      </c>
      <c r="AI210" s="32">
        <v>13.778183305184831</v>
      </c>
      <c r="AJ210" s="32">
        <v>16.962438182503028</v>
      </c>
      <c r="AK210" s="32">
        <v>15.234915504147224</v>
      </c>
      <c r="AL210" s="32">
        <v>18.278767990712538</v>
      </c>
      <c r="AM210" s="42">
        <v>19.447410092793817</v>
      </c>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c r="BM210" s="42"/>
      <c r="BN210" s="42"/>
      <c r="BO210" s="42"/>
      <c r="BP210" s="42"/>
      <c r="BQ210" s="42"/>
      <c r="BR210" s="42"/>
      <c r="BS210" s="42"/>
      <c r="BT210" s="42"/>
      <c r="BU210" s="42"/>
      <c r="BV210" s="42"/>
      <c r="BW210" s="42"/>
      <c r="BX210" s="42"/>
      <c r="BY210" s="42"/>
      <c r="BZ210" s="42"/>
      <c r="CA210" s="42"/>
      <c r="CB210" s="42"/>
      <c r="CC210" s="42"/>
      <c r="CD210" s="42"/>
      <c r="CE210" s="42"/>
      <c r="CF210" s="42"/>
      <c r="CG210" s="42"/>
      <c r="CH210" s="42"/>
      <c r="CI210" s="42"/>
      <c r="CJ210" s="42"/>
      <c r="CK210" s="42"/>
      <c r="CL210" s="42"/>
      <c r="CM210" s="42"/>
      <c r="CN210" s="42"/>
      <c r="CO210" s="42"/>
      <c r="CP210" s="42"/>
      <c r="CQ210" s="42"/>
      <c r="CR210" s="42"/>
      <c r="CS210" s="42"/>
      <c r="CT210" s="42"/>
      <c r="CU210" s="42"/>
      <c r="CV210" s="42"/>
      <c r="CW210" s="42"/>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row>
    <row r="211" spans="1:131">
      <c r="A211" s="18" t="s">
        <v>487</v>
      </c>
      <c r="B211" s="18"/>
      <c r="C211" s="32">
        <v>876.35543835313615</v>
      </c>
      <c r="D211" s="32">
        <v>216.82180597992453</v>
      </c>
      <c r="E211" s="32">
        <v>43.364361195984912</v>
      </c>
      <c r="F211" s="32">
        <v>260.18616717590942</v>
      </c>
      <c r="G211" s="32">
        <v>795.59087781850258</v>
      </c>
      <c r="H211" s="32">
        <v>757.5472656503689</v>
      </c>
      <c r="I211" s="32">
        <v>2600.8063905487261</v>
      </c>
      <c r="J211" s="32">
        <v>4.9873515751201429</v>
      </c>
      <c r="K211" s="32">
        <v>41.490514765217398</v>
      </c>
      <c r="L211" s="245">
        <v>0.95218194020468327</v>
      </c>
      <c r="M211" s="32">
        <v>11.46384521071518</v>
      </c>
      <c r="N211" s="32">
        <v>0.16474287734666271</v>
      </c>
      <c r="O211" s="32">
        <v>54.951985207138776</v>
      </c>
      <c r="P211" s="32">
        <v>49.410748690655907</v>
      </c>
      <c r="Q211" s="32">
        <v>56.859069453081531</v>
      </c>
      <c r="R211" s="32">
        <v>52.89718414722158</v>
      </c>
      <c r="S211" s="32">
        <v>54.004892128786331</v>
      </c>
      <c r="T211" s="32">
        <v>53.457532810608747</v>
      </c>
      <c r="U211" s="32">
        <v>50.785568699347237</v>
      </c>
      <c r="V211" s="32">
        <v>52.916634062403141</v>
      </c>
      <c r="W211" s="32">
        <v>49.44105107647097</v>
      </c>
      <c r="X211" s="32">
        <v>56.372193002490931</v>
      </c>
      <c r="Y211" s="32">
        <v>49.886325902440078</v>
      </c>
      <c r="Z211" s="32">
        <v>54.313167875926034</v>
      </c>
      <c r="AA211" s="32"/>
      <c r="AB211" s="32">
        <v>23.330397202428209</v>
      </c>
      <c r="AC211" s="32">
        <v>20.044792517260777</v>
      </c>
      <c r="AD211" s="32">
        <v>19.227176152228513</v>
      </c>
      <c r="AE211" s="32">
        <v>20.076377423774474</v>
      </c>
      <c r="AF211" s="32">
        <v>19.697618034556267</v>
      </c>
      <c r="AG211" s="32">
        <v>17.284113584989665</v>
      </c>
      <c r="AH211" s="32">
        <v>20.293746433792315</v>
      </c>
      <c r="AI211" s="32">
        <v>16.642924786678535</v>
      </c>
      <c r="AJ211" s="32">
        <v>20.489245687698808</v>
      </c>
      <c r="AK211" s="32">
        <v>18.40253879998177</v>
      </c>
      <c r="AL211" s="32">
        <v>22.079265032574984</v>
      </c>
      <c r="AM211" s="42">
        <v>23.490889640600454</v>
      </c>
      <c r="AN211" s="42"/>
      <c r="AO211" s="42"/>
      <c r="AP211" s="42"/>
      <c r="AQ211" s="42"/>
      <c r="AR211" s="42"/>
      <c r="AS211" s="42"/>
      <c r="AT211" s="42"/>
      <c r="AU211" s="42"/>
      <c r="AV211" s="42"/>
      <c r="AW211" s="42"/>
      <c r="AX211" s="42"/>
      <c r="AY211" s="42"/>
      <c r="AZ211" s="42"/>
      <c r="BA211" s="42"/>
      <c r="BB211" s="42"/>
      <c r="BC211" s="42"/>
      <c r="BD211" s="42"/>
      <c r="BE211" s="42"/>
      <c r="BF211" s="42"/>
      <c r="BG211" s="42"/>
      <c r="BH211" s="42"/>
      <c r="BI211" s="42"/>
      <c r="BJ211" s="42"/>
      <c r="BK211" s="42"/>
      <c r="BL211" s="42"/>
      <c r="BM211" s="42"/>
      <c r="BN211" s="42"/>
      <c r="BO211" s="42"/>
      <c r="BP211" s="42"/>
      <c r="BQ211" s="42"/>
      <c r="BR211" s="42"/>
      <c r="BS211" s="42"/>
      <c r="BT211" s="42"/>
      <c r="BU211" s="42"/>
      <c r="BV211" s="42"/>
      <c r="BW211" s="42"/>
      <c r="BX211" s="42"/>
      <c r="BY211" s="42"/>
      <c r="BZ211" s="42"/>
      <c r="CA211" s="42"/>
      <c r="CB211" s="42"/>
      <c r="CC211" s="42"/>
      <c r="CD211" s="42"/>
      <c r="CE211" s="42"/>
      <c r="CF211" s="42"/>
      <c r="CG211" s="42"/>
      <c r="CH211" s="42"/>
      <c r="CI211" s="42"/>
      <c r="CJ211" s="42"/>
      <c r="CK211" s="42"/>
      <c r="CL211" s="42"/>
      <c r="CM211" s="42"/>
      <c r="CN211" s="42"/>
      <c r="CO211" s="42"/>
      <c r="CP211" s="42"/>
      <c r="CQ211" s="42"/>
      <c r="CR211" s="42"/>
      <c r="CS211" s="42"/>
      <c r="CT211" s="42"/>
      <c r="CU211" s="42"/>
      <c r="CV211" s="42"/>
      <c r="CW211" s="42"/>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row>
    <row r="212" spans="1:131">
      <c r="A212" s="18" t="s">
        <v>477</v>
      </c>
      <c r="B212" s="18"/>
      <c r="C212" s="32">
        <v>33.48225909205005</v>
      </c>
      <c r="D212" s="32">
        <v>9.8287573310080454</v>
      </c>
      <c r="E212" s="32">
        <v>1.9657514662016091</v>
      </c>
      <c r="F212" s="32">
        <v>11.794508797209655</v>
      </c>
      <c r="G212" s="32">
        <v>36.064959598970191</v>
      </c>
      <c r="H212" s="32">
        <v>32.336976626098462</v>
      </c>
      <c r="I212" s="32">
        <v>3085.8102130894927</v>
      </c>
      <c r="J212" s="32">
        <v>7.9077569865630482</v>
      </c>
      <c r="K212" s="32">
        <v>46.488987183778313</v>
      </c>
      <c r="L212" s="245">
        <v>0.89663143909418996</v>
      </c>
      <c r="M212" s="32">
        <v>0.49909232477071264</v>
      </c>
      <c r="N212" s="32">
        <v>6.2942083331581616E-3</v>
      </c>
      <c r="O212" s="32">
        <v>2.0995095435084292</v>
      </c>
      <c r="P212" s="32">
        <v>1.8877996497650118</v>
      </c>
      <c r="Q212" s="32">
        <v>2.172372089957638</v>
      </c>
      <c r="R212" s="32">
        <v>2.0210032908399276</v>
      </c>
      <c r="S212" s="32">
        <v>2.0633246641251559</v>
      </c>
      <c r="T212" s="32">
        <v>2.0424121145983225</v>
      </c>
      <c r="U212" s="32">
        <v>1.9403263731940832</v>
      </c>
      <c r="V212" s="32">
        <v>2.0217463992533942</v>
      </c>
      <c r="W212" s="32">
        <v>1.888957390435708</v>
      </c>
      <c r="X212" s="32">
        <v>2.153770364275275</v>
      </c>
      <c r="Y212" s="32">
        <v>1.9059696738515355</v>
      </c>
      <c r="Z212" s="32">
        <v>2.0751027258405301</v>
      </c>
      <c r="AA212" s="32"/>
      <c r="AB212" s="32">
        <v>0.89136709794384483</v>
      </c>
      <c r="AC212" s="32">
        <v>0.76583644847408006</v>
      </c>
      <c r="AD212" s="32">
        <v>0.73459838937861166</v>
      </c>
      <c r="AE212" s="32">
        <v>0.76704318945725614</v>
      </c>
      <c r="AF212" s="32">
        <v>0.7525722117599164</v>
      </c>
      <c r="AG212" s="32">
        <v>0.66036124602201496</v>
      </c>
      <c r="AH212" s="32">
        <v>0.77534804521952172</v>
      </c>
      <c r="AI212" s="32">
        <v>0.63586382347812398</v>
      </c>
      <c r="AJ212" s="32">
        <v>0.78281733950940546</v>
      </c>
      <c r="AK212" s="32">
        <v>0.70309208465732853</v>
      </c>
      <c r="AL212" s="32">
        <v>0.8435660235896465</v>
      </c>
      <c r="AM212" s="42">
        <v>0.89749891291528627</v>
      </c>
      <c r="AN212" s="42"/>
      <c r="AO212" s="42"/>
      <c r="AP212" s="42"/>
      <c r="AQ212" s="42"/>
      <c r="AR212" s="42"/>
      <c r="AS212" s="42"/>
      <c r="AT212" s="42"/>
      <c r="AU212" s="42"/>
      <c r="AV212" s="42"/>
      <c r="AW212" s="42"/>
      <c r="AX212" s="42"/>
      <c r="AY212" s="42"/>
      <c r="AZ212" s="42"/>
      <c r="BA212" s="42"/>
      <c r="BB212" s="42"/>
      <c r="BC212" s="42"/>
      <c r="BD212" s="42"/>
      <c r="BE212" s="42"/>
      <c r="BF212" s="42"/>
      <c r="BG212" s="42"/>
      <c r="BH212" s="42"/>
      <c r="BI212" s="42"/>
      <c r="BJ212" s="42"/>
      <c r="BK212" s="42"/>
      <c r="BL212" s="42"/>
      <c r="BM212" s="42"/>
      <c r="BN212" s="42"/>
      <c r="BO212" s="42"/>
      <c r="BP212" s="42"/>
      <c r="BQ212" s="42"/>
      <c r="BR212" s="42"/>
      <c r="BS212" s="42"/>
      <c r="BT212" s="42"/>
      <c r="BU212" s="42"/>
      <c r="BV212" s="42"/>
      <c r="BW212" s="42"/>
      <c r="BX212" s="42"/>
      <c r="BY212" s="42"/>
      <c r="BZ212" s="42"/>
      <c r="CA212" s="42"/>
      <c r="CB212" s="42"/>
      <c r="CC212" s="42"/>
      <c r="CD212" s="42"/>
      <c r="CE212" s="42"/>
      <c r="CF212" s="42"/>
      <c r="CG212" s="42"/>
      <c r="CH212" s="42"/>
      <c r="CI212" s="42"/>
      <c r="CJ212" s="42"/>
      <c r="CK212" s="42"/>
      <c r="CL212" s="42"/>
      <c r="CM212" s="42"/>
      <c r="CN212" s="42"/>
      <c r="CO212" s="42"/>
      <c r="CP212" s="42"/>
      <c r="CQ212" s="42"/>
      <c r="CR212" s="42"/>
      <c r="CS212" s="42"/>
      <c r="CT212" s="42"/>
      <c r="CU212" s="42"/>
      <c r="CV212" s="42"/>
      <c r="CW212" s="42"/>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row>
    <row r="213" spans="1:131">
      <c r="A213" s="18" t="s">
        <v>495</v>
      </c>
      <c r="B213" s="18"/>
      <c r="C213" s="32">
        <v>49.258523536046013</v>
      </c>
      <c r="D213" s="32">
        <v>13.12021635203703</v>
      </c>
      <c r="E213" s="32">
        <v>2.6240432704074061</v>
      </c>
      <c r="F213" s="32">
        <v>15.744259622444435</v>
      </c>
      <c r="G213" s="32">
        <v>48.142410757579853</v>
      </c>
      <c r="H213" s="32">
        <v>41.803519424346412</v>
      </c>
      <c r="I213" s="32">
        <v>2799.9157179708695</v>
      </c>
      <c r="J213" s="32">
        <v>6.1862698727661556</v>
      </c>
      <c r="K213" s="32">
        <v>47.765199650670738</v>
      </c>
      <c r="L213" s="245">
        <v>0.86833041317451254</v>
      </c>
      <c r="M213" s="32">
        <v>0.63037591976152396</v>
      </c>
      <c r="N213" s="32">
        <v>9.2599310120404718E-3</v>
      </c>
      <c r="O213" s="32">
        <v>3.0887623197330401</v>
      </c>
      <c r="P213" s="32">
        <v>2.7772983663867725</v>
      </c>
      <c r="Q213" s="32">
        <v>3.1959564445170749</v>
      </c>
      <c r="R213" s="32">
        <v>2.9732652714554235</v>
      </c>
      <c r="S213" s="32">
        <v>3.0355277477213454</v>
      </c>
      <c r="T213" s="32">
        <v>3.0047615646440859</v>
      </c>
      <c r="U213" s="32">
        <v>2.8545747782080002</v>
      </c>
      <c r="V213" s="32">
        <v>2.9743585197686264</v>
      </c>
      <c r="W213" s="32">
        <v>2.7790016145433363</v>
      </c>
      <c r="X213" s="32">
        <v>3.1685899057236013</v>
      </c>
      <c r="Y213" s="32">
        <v>2.8040297932195895</v>
      </c>
      <c r="Z213" s="32">
        <v>3.0528554294832224</v>
      </c>
      <c r="AA213" s="32"/>
      <c r="AB213" s="32">
        <v>1.311363939112137</v>
      </c>
      <c r="AC213" s="32">
        <v>1.1266854072842254</v>
      </c>
      <c r="AD213" s="32">
        <v>1.08072851217317</v>
      </c>
      <c r="AE213" s="32">
        <v>1.1284607438574914</v>
      </c>
      <c r="AF213" s="32">
        <v>1.1071712904327893</v>
      </c>
      <c r="AG213" s="32">
        <v>0.9715121040680188</v>
      </c>
      <c r="AH213" s="32">
        <v>1.1406787047753721</v>
      </c>
      <c r="AI213" s="32">
        <v>0.93547191748343927</v>
      </c>
      <c r="AJ213" s="32">
        <v>1.1516674020303688</v>
      </c>
      <c r="AK213" s="32">
        <v>1.0343769787124049</v>
      </c>
      <c r="AL213" s="32">
        <v>1.2410398209081881</v>
      </c>
      <c r="AM213" s="42">
        <v>1.3203849598042905</v>
      </c>
      <c r="AN213" s="42"/>
      <c r="AO213" s="42"/>
      <c r="AP213" s="42"/>
      <c r="AQ213" s="42"/>
      <c r="AR213" s="42"/>
      <c r="AS213" s="42"/>
      <c r="AT213" s="42"/>
      <c r="AU213" s="42"/>
      <c r="AV213" s="42"/>
      <c r="AW213" s="42"/>
      <c r="AX213" s="42"/>
      <c r="AY213" s="42"/>
      <c r="AZ213" s="42"/>
      <c r="BA213" s="42"/>
      <c r="BB213" s="42"/>
      <c r="BC213" s="42"/>
      <c r="BD213" s="42"/>
      <c r="BE213" s="42"/>
      <c r="BF213" s="42"/>
      <c r="BG213" s="42"/>
      <c r="BH213" s="42"/>
      <c r="BI213" s="42"/>
      <c r="BJ213" s="42"/>
      <c r="BK213" s="42"/>
      <c r="BL213" s="42"/>
      <c r="BM213" s="42"/>
      <c r="BN213" s="42"/>
      <c r="BO213" s="42"/>
      <c r="BP213" s="42"/>
      <c r="BQ213" s="42"/>
      <c r="BR213" s="42"/>
      <c r="BS213" s="42"/>
      <c r="BT213" s="42"/>
      <c r="BU213" s="42"/>
      <c r="BV213" s="42"/>
      <c r="BW213" s="42"/>
      <c r="BX213" s="42"/>
      <c r="BY213" s="42"/>
      <c r="BZ213" s="42"/>
      <c r="CA213" s="42"/>
      <c r="CB213" s="42"/>
      <c r="CC213" s="42"/>
      <c r="CD213" s="42"/>
      <c r="CE213" s="42"/>
      <c r="CF213" s="42"/>
      <c r="CG213" s="42"/>
      <c r="CH213" s="42"/>
      <c r="CI213" s="42"/>
      <c r="CJ213" s="42"/>
      <c r="CK213" s="42"/>
      <c r="CL213" s="42"/>
      <c r="CM213" s="42"/>
      <c r="CN213" s="42"/>
      <c r="CO213" s="42"/>
      <c r="CP213" s="42"/>
      <c r="CQ213" s="42"/>
      <c r="CR213" s="42"/>
      <c r="CS213" s="42"/>
      <c r="CT213" s="42"/>
      <c r="CU213" s="42"/>
      <c r="CV213" s="42"/>
      <c r="CW213" s="42"/>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row>
    <row r="214" spans="1:131">
      <c r="A214" s="18" t="s">
        <v>473</v>
      </c>
      <c r="B214" s="18"/>
      <c r="C214" s="32">
        <v>90.211161063706868</v>
      </c>
      <c r="D214" s="32">
        <v>23.581332777662279</v>
      </c>
      <c r="E214" s="32">
        <v>4.7162665555324557</v>
      </c>
      <c r="F214" s="32">
        <v>28.297599333194736</v>
      </c>
      <c r="G214" s="32">
        <v>86.527704904587139</v>
      </c>
      <c r="H214" s="32">
        <v>72.64521255746952</v>
      </c>
      <c r="I214" s="32">
        <v>2747.8525632069936</v>
      </c>
      <c r="J214" s="32">
        <v>5.8727764282965875</v>
      </c>
      <c r="K214" s="32">
        <v>49.619656481615465</v>
      </c>
      <c r="L214" s="245">
        <v>0.83956014593908801</v>
      </c>
      <c r="M214" s="32">
        <v>1.0840125177375983</v>
      </c>
      <c r="N214" s="32">
        <v>1.6958468666944754E-2</v>
      </c>
      <c r="O214" s="32">
        <v>5.6567029441928875</v>
      </c>
      <c r="P214" s="32">
        <v>5.0862935440756054</v>
      </c>
      <c r="Q214" s="32">
        <v>5.85301630809019</v>
      </c>
      <c r="R214" s="32">
        <v>5.4451837577330986</v>
      </c>
      <c r="S214" s="32">
        <v>5.5592101205115148</v>
      </c>
      <c r="T214" s="32">
        <v>5.5028654942892699</v>
      </c>
      <c r="U214" s="32">
        <v>5.2278161544341701</v>
      </c>
      <c r="V214" s="32">
        <v>5.447185912742734</v>
      </c>
      <c r="W214" s="32">
        <v>5.0894128416662197</v>
      </c>
      <c r="X214" s="32">
        <v>5.8028977283676832</v>
      </c>
      <c r="Y214" s="32">
        <v>5.1352489913437971</v>
      </c>
      <c r="Z214" s="32">
        <v>5.5909437206698192</v>
      </c>
      <c r="AA214" s="32"/>
      <c r="AB214" s="32">
        <v>2.4016079864394162</v>
      </c>
      <c r="AC214" s="32">
        <v>2.0633910935285829</v>
      </c>
      <c r="AD214" s="32">
        <v>1.9792264745095511</v>
      </c>
      <c r="AE214" s="32">
        <v>2.0666424125299732</v>
      </c>
      <c r="AF214" s="32">
        <v>2.0276532960484639</v>
      </c>
      <c r="AG214" s="32">
        <v>1.7792095378434836</v>
      </c>
      <c r="AH214" s="32">
        <v>2.0890181631841003</v>
      </c>
      <c r="AI214" s="32">
        <v>1.7132061978455155</v>
      </c>
      <c r="AJ214" s="32">
        <v>2.1091426627993881</v>
      </c>
      <c r="AK214" s="32">
        <v>1.8943391220187884</v>
      </c>
      <c r="AL214" s="32">
        <v>2.2728176797361059</v>
      </c>
      <c r="AM214" s="42">
        <v>2.4181289191064983</v>
      </c>
      <c r="AN214" s="42"/>
      <c r="AO214" s="42"/>
      <c r="AP214" s="42"/>
      <c r="AQ214" s="42"/>
      <c r="AR214" s="42"/>
      <c r="AS214" s="42"/>
      <c r="AT214" s="42"/>
      <c r="AU214" s="42"/>
      <c r="AV214" s="42"/>
      <c r="AW214" s="42"/>
      <c r="AX214" s="42"/>
      <c r="AY214" s="42"/>
      <c r="AZ214" s="42"/>
      <c r="BA214" s="42"/>
      <c r="BB214" s="42"/>
      <c r="BC214" s="42"/>
      <c r="BD214" s="42"/>
      <c r="BE214" s="42"/>
      <c r="BF214" s="42"/>
      <c r="BG214" s="42"/>
      <c r="BH214" s="42"/>
      <c r="BI214" s="42"/>
      <c r="BJ214" s="42"/>
      <c r="BK214" s="42"/>
      <c r="BL214" s="42"/>
      <c r="BM214" s="42"/>
      <c r="BN214" s="42"/>
      <c r="BO214" s="42"/>
      <c r="BP214" s="42"/>
      <c r="BQ214" s="42"/>
      <c r="BR214" s="42"/>
      <c r="BS214" s="42"/>
      <c r="BT214" s="42"/>
      <c r="BU214" s="42"/>
      <c r="BV214" s="42"/>
      <c r="BW214" s="42"/>
      <c r="BX214" s="42"/>
      <c r="BY214" s="42"/>
      <c r="BZ214" s="42"/>
      <c r="CA214" s="42"/>
      <c r="CB214" s="42"/>
      <c r="CC214" s="42"/>
      <c r="CD214" s="42"/>
      <c r="CE214" s="42"/>
      <c r="CF214" s="42"/>
      <c r="CG214" s="42"/>
      <c r="CH214" s="42"/>
      <c r="CI214" s="42"/>
      <c r="CJ214" s="42"/>
      <c r="CK214" s="42"/>
      <c r="CL214" s="42"/>
      <c r="CM214" s="42"/>
      <c r="CN214" s="42"/>
      <c r="CO214" s="42"/>
      <c r="CP214" s="42"/>
      <c r="CQ214" s="42"/>
      <c r="CR214" s="42"/>
      <c r="CS214" s="42"/>
      <c r="CT214" s="42"/>
      <c r="CU214" s="42"/>
      <c r="CV214" s="42"/>
      <c r="CW214" s="42"/>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row>
    <row r="215" spans="1:131">
      <c r="A215" s="18" t="s">
        <v>489</v>
      </c>
      <c r="B215" s="18"/>
      <c r="C215" s="32">
        <v>29.02532048555036</v>
      </c>
      <c r="D215" s="32">
        <v>14.592559195953807</v>
      </c>
      <c r="E215" s="32">
        <v>2.9185118391907618</v>
      </c>
      <c r="F215" s="32">
        <v>17.511071035144568</v>
      </c>
      <c r="G215" s="32">
        <v>53.544923343191265</v>
      </c>
      <c r="H215" s="32">
        <v>40.529783254753092</v>
      </c>
      <c r="I215" s="32">
        <v>5284.9367277178508</v>
      </c>
      <c r="J215" s="32">
        <v>21.149592772771506</v>
      </c>
      <c r="K215" s="32">
        <v>71.290774467423859</v>
      </c>
      <c r="L215" s="245">
        <v>0.75693045622609578</v>
      </c>
      <c r="M215" s="32">
        <v>0.65764799613854685</v>
      </c>
      <c r="N215" s="32">
        <v>5.4563646249340203E-3</v>
      </c>
      <c r="O215" s="32">
        <v>1.8200366108890449</v>
      </c>
      <c r="P215" s="32">
        <v>1.6365081488766495</v>
      </c>
      <c r="Q215" s="32">
        <v>1.8832001733077988</v>
      </c>
      <c r="R215" s="32">
        <v>1.7519805953866772</v>
      </c>
      <c r="S215" s="32">
        <v>1.7886684251897753</v>
      </c>
      <c r="T215" s="32">
        <v>1.7705396170195284</v>
      </c>
      <c r="U215" s="32">
        <v>1.682042859583988</v>
      </c>
      <c r="V215" s="32">
        <v>1.7526247860847148</v>
      </c>
      <c r="W215" s="32">
        <v>1.6375117787068147</v>
      </c>
      <c r="X215" s="32">
        <v>1.8670745872763868</v>
      </c>
      <c r="Y215" s="32">
        <v>1.6522594985956636</v>
      </c>
      <c r="Z215" s="32">
        <v>1.7988786686219007</v>
      </c>
      <c r="AA215" s="32"/>
      <c r="AB215" s="32">
        <v>0.77271415936919541</v>
      </c>
      <c r="AC215" s="32">
        <v>0.66389332617504804</v>
      </c>
      <c r="AD215" s="32">
        <v>0.63681347250986275</v>
      </c>
      <c r="AE215" s="32">
        <v>0.6649394337176554</v>
      </c>
      <c r="AF215" s="32">
        <v>0.65239473760710331</v>
      </c>
      <c r="AG215" s="32">
        <v>0.5724582905033837</v>
      </c>
      <c r="AH215" s="32">
        <v>0.67213880158059813</v>
      </c>
      <c r="AI215" s="32">
        <v>0.55122180408675459</v>
      </c>
      <c r="AJ215" s="32">
        <v>0.67861383243107742</v>
      </c>
      <c r="AK215" s="32">
        <v>0.60950108031623729</v>
      </c>
      <c r="AL215" s="32">
        <v>0.73127605034346166</v>
      </c>
      <c r="AM215" s="42">
        <v>0.77802974737103481</v>
      </c>
      <c r="AN215" s="42"/>
      <c r="AO215" s="42"/>
      <c r="AP215" s="42"/>
      <c r="AQ215" s="42"/>
      <c r="AR215" s="42"/>
      <c r="AS215" s="42"/>
      <c r="AT215" s="42"/>
      <c r="AU215" s="42"/>
      <c r="AV215" s="42"/>
      <c r="AW215" s="42"/>
      <c r="AX215" s="42"/>
      <c r="AY215" s="42"/>
      <c r="AZ215" s="42"/>
      <c r="BA215" s="42"/>
      <c r="BB215" s="42"/>
      <c r="BC215" s="42"/>
      <c r="BD215" s="42"/>
      <c r="BE215" s="42"/>
      <c r="BF215" s="42"/>
      <c r="BG215" s="42"/>
      <c r="BH215" s="42"/>
      <c r="BI215" s="42"/>
      <c r="BJ215" s="42"/>
      <c r="BK215" s="42"/>
      <c r="BL215" s="42"/>
      <c r="BM215" s="42"/>
      <c r="BN215" s="42"/>
      <c r="BO215" s="42"/>
      <c r="BP215" s="42"/>
      <c r="BQ215" s="42"/>
      <c r="BR215" s="42"/>
      <c r="BS215" s="42"/>
      <c r="BT215" s="42"/>
      <c r="BU215" s="42"/>
      <c r="BV215" s="42"/>
      <c r="BW215" s="42"/>
      <c r="BX215" s="42"/>
      <c r="BY215" s="42"/>
      <c r="BZ215" s="42"/>
      <c r="CA215" s="42"/>
      <c r="CB215" s="42"/>
      <c r="CC215" s="42"/>
      <c r="CD215" s="42"/>
      <c r="CE215" s="42"/>
      <c r="CF215" s="42"/>
      <c r="CG215" s="42"/>
      <c r="CH215" s="42"/>
      <c r="CI215" s="42"/>
      <c r="CJ215" s="42"/>
      <c r="CK215" s="42"/>
      <c r="CL215" s="42"/>
      <c r="CM215" s="42"/>
      <c r="CN215" s="42"/>
      <c r="CO215" s="42"/>
      <c r="CP215" s="42"/>
      <c r="CQ215" s="42"/>
      <c r="CR215" s="42"/>
      <c r="CS215" s="42"/>
      <c r="CT215" s="42"/>
      <c r="CU215" s="42"/>
      <c r="CV215" s="42"/>
      <c r="CW215" s="42"/>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row>
    <row r="216" spans="1:131">
      <c r="A216" s="18" t="s">
        <v>485</v>
      </c>
      <c r="B216" s="18"/>
      <c r="C216" s="32">
        <v>199.16136222239018</v>
      </c>
      <c r="D216" s="32">
        <v>82.302349885604954</v>
      </c>
      <c r="E216" s="32">
        <v>16.46046997712099</v>
      </c>
      <c r="F216" s="32">
        <v>98.762819862725948</v>
      </c>
      <c r="G216" s="32">
        <v>301.9945272390022</v>
      </c>
      <c r="H216" s="32">
        <v>202.66650947278561</v>
      </c>
      <c r="I216" s="32">
        <v>4344.026835041479</v>
      </c>
      <c r="J216" s="32">
        <v>15.483991359864566</v>
      </c>
      <c r="K216" s="32">
        <v>74.993771804073788</v>
      </c>
      <c r="L216" s="245">
        <v>0.67109331856332888</v>
      </c>
      <c r="M216" s="32">
        <v>3.1544835028211939</v>
      </c>
      <c r="N216" s="32">
        <v>3.7439621451377587E-2</v>
      </c>
      <c r="O216" s="32">
        <v>12.488439908862953</v>
      </c>
      <c r="P216" s="32">
        <v>11.229133279702202</v>
      </c>
      <c r="Q216" s="32">
        <v>12.92184567058057</v>
      </c>
      <c r="R216" s="32">
        <v>12.021463884890116</v>
      </c>
      <c r="S216" s="32">
        <v>12.273202643957591</v>
      </c>
      <c r="T216" s="32">
        <v>12.148809249836335</v>
      </c>
      <c r="U216" s="32">
        <v>11.541576169605545</v>
      </c>
      <c r="V216" s="32">
        <v>12.025884090931115</v>
      </c>
      <c r="W216" s="32">
        <v>11.236019828439616</v>
      </c>
      <c r="X216" s="32">
        <v>12.8111976699065</v>
      </c>
      <c r="Y216" s="32">
        <v>11.337213404724139</v>
      </c>
      <c r="Z216" s="32">
        <v>12.343261680569316</v>
      </c>
      <c r="AA216" s="32"/>
      <c r="AB216" s="32">
        <v>5.3020880394795737</v>
      </c>
      <c r="AC216" s="32">
        <v>4.5553984245307486</v>
      </c>
      <c r="AD216" s="32">
        <v>4.3695861594284153</v>
      </c>
      <c r="AE216" s="32">
        <v>4.5625764401299396</v>
      </c>
      <c r="AF216" s="32">
        <v>4.4764992246419224</v>
      </c>
      <c r="AG216" s="32">
        <v>3.9280039305306871</v>
      </c>
      <c r="AH216" s="32">
        <v>4.6119759260525015</v>
      </c>
      <c r="AI216" s="32">
        <v>3.782286760390956</v>
      </c>
      <c r="AJ216" s="32">
        <v>4.6564052706054913</v>
      </c>
      <c r="AK216" s="32">
        <v>4.182178298159748</v>
      </c>
      <c r="AL216" s="32">
        <v>5.0177545643128312</v>
      </c>
      <c r="AM216" s="42">
        <v>5.338561702121349</v>
      </c>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42"/>
      <c r="BN216" s="42"/>
      <c r="BO216" s="42"/>
      <c r="BP216" s="42"/>
      <c r="BQ216" s="42"/>
      <c r="BR216" s="42"/>
      <c r="BS216" s="42"/>
      <c r="BT216" s="42"/>
      <c r="BU216" s="42"/>
      <c r="BV216" s="42"/>
      <c r="BW216" s="42"/>
      <c r="BX216" s="42"/>
      <c r="BY216" s="42"/>
      <c r="BZ216" s="42"/>
      <c r="CA216" s="42"/>
      <c r="CB216" s="42"/>
      <c r="CC216" s="42"/>
      <c r="CD216" s="42"/>
      <c r="CE216" s="42"/>
      <c r="CF216" s="42"/>
      <c r="CG216" s="42"/>
      <c r="CH216" s="42"/>
      <c r="CI216" s="42"/>
      <c r="CJ216" s="42"/>
      <c r="CK216" s="42"/>
      <c r="CL216" s="42"/>
      <c r="CM216" s="42"/>
      <c r="CN216" s="42"/>
      <c r="CO216" s="42"/>
      <c r="CP216" s="42"/>
      <c r="CQ216" s="42"/>
      <c r="CR216" s="42"/>
      <c r="CS216" s="42"/>
      <c r="CT216" s="42"/>
      <c r="CU216" s="42"/>
      <c r="CV216" s="42"/>
      <c r="CW216" s="42"/>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row>
    <row r="217" spans="1:131">
      <c r="A217" s="18" t="s">
        <v>481</v>
      </c>
      <c r="B217" s="18"/>
      <c r="C217" s="32">
        <v>37.459341284727984</v>
      </c>
      <c r="D217" s="32">
        <v>15.378181835946435</v>
      </c>
      <c r="E217" s="32">
        <v>3.0756363671892872</v>
      </c>
      <c r="F217" s="32">
        <v>18.453818203135722</v>
      </c>
      <c r="G217" s="32">
        <v>56.427632501345293</v>
      </c>
      <c r="H217" s="32">
        <v>31.18768580655545</v>
      </c>
      <c r="I217" s="32">
        <v>4315.4909273691683</v>
      </c>
      <c r="J217" s="32">
        <v>15.31216504569227</v>
      </c>
      <c r="K217" s="32">
        <v>87.875319189015713</v>
      </c>
      <c r="L217" s="245">
        <v>0.55270236272648698</v>
      </c>
      <c r="M217" s="32">
        <v>0.46853328841395991</v>
      </c>
      <c r="N217" s="32">
        <v>7.0418455762124117E-3</v>
      </c>
      <c r="O217" s="32">
        <v>2.3488930153909262</v>
      </c>
      <c r="P217" s="32">
        <v>2.1120358445146885</v>
      </c>
      <c r="Q217" s="32">
        <v>2.4304103044965264</v>
      </c>
      <c r="R217" s="32">
        <v>2.261061650619224</v>
      </c>
      <c r="S217" s="32">
        <v>2.3084100317774761</v>
      </c>
      <c r="T217" s="32">
        <v>2.285013452481385</v>
      </c>
      <c r="U217" s="32">
        <v>2.1708017854295085</v>
      </c>
      <c r="V217" s="32">
        <v>2.2618930267696529</v>
      </c>
      <c r="W217" s="32">
        <v>2.1133311036781635</v>
      </c>
      <c r="X217" s="32">
        <v>2.4095990328047079</v>
      </c>
      <c r="Y217" s="32">
        <v>2.1323641363284995</v>
      </c>
      <c r="Z217" s="32">
        <v>2.3215871125788592</v>
      </c>
      <c r="AA217" s="32"/>
      <c r="AB217" s="32">
        <v>0.99724526472540465</v>
      </c>
      <c r="AC217" s="32">
        <v>0.85680386179456192</v>
      </c>
      <c r="AD217" s="32">
        <v>0.82185529056725504</v>
      </c>
      <c r="AE217" s="32">
        <v>0.85815394161464753</v>
      </c>
      <c r="AF217" s="32">
        <v>0.84196407548888652</v>
      </c>
      <c r="AG217" s="32">
        <v>0.73880012749260104</v>
      </c>
      <c r="AH217" s="32">
        <v>0.8674452628921</v>
      </c>
      <c r="AI217" s="32">
        <v>0.71139285759647597</v>
      </c>
      <c r="AJ217" s="32">
        <v>0.87580177322169317</v>
      </c>
      <c r="AK217" s="32">
        <v>0.7866066110223493</v>
      </c>
      <c r="AL217" s="32">
        <v>0.94376629387436872</v>
      </c>
      <c r="AM217" s="42">
        <v>1.0041054275680177</v>
      </c>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42"/>
      <c r="BN217" s="42"/>
      <c r="BO217" s="42"/>
      <c r="BP217" s="42"/>
      <c r="BQ217" s="42"/>
      <c r="BR217" s="42"/>
      <c r="BS217" s="42"/>
      <c r="BT217" s="42"/>
      <c r="BU217" s="42"/>
      <c r="BV217" s="42"/>
      <c r="BW217" s="42"/>
      <c r="BX217" s="42"/>
      <c r="BY217" s="42"/>
      <c r="BZ217" s="42"/>
      <c r="CA217" s="42"/>
      <c r="CB217" s="42"/>
      <c r="CC217" s="42"/>
      <c r="CD217" s="42"/>
      <c r="CE217" s="42"/>
      <c r="CF217" s="42"/>
      <c r="CG217" s="42"/>
      <c r="CH217" s="42"/>
      <c r="CI217" s="42"/>
      <c r="CJ217" s="42"/>
      <c r="CK217" s="42"/>
      <c r="CL217" s="42"/>
      <c r="CM217" s="42"/>
      <c r="CN217" s="42"/>
      <c r="CO217" s="42"/>
      <c r="CP217" s="42"/>
      <c r="CQ217" s="42"/>
      <c r="CR217" s="42"/>
      <c r="CS217" s="42"/>
      <c r="CT217" s="42"/>
      <c r="CU217" s="42"/>
      <c r="CV217" s="42"/>
      <c r="CW217" s="42"/>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row>
    <row r="218" spans="1:131">
      <c r="A218" s="18" t="s">
        <v>479</v>
      </c>
      <c r="B218" s="18"/>
      <c r="C218" s="32">
        <v>236.73046392719183</v>
      </c>
      <c r="D218" s="32">
        <v>143.75452147683055</v>
      </c>
      <c r="E218" s="32">
        <v>28.750904295366112</v>
      </c>
      <c r="F218" s="32">
        <v>172.50542577219665</v>
      </c>
      <c r="G218" s="32">
        <v>527.48285817119267</v>
      </c>
      <c r="H218" s="32">
        <v>228.57088631281783</v>
      </c>
      <c r="I218" s="32">
        <v>6383.4096579526285</v>
      </c>
      <c r="J218" s="32">
        <v>27.763945362768958</v>
      </c>
      <c r="K218" s="32">
        <v>131.20556367350659</v>
      </c>
      <c r="L218" s="245">
        <v>0.43332381853181656</v>
      </c>
      <c r="M218" s="32">
        <v>3.5276278521088864</v>
      </c>
      <c r="N218" s="32">
        <v>4.4502100490486855E-2</v>
      </c>
      <c r="O218" s="32">
        <v>14.844215466104197</v>
      </c>
      <c r="P218" s="32">
        <v>13.347357645785983</v>
      </c>
      <c r="Q218" s="32">
        <v>15.359377372486231</v>
      </c>
      <c r="R218" s="32">
        <v>14.289150720792177</v>
      </c>
      <c r="S218" s="32">
        <v>14.588376597526009</v>
      </c>
      <c r="T218" s="32">
        <v>14.440518069289391</v>
      </c>
      <c r="U218" s="32">
        <v>13.718738667949205</v>
      </c>
      <c r="V218" s="32">
        <v>14.294404739016713</v>
      </c>
      <c r="W218" s="32">
        <v>13.355543248953554</v>
      </c>
      <c r="X218" s="32">
        <v>15.22785712056638</v>
      </c>
      <c r="Y218" s="32">
        <v>13.475825626985982</v>
      </c>
      <c r="Z218" s="32">
        <v>14.671651325386462</v>
      </c>
      <c r="AA218" s="32"/>
      <c r="AB218" s="32">
        <v>6.3022553539639627</v>
      </c>
      <c r="AC218" s="32">
        <v>5.4147128257145773</v>
      </c>
      <c r="AD218" s="32">
        <v>5.1938495858261096</v>
      </c>
      <c r="AE218" s="32">
        <v>5.4232448770317196</v>
      </c>
      <c r="AF218" s="32">
        <v>5.3209303571436433</v>
      </c>
      <c r="AG218" s="32">
        <v>4.6689688321373781</v>
      </c>
      <c r="AH218" s="32">
        <v>5.4819629089316733</v>
      </c>
      <c r="AI218" s="32">
        <v>4.4957640854716221</v>
      </c>
      <c r="AJ218" s="32">
        <v>5.5347732494045703</v>
      </c>
      <c r="AK218" s="32">
        <v>4.9710897620998855</v>
      </c>
      <c r="AL218" s="32">
        <v>5.9642862080656087</v>
      </c>
      <c r="AM218" s="42">
        <v>6.3456092805587705</v>
      </c>
      <c r="AN218" s="42"/>
      <c r="AO218" s="42"/>
      <c r="AP218" s="42"/>
      <c r="AQ218" s="42"/>
      <c r="AR218" s="42"/>
      <c r="AS218" s="42"/>
      <c r="AT218" s="42"/>
      <c r="AU218" s="42"/>
      <c r="AV218" s="42"/>
      <c r="AW218" s="42"/>
      <c r="AX218" s="42"/>
      <c r="AY218" s="42"/>
      <c r="AZ218" s="42"/>
      <c r="BA218" s="42"/>
      <c r="BB218" s="42"/>
      <c r="BC218" s="42"/>
      <c r="BD218" s="42"/>
      <c r="BE218" s="42"/>
      <c r="BF218" s="42"/>
      <c r="BG218" s="42"/>
      <c r="BH218" s="42"/>
      <c r="BI218" s="42"/>
      <c r="BJ218" s="42"/>
      <c r="BK218" s="42"/>
      <c r="BL218" s="42"/>
      <c r="BM218" s="42"/>
      <c r="BN218" s="42"/>
      <c r="BO218" s="42"/>
      <c r="BP218" s="42"/>
      <c r="BQ218" s="42"/>
      <c r="BR218" s="42"/>
      <c r="BS218" s="42"/>
      <c r="BT218" s="42"/>
      <c r="BU218" s="42"/>
      <c r="BV218" s="42"/>
      <c r="BW218" s="42"/>
      <c r="BX218" s="42"/>
      <c r="BY218" s="42"/>
      <c r="BZ218" s="42"/>
      <c r="CA218" s="42"/>
      <c r="CB218" s="42"/>
      <c r="CC218" s="42"/>
      <c r="CD218" s="42"/>
      <c r="CE218" s="42"/>
      <c r="CF218" s="42"/>
      <c r="CG218" s="42"/>
      <c r="CH218" s="42"/>
      <c r="CI218" s="42"/>
      <c r="CJ218" s="42"/>
      <c r="CK218" s="42"/>
      <c r="CL218" s="42"/>
      <c r="CM218" s="42"/>
      <c r="CN218" s="42"/>
      <c r="CO218" s="42"/>
      <c r="CP218" s="42"/>
      <c r="CQ218" s="42"/>
      <c r="CR218" s="42"/>
      <c r="CS218" s="42"/>
      <c r="CT218" s="42"/>
      <c r="CU218" s="42"/>
      <c r="CV218" s="42"/>
      <c r="CW218" s="42"/>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row>
    <row r="219" spans="1:131">
      <c r="A219" s="18" t="s">
        <v>475</v>
      </c>
      <c r="B219" s="18"/>
      <c r="C219" s="32">
        <v>24.700676711430738</v>
      </c>
      <c r="D219" s="32">
        <v>16.176643769731875</v>
      </c>
      <c r="E219" s="32">
        <v>3.2353287539463751</v>
      </c>
      <c r="F219" s="32">
        <v>19.411972523678251</v>
      </c>
      <c r="G219" s="32">
        <v>59.357453272526556</v>
      </c>
      <c r="H219" s="32">
        <v>18.917428496047027</v>
      </c>
      <c r="I219" s="32">
        <v>6884.3813995074843</v>
      </c>
      <c r="J219" s="32">
        <v>30.780500113517938</v>
      </c>
      <c r="K219" s="32">
        <v>158.76451573600036</v>
      </c>
      <c r="L219" s="245">
        <v>0.31870350651992863</v>
      </c>
      <c r="M219" s="32">
        <v>0.27928640198987775</v>
      </c>
      <c r="N219" s="32">
        <v>4.6433905419675766E-3</v>
      </c>
      <c r="O219" s="32">
        <v>1.5488592434636106</v>
      </c>
      <c r="P219" s="32">
        <v>1.3926757067556841</v>
      </c>
      <c r="Q219" s="32">
        <v>1.6026117157584336</v>
      </c>
      <c r="R219" s="32">
        <v>1.4909432718543059</v>
      </c>
      <c r="S219" s="32">
        <v>1.5221647780444427</v>
      </c>
      <c r="T219" s="32">
        <v>1.5067370817335703</v>
      </c>
      <c r="U219" s="32">
        <v>1.43142594790773</v>
      </c>
      <c r="V219" s="32">
        <v>1.4914914810008908</v>
      </c>
      <c r="W219" s="32">
        <v>1.39352980020093</v>
      </c>
      <c r="X219" s="32">
        <v>1.5888887703893186</v>
      </c>
      <c r="Y219" s="32">
        <v>1.4060801753599754</v>
      </c>
      <c r="Z219" s="32">
        <v>1.5308537405758809</v>
      </c>
      <c r="AA219" s="32"/>
      <c r="AB219" s="32">
        <v>0.65758318329078591</v>
      </c>
      <c r="AC219" s="32">
        <v>0.56497617068138839</v>
      </c>
      <c r="AD219" s="32">
        <v>0.54193109487905278</v>
      </c>
      <c r="AE219" s="32">
        <v>0.56586641284867811</v>
      </c>
      <c r="AF219" s="32">
        <v>0.55519082071441905</v>
      </c>
      <c r="AG219" s="32">
        <v>0.48716454901994061</v>
      </c>
      <c r="AH219" s="32">
        <v>0.5719931068914792</v>
      </c>
      <c r="AI219" s="32">
        <v>0.46909220471197721</v>
      </c>
      <c r="AJ219" s="32">
        <v>0.5775033869179772</v>
      </c>
      <c r="AK219" s="32">
        <v>0.51868812775569584</v>
      </c>
      <c r="AL219" s="32">
        <v>0.62231916837363044</v>
      </c>
      <c r="AM219" s="42">
        <v>0.66210677230093873</v>
      </c>
      <c r="AN219" s="42"/>
      <c r="AO219" s="42"/>
      <c r="AP219" s="42"/>
      <c r="AQ219" s="42"/>
      <c r="AR219" s="42"/>
      <c r="AS219" s="42"/>
      <c r="AT219" s="42"/>
      <c r="AU219" s="42"/>
      <c r="AV219" s="42"/>
      <c r="AW219" s="42"/>
      <c r="AX219" s="42"/>
      <c r="AY219" s="42"/>
      <c r="AZ219" s="42"/>
      <c r="BA219" s="42"/>
      <c r="BB219" s="42"/>
      <c r="BC219" s="42"/>
      <c r="BD219" s="42"/>
      <c r="BE219" s="42"/>
      <c r="BF219" s="42"/>
      <c r="BG219" s="42"/>
      <c r="BH219" s="42"/>
      <c r="BI219" s="42"/>
      <c r="BJ219" s="42"/>
      <c r="BK219" s="42"/>
      <c r="BL219" s="42"/>
      <c r="BM219" s="42"/>
      <c r="BN219" s="42"/>
      <c r="BO219" s="42"/>
      <c r="BP219" s="42"/>
      <c r="BQ219" s="42"/>
      <c r="BR219" s="42"/>
      <c r="BS219" s="42"/>
      <c r="BT219" s="42"/>
      <c r="BU219" s="42"/>
      <c r="BV219" s="42"/>
      <c r="BW219" s="42"/>
      <c r="BX219" s="42"/>
      <c r="BY219" s="42"/>
      <c r="BZ219" s="42"/>
      <c r="CA219" s="42"/>
      <c r="CB219" s="42"/>
      <c r="CC219" s="42"/>
      <c r="CD219" s="42"/>
      <c r="CE219" s="42"/>
      <c r="CF219" s="42"/>
      <c r="CG219" s="42"/>
      <c r="CH219" s="42"/>
      <c r="CI219" s="42"/>
      <c r="CJ219" s="42"/>
      <c r="CK219" s="42"/>
      <c r="CL219" s="42"/>
      <c r="CM219" s="42"/>
      <c r="CN219" s="42"/>
      <c r="CO219" s="42"/>
      <c r="CP219" s="42"/>
      <c r="CQ219" s="42"/>
      <c r="CR219" s="42"/>
      <c r="CS219" s="42"/>
      <c r="CT219" s="42"/>
      <c r="CU219" s="42"/>
      <c r="CV219" s="42"/>
      <c r="CW219" s="42"/>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row>
    <row r="220" spans="1:131">
      <c r="A220" s="18"/>
      <c r="B220" s="18"/>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c r="AY220" s="42"/>
      <c r="AZ220" s="42"/>
      <c r="BA220" s="42"/>
      <c r="BB220" s="42"/>
      <c r="BC220" s="42"/>
      <c r="BD220" s="42"/>
      <c r="BE220" s="42"/>
      <c r="BF220" s="42"/>
      <c r="BG220" s="42"/>
      <c r="BH220" s="42"/>
      <c r="BI220" s="42"/>
      <c r="BJ220" s="42"/>
      <c r="BK220" s="42"/>
      <c r="BL220" s="42"/>
      <c r="BM220" s="42"/>
      <c r="BN220" s="42"/>
      <c r="BO220" s="42"/>
      <c r="BP220" s="42"/>
      <c r="BQ220" s="42"/>
      <c r="BR220" s="42"/>
      <c r="BS220" s="42"/>
      <c r="BT220" s="42"/>
      <c r="BU220" s="42"/>
      <c r="BV220" s="42"/>
      <c r="BW220" s="42"/>
      <c r="BX220" s="42"/>
      <c r="BY220" s="42"/>
      <c r="BZ220" s="42"/>
      <c r="CA220" s="42"/>
      <c r="CB220" s="42"/>
      <c r="CC220" s="42"/>
      <c r="CD220" s="42"/>
      <c r="CE220" s="42"/>
      <c r="CF220" s="42"/>
      <c r="CG220" s="42"/>
      <c r="CH220" s="42"/>
      <c r="CI220" s="42"/>
      <c r="CJ220" s="42"/>
      <c r="CK220" s="42"/>
      <c r="CL220" s="42"/>
      <c r="CM220" s="42"/>
      <c r="CN220" s="42"/>
      <c r="CO220" s="42"/>
      <c r="CP220" s="42"/>
      <c r="CQ220" s="42"/>
      <c r="CR220" s="42"/>
      <c r="CS220" s="42"/>
      <c r="CT220" s="42"/>
      <c r="CU220" s="42"/>
      <c r="CV220" s="42"/>
      <c r="CW220" s="42"/>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codeName="Sheet13"/>
  <dimension ref="A1:EA22"/>
  <sheetViews>
    <sheetView workbookViewId="0">
      <selection sqref="A1:EA22"/>
    </sheetView>
  </sheetViews>
  <sheetFormatPr defaultRowHeight="12.75"/>
  <cols>
    <col min="1" max="1" width="47.7109375" customWidth="1"/>
    <col min="14" max="14" width="16.7109375" bestFit="1" customWidth="1"/>
  </cols>
  <sheetData>
    <row r="1" spans="1:131" ht="13.5" thickBot="1">
      <c r="A1" s="222" t="s">
        <v>781</v>
      </c>
      <c r="B1" s="224"/>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245"/>
      <c r="AT1" s="42"/>
      <c r="AU1" s="42"/>
      <c r="AV1" s="42"/>
      <c r="AW1" s="42"/>
      <c r="AX1" s="42"/>
      <c r="AY1" s="42"/>
      <c r="AZ1" s="245"/>
      <c r="BA1" s="42"/>
      <c r="BB1" s="42"/>
      <c r="BC1" s="42"/>
      <c r="BD1" s="42"/>
      <c r="BE1" s="42"/>
      <c r="BF1" s="42"/>
      <c r="BG1" s="42"/>
      <c r="BH1" s="245"/>
      <c r="BI1" s="42"/>
      <c r="BJ1" s="42"/>
      <c r="BK1" s="42"/>
      <c r="BL1" s="42"/>
      <c r="BM1" s="42"/>
      <c r="BN1" s="42"/>
      <c r="BO1" s="42"/>
      <c r="BP1" s="42"/>
      <c r="BQ1" s="42"/>
      <c r="BR1" s="42"/>
      <c r="BS1" s="42"/>
      <c r="BT1" s="42"/>
      <c r="BU1" s="42"/>
      <c r="BV1" s="42"/>
      <c r="BW1" s="42"/>
      <c r="BX1" s="42"/>
      <c r="BY1" s="42"/>
      <c r="BZ1" s="42"/>
      <c r="CA1" s="42"/>
      <c r="CB1" s="42"/>
      <c r="CC1" s="42"/>
      <c r="CD1" s="245"/>
      <c r="CE1" s="42"/>
      <c r="CF1" s="42"/>
      <c r="CG1" s="42"/>
      <c r="CH1" s="42"/>
      <c r="CI1" s="42"/>
      <c r="CJ1" s="42"/>
      <c r="CK1" s="42"/>
      <c r="CL1" s="42"/>
      <c r="CM1" s="42"/>
      <c r="CN1" s="42"/>
      <c r="CO1" s="42"/>
      <c r="CP1" s="42"/>
      <c r="CQ1" s="42"/>
      <c r="CR1" s="42"/>
      <c r="CS1" s="42"/>
      <c r="CT1" s="42"/>
      <c r="CU1" s="42"/>
      <c r="CV1" s="42"/>
      <c r="CW1" s="245"/>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row>
    <row r="2" spans="1:131" ht="13.5" thickBot="1">
      <c r="A2" s="256"/>
      <c r="B2" s="257"/>
      <c r="C2" s="258"/>
      <c r="D2" s="258"/>
      <c r="E2" s="258"/>
      <c r="F2" s="258"/>
      <c r="G2" s="258"/>
      <c r="H2" s="258"/>
      <c r="I2" s="258"/>
      <c r="J2" s="258"/>
      <c r="K2" s="258"/>
      <c r="L2" s="258"/>
      <c r="M2" s="258"/>
      <c r="N2" s="258"/>
      <c r="O2" s="259" t="s">
        <v>786</v>
      </c>
      <c r="P2" s="260"/>
      <c r="Q2" s="260"/>
      <c r="R2" s="260"/>
      <c r="S2" s="260"/>
      <c r="T2" s="260"/>
      <c r="U2" s="260"/>
      <c r="V2" s="260"/>
      <c r="W2" s="260"/>
      <c r="X2" s="260"/>
      <c r="Y2" s="260"/>
      <c r="Z2" s="249"/>
      <c r="AA2" s="258"/>
      <c r="AB2" s="259" t="s">
        <v>787</v>
      </c>
      <c r="AC2" s="260"/>
      <c r="AD2" s="260"/>
      <c r="AE2" s="260"/>
      <c r="AF2" s="260"/>
      <c r="AG2" s="260"/>
      <c r="AH2" s="260"/>
      <c r="AI2" s="260"/>
      <c r="AJ2" s="260"/>
      <c r="AK2" s="260"/>
      <c r="AL2" s="260"/>
      <c r="AM2" s="249"/>
      <c r="AN2" s="42"/>
      <c r="AO2" s="42"/>
      <c r="AP2" s="42"/>
      <c r="AQ2" s="42"/>
      <c r="AR2" s="42"/>
      <c r="AS2" s="245"/>
      <c r="AT2" s="42"/>
      <c r="AU2" s="42"/>
      <c r="AV2" s="42"/>
      <c r="AW2" s="42"/>
      <c r="AX2" s="42"/>
      <c r="AY2" s="42"/>
      <c r="AZ2" s="245"/>
      <c r="BA2" s="42"/>
      <c r="BB2" s="42"/>
      <c r="BC2" s="42"/>
      <c r="BD2" s="42"/>
      <c r="BE2" s="42"/>
      <c r="BF2" s="42"/>
      <c r="BG2" s="42"/>
      <c r="BH2" s="245"/>
      <c r="BI2" s="42"/>
      <c r="BJ2" s="42"/>
      <c r="BK2" s="42"/>
      <c r="BL2" s="42"/>
      <c r="BM2" s="42"/>
      <c r="BN2" s="42"/>
      <c r="BO2" s="42"/>
      <c r="BP2" s="42"/>
      <c r="BQ2" s="42"/>
      <c r="BR2" s="42"/>
      <c r="BS2" s="42"/>
      <c r="BT2" s="42"/>
      <c r="BU2" s="42"/>
      <c r="BV2" s="42"/>
      <c r="BW2" s="42"/>
      <c r="BX2" s="42"/>
      <c r="BY2" s="42"/>
      <c r="BZ2" s="42"/>
      <c r="CA2" s="42"/>
      <c r="CB2" s="42"/>
      <c r="CC2" s="42"/>
      <c r="CD2" s="245"/>
      <c r="CE2" s="42"/>
      <c r="CF2" s="42"/>
      <c r="CG2" s="42"/>
      <c r="CH2" s="42"/>
      <c r="CI2" s="42"/>
      <c r="CJ2" s="42"/>
      <c r="CK2" s="42"/>
      <c r="CL2" s="42"/>
      <c r="CM2" s="42"/>
      <c r="CN2" s="42"/>
      <c r="CO2" s="42"/>
      <c r="CP2" s="42"/>
      <c r="CQ2" s="42"/>
      <c r="CR2" s="42"/>
      <c r="CS2" s="42"/>
      <c r="CT2" s="42"/>
      <c r="CU2" s="42"/>
      <c r="CV2" s="42"/>
      <c r="CW2" s="245"/>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row>
    <row r="3" spans="1:131" ht="204">
      <c r="A3" s="240" t="s">
        <v>671</v>
      </c>
      <c r="B3" s="241" t="s">
        <v>672</v>
      </c>
      <c r="C3" s="242" t="s">
        <v>782</v>
      </c>
      <c r="D3" s="242" t="s">
        <v>758</v>
      </c>
      <c r="E3" s="242" t="s">
        <v>759</v>
      </c>
      <c r="F3" s="242" t="s">
        <v>760</v>
      </c>
      <c r="G3" s="242" t="s">
        <v>761</v>
      </c>
      <c r="H3" s="242" t="s">
        <v>762</v>
      </c>
      <c r="I3" s="242" t="s">
        <v>763</v>
      </c>
      <c r="J3" s="242" t="s">
        <v>764</v>
      </c>
      <c r="K3" s="242" t="s">
        <v>734</v>
      </c>
      <c r="L3" s="242" t="s">
        <v>733</v>
      </c>
      <c r="M3" s="242" t="s">
        <v>765</v>
      </c>
      <c r="N3" s="242" t="s">
        <v>783</v>
      </c>
      <c r="O3" s="242" t="s">
        <v>766</v>
      </c>
      <c r="P3" s="242" t="s">
        <v>767</v>
      </c>
      <c r="Q3" s="242" t="s">
        <v>768</v>
      </c>
      <c r="R3" s="242" t="s">
        <v>769</v>
      </c>
      <c r="S3" s="242" t="s">
        <v>770</v>
      </c>
      <c r="T3" s="242" t="s">
        <v>771</v>
      </c>
      <c r="U3" s="242" t="s">
        <v>772</v>
      </c>
      <c r="V3" s="242" t="s">
        <v>773</v>
      </c>
      <c r="W3" s="242" t="s">
        <v>774</v>
      </c>
      <c r="X3" s="242" t="s">
        <v>775</v>
      </c>
      <c r="Y3" s="242" t="s">
        <v>776</v>
      </c>
      <c r="Z3" s="242" t="s">
        <v>777</v>
      </c>
      <c r="AA3" s="242"/>
      <c r="AB3" s="242" t="s">
        <v>766</v>
      </c>
      <c r="AC3" s="242" t="s">
        <v>767</v>
      </c>
      <c r="AD3" s="242" t="s">
        <v>768</v>
      </c>
      <c r="AE3" s="242" t="s">
        <v>769</v>
      </c>
      <c r="AF3" s="242" t="s">
        <v>770</v>
      </c>
      <c r="AG3" s="242" t="s">
        <v>771</v>
      </c>
      <c r="AH3" s="242" t="s">
        <v>772</v>
      </c>
      <c r="AI3" s="242" t="s">
        <v>773</v>
      </c>
      <c r="AJ3" s="242" t="s">
        <v>774</v>
      </c>
      <c r="AK3" s="242" t="s">
        <v>775</v>
      </c>
      <c r="AL3" s="242" t="s">
        <v>776</v>
      </c>
      <c r="AM3" s="242" t="s">
        <v>777</v>
      </c>
      <c r="AN3" s="42"/>
      <c r="AO3" s="42"/>
      <c r="AP3" s="42"/>
      <c r="AQ3" s="42"/>
      <c r="AR3" s="42"/>
      <c r="AS3" s="245"/>
      <c r="AT3" s="42"/>
      <c r="AU3" s="42"/>
      <c r="AV3" s="42"/>
      <c r="AW3" s="42"/>
      <c r="AX3" s="42"/>
      <c r="AY3" s="42"/>
      <c r="AZ3" s="245"/>
      <c r="BA3" s="42"/>
      <c r="BB3" s="42"/>
      <c r="BC3" s="42"/>
      <c r="BD3" s="42"/>
      <c r="BE3" s="42"/>
      <c r="BF3" s="42"/>
      <c r="BG3" s="42"/>
      <c r="BH3" s="245"/>
      <c r="BI3" s="42"/>
      <c r="BJ3" s="42"/>
      <c r="BK3" s="42"/>
      <c r="BL3" s="42"/>
      <c r="BM3" s="42"/>
      <c r="BN3" s="42"/>
      <c r="BO3" s="42"/>
      <c r="BP3" s="42"/>
      <c r="BQ3" s="42"/>
      <c r="BR3" s="42"/>
      <c r="BS3" s="42"/>
      <c r="BT3" s="42"/>
      <c r="BU3" s="42"/>
      <c r="BV3" s="42"/>
      <c r="BW3" s="42"/>
      <c r="BX3" s="42"/>
      <c r="BY3" s="42"/>
      <c r="BZ3" s="42"/>
      <c r="CA3" s="42"/>
      <c r="CB3" s="42"/>
      <c r="CC3" s="42"/>
      <c r="CD3" s="245"/>
      <c r="CE3" s="42"/>
      <c r="CF3" s="42"/>
      <c r="CG3" s="42"/>
      <c r="CH3" s="42"/>
      <c r="CI3" s="42"/>
      <c r="CJ3" s="42"/>
      <c r="CK3" s="42"/>
      <c r="CL3" s="42"/>
      <c r="CM3" s="42"/>
      <c r="CN3" s="42"/>
      <c r="CO3" s="42"/>
      <c r="CP3" s="42"/>
      <c r="CQ3" s="42"/>
      <c r="CR3" s="42"/>
      <c r="CS3" s="42"/>
      <c r="CT3" s="42"/>
      <c r="CU3" s="42"/>
      <c r="CV3" s="42"/>
      <c r="CW3" s="245"/>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row>
    <row r="4" spans="1:131">
      <c r="A4" s="18" t="s">
        <v>518</v>
      </c>
      <c r="B4" s="18"/>
      <c r="C4" s="32">
        <v>0</v>
      </c>
      <c r="D4" s="32">
        <v>0</v>
      </c>
      <c r="E4" s="32">
        <v>0</v>
      </c>
      <c r="F4" s="32">
        <v>0</v>
      </c>
      <c r="G4" s="32">
        <v>0</v>
      </c>
      <c r="H4" s="32">
        <v>0</v>
      </c>
      <c r="I4" s="32">
        <v>0</v>
      </c>
      <c r="J4" s="32">
        <v>9999</v>
      </c>
      <c r="K4" s="32">
        <v>9999</v>
      </c>
      <c r="L4" s="244">
        <v>9999</v>
      </c>
      <c r="M4" s="32">
        <v>0</v>
      </c>
      <c r="N4" s="32">
        <v>0</v>
      </c>
      <c r="O4" s="32">
        <v>0</v>
      </c>
      <c r="P4" s="32">
        <v>0</v>
      </c>
      <c r="Q4" s="32">
        <v>0</v>
      </c>
      <c r="R4" s="32">
        <v>0</v>
      </c>
      <c r="S4" s="32">
        <v>0</v>
      </c>
      <c r="T4" s="32">
        <v>0</v>
      </c>
      <c r="U4" s="32">
        <v>0</v>
      </c>
      <c r="V4" s="32">
        <v>0</v>
      </c>
      <c r="W4" s="32">
        <v>0</v>
      </c>
      <c r="X4" s="32">
        <v>0</v>
      </c>
      <c r="Y4" s="32">
        <v>0</v>
      </c>
      <c r="Z4" s="32">
        <v>0</v>
      </c>
      <c r="AA4" s="32"/>
      <c r="AB4" s="32">
        <v>0</v>
      </c>
      <c r="AC4" s="32">
        <v>0</v>
      </c>
      <c r="AD4" s="32">
        <v>0</v>
      </c>
      <c r="AE4" s="32">
        <v>0</v>
      </c>
      <c r="AF4" s="32">
        <v>0</v>
      </c>
      <c r="AG4" s="32">
        <v>0</v>
      </c>
      <c r="AH4" s="32">
        <v>0</v>
      </c>
      <c r="AI4" s="32">
        <v>0</v>
      </c>
      <c r="AJ4" s="32">
        <v>0</v>
      </c>
      <c r="AK4" s="32">
        <v>0</v>
      </c>
      <c r="AL4" s="32">
        <v>0</v>
      </c>
      <c r="AM4" s="42">
        <v>0</v>
      </c>
      <c r="AN4" s="42"/>
      <c r="AO4" s="42"/>
      <c r="AP4" s="42"/>
      <c r="AQ4" s="42"/>
      <c r="AR4" s="42"/>
      <c r="AS4" s="245"/>
      <c r="AT4" s="42"/>
      <c r="AU4" s="42"/>
      <c r="AV4" s="42"/>
      <c r="AW4" s="42"/>
      <c r="AX4" s="42"/>
      <c r="AY4" s="42"/>
      <c r="AZ4" s="245"/>
      <c r="BA4" s="42"/>
      <c r="BB4" s="42"/>
      <c r="BC4" s="42"/>
      <c r="BD4" s="42"/>
      <c r="BE4" s="42"/>
      <c r="BF4" s="42"/>
      <c r="BG4" s="42"/>
      <c r="BH4" s="245"/>
      <c r="BI4" s="42"/>
      <c r="BJ4" s="42"/>
      <c r="BK4" s="42"/>
      <c r="BL4" s="42"/>
      <c r="BM4" s="42"/>
      <c r="BN4" s="42"/>
      <c r="BO4" s="42"/>
      <c r="BP4" s="42"/>
      <c r="BQ4" s="42"/>
      <c r="BR4" s="42"/>
      <c r="BS4" s="42"/>
      <c r="BT4" s="42"/>
      <c r="BU4" s="42"/>
      <c r="BV4" s="42"/>
      <c r="BW4" s="42"/>
      <c r="BX4" s="42"/>
      <c r="BY4" s="42"/>
      <c r="BZ4" s="42"/>
      <c r="CA4" s="42"/>
      <c r="CB4" s="42"/>
      <c r="CC4" s="42"/>
      <c r="CD4" s="245"/>
      <c r="CE4" s="42"/>
      <c r="CF4" s="42"/>
      <c r="CG4" s="42"/>
      <c r="CH4" s="42"/>
      <c r="CI4" s="42"/>
      <c r="CJ4" s="42"/>
      <c r="CK4" s="42"/>
      <c r="CL4" s="42"/>
      <c r="CM4" s="42"/>
      <c r="CN4" s="42"/>
      <c r="CO4" s="42"/>
      <c r="CP4" s="42"/>
      <c r="CQ4" s="42"/>
      <c r="CR4" s="42"/>
      <c r="CS4" s="42"/>
      <c r="CT4" s="42"/>
      <c r="CU4" s="42"/>
      <c r="CV4" s="42"/>
      <c r="CW4" s="245"/>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row>
    <row r="5" spans="1:131">
      <c r="A5" s="18" t="s">
        <v>521</v>
      </c>
      <c r="B5" s="18"/>
      <c r="C5" s="32">
        <v>1557.8748791164633</v>
      </c>
      <c r="D5" s="32">
        <v>237.9664622054969</v>
      </c>
      <c r="E5" s="32">
        <v>47.593292441099379</v>
      </c>
      <c r="F5" s="32">
        <v>285.55975464659628</v>
      </c>
      <c r="G5" s="32">
        <v>653.81493555520535</v>
      </c>
      <c r="H5" s="32">
        <v>1342.7046607433322</v>
      </c>
      <c r="I5" s="32">
        <v>1605.7152498170403</v>
      </c>
      <c r="J5" s="32">
        <v>-1.0044971840253172</v>
      </c>
      <c r="K5" s="32">
        <v>5.758515397976617</v>
      </c>
      <c r="L5" s="244">
        <v>2.0536463572878412</v>
      </c>
      <c r="M5" s="32">
        <v>20.307551776520537</v>
      </c>
      <c r="N5" s="32">
        <v>0.29285924283647941</v>
      </c>
      <c r="O5" s="32">
        <v>97.686753074366464</v>
      </c>
      <c r="P5" s="32">
        <v>87.83623718723517</v>
      </c>
      <c r="Q5" s="32">
        <v>101.07692846335719</v>
      </c>
      <c r="R5" s="32">
        <v>94.033985244406381</v>
      </c>
      <c r="S5" s="32">
        <v>96.003129683242136</v>
      </c>
      <c r="T5" s="32">
        <v>95.030102878910768</v>
      </c>
      <c r="U5" s="32">
        <v>90.280219915147271</v>
      </c>
      <c r="V5" s="32">
        <v>94.068560866278787</v>
      </c>
      <c r="W5" s="32">
        <v>87.890104971438447</v>
      </c>
      <c r="X5" s="32">
        <v>100.21142052170072</v>
      </c>
      <c r="Y5" s="32">
        <v>88.681658758089</v>
      </c>
      <c r="Z5" s="32">
        <v>96.551143675387053</v>
      </c>
      <c r="AA5" s="32"/>
      <c r="AB5" s="32">
        <v>41.473856532200806</v>
      </c>
      <c r="AC5" s="32">
        <v>35.633120253609789</v>
      </c>
      <c r="AD5" s="32">
        <v>34.179664338242929</v>
      </c>
      <c r="AE5" s="32">
        <v>35.689267942393919</v>
      </c>
      <c r="AF5" s="32">
        <v>35.015956963915379</v>
      </c>
      <c r="AG5" s="32">
        <v>30.725531198222225</v>
      </c>
      <c r="AH5" s="32">
        <v>36.075679329127112</v>
      </c>
      <c r="AI5" s="32">
        <v>29.585706102212182</v>
      </c>
      <c r="AJ5" s="32">
        <v>36.423213404021745</v>
      </c>
      <c r="AK5" s="32">
        <v>32.713727391630819</v>
      </c>
      <c r="AL5" s="32">
        <v>39.249750544416209</v>
      </c>
      <c r="AM5" s="42">
        <v>41.759159876910509</v>
      </c>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row>
    <row r="6" spans="1:131">
      <c r="A6" s="18" t="s">
        <v>522</v>
      </c>
      <c r="B6" s="18"/>
      <c r="C6" s="32">
        <v>117.9786521379376</v>
      </c>
      <c r="D6" s="32">
        <v>21.255916464149202</v>
      </c>
      <c r="E6" s="32">
        <v>4.2511832928298405</v>
      </c>
      <c r="F6" s="32">
        <v>25.507099756979041</v>
      </c>
      <c r="G6" s="32">
        <v>58.400816335090759</v>
      </c>
      <c r="H6" s="32">
        <v>114.82258617070289</v>
      </c>
      <c r="I6" s="32">
        <v>1893.9205510662518</v>
      </c>
      <c r="J6" s="32">
        <v>0.73090423397893201</v>
      </c>
      <c r="K6" s="32">
        <v>3.1067213756039616</v>
      </c>
      <c r="L6" s="244">
        <v>1.9661126911630258</v>
      </c>
      <c r="M6" s="32">
        <v>1.7744434296643055</v>
      </c>
      <c r="N6" s="32">
        <v>2.217837850725227E-2</v>
      </c>
      <c r="O6" s="32">
        <v>7.3978671932765074</v>
      </c>
      <c r="P6" s="32">
        <v>6.6518826454762392</v>
      </c>
      <c r="Q6" s="32">
        <v>7.6546068892982913</v>
      </c>
      <c r="R6" s="32">
        <v>7.1212412389534494</v>
      </c>
      <c r="S6" s="32">
        <v>7.2703655427553802</v>
      </c>
      <c r="T6" s="32">
        <v>7.1966777309753942</v>
      </c>
      <c r="U6" s="32">
        <v>6.8369666929518607</v>
      </c>
      <c r="V6" s="32">
        <v>7.123859668276638</v>
      </c>
      <c r="W6" s="32">
        <v>6.6559620800053887</v>
      </c>
      <c r="X6" s="32">
        <v>7.5890615353419948</v>
      </c>
      <c r="Y6" s="32">
        <v>6.7159068484175188</v>
      </c>
      <c r="Z6" s="32">
        <v>7.311866919414495</v>
      </c>
      <c r="AA6" s="32"/>
      <c r="AB6" s="32">
        <v>3.1408361211949796</v>
      </c>
      <c r="AC6" s="32">
        <v>2.6985142101875113</v>
      </c>
      <c r="AD6" s="32">
        <v>2.5884432589605777</v>
      </c>
      <c r="AE6" s="32">
        <v>2.7027663030431133</v>
      </c>
      <c r="AF6" s="32">
        <v>2.651776122268374</v>
      </c>
      <c r="AG6" s="32">
        <v>2.3268600101211434</v>
      </c>
      <c r="AH6" s="32">
        <v>2.7320294327004753</v>
      </c>
      <c r="AI6" s="32">
        <v>2.2405404793918677</v>
      </c>
      <c r="AJ6" s="32">
        <v>2.7583483638789073</v>
      </c>
      <c r="AK6" s="32">
        <v>2.4774271129279852</v>
      </c>
      <c r="AL6" s="32">
        <v>2.9724034504020849</v>
      </c>
      <c r="AM6" s="42">
        <v>3.1624422877174068</v>
      </c>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row>
    <row r="7" spans="1:131">
      <c r="A7" s="18" t="s">
        <v>517</v>
      </c>
      <c r="B7" s="18"/>
      <c r="C7" s="32">
        <v>107.74372927182733</v>
      </c>
      <c r="D7" s="32">
        <v>23.907307322581289</v>
      </c>
      <c r="E7" s="32">
        <v>4.7814614645162576</v>
      </c>
      <c r="F7" s="32">
        <v>28.688768787097548</v>
      </c>
      <c r="G7" s="32">
        <v>65.68553590091112</v>
      </c>
      <c r="H7" s="32">
        <v>102.24052140463456</v>
      </c>
      <c r="I7" s="32">
        <v>2332.5126786815945</v>
      </c>
      <c r="J7" s="32">
        <v>3.3718459407763754</v>
      </c>
      <c r="K7" s="32">
        <v>13.331638507516843</v>
      </c>
      <c r="L7" s="244">
        <v>1.5565149922635615</v>
      </c>
      <c r="M7" s="32">
        <v>1.5733209945348368</v>
      </c>
      <c r="N7" s="32">
        <v>2.0254352514382571E-2</v>
      </c>
      <c r="O7" s="32">
        <v>6.7560849833188383</v>
      </c>
      <c r="P7" s="32">
        <v>6.0748163325701761</v>
      </c>
      <c r="Q7" s="32">
        <v>6.9905519127185789</v>
      </c>
      <c r="R7" s="32">
        <v>6.5034569748440729</v>
      </c>
      <c r="S7" s="32">
        <v>6.6396443979543101</v>
      </c>
      <c r="T7" s="32">
        <v>6.572349175478184</v>
      </c>
      <c r="U7" s="32">
        <v>6.2438439078338099</v>
      </c>
      <c r="V7" s="32">
        <v>6.5058482493246892</v>
      </c>
      <c r="W7" s="32">
        <v>6.0785418666521966</v>
      </c>
      <c r="X7" s="32">
        <v>6.9306927708847121</v>
      </c>
      <c r="Y7" s="32">
        <v>6.1332862867826083</v>
      </c>
      <c r="Z7" s="32">
        <v>6.6775454335242017</v>
      </c>
      <c r="AA7" s="32"/>
      <c r="AB7" s="32">
        <v>2.8683612721185638</v>
      </c>
      <c r="AC7" s="32">
        <v>2.4644118171369445</v>
      </c>
      <c r="AD7" s="32">
        <v>2.3638897773036573</v>
      </c>
      <c r="AE7" s="32">
        <v>2.4682950310334464</v>
      </c>
      <c r="AF7" s="32">
        <v>2.4217283672060637</v>
      </c>
      <c r="AG7" s="32">
        <v>2.1249994845746887</v>
      </c>
      <c r="AH7" s="32">
        <v>2.4950195160340294</v>
      </c>
      <c r="AI7" s="32">
        <v>2.0461683741896297</v>
      </c>
      <c r="AJ7" s="32">
        <v>2.5190552186312862</v>
      </c>
      <c r="AK7" s="32">
        <v>2.2625045405156281</v>
      </c>
      <c r="AL7" s="32">
        <v>2.7145405278264287</v>
      </c>
      <c r="AM7" s="42">
        <v>2.8880930533705875</v>
      </c>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row>
    <row r="8" spans="1:131">
      <c r="A8" s="18" t="s">
        <v>520</v>
      </c>
      <c r="B8" s="18"/>
      <c r="C8" s="32">
        <v>104.98486468699653</v>
      </c>
      <c r="D8" s="32">
        <v>19.913031082870759</v>
      </c>
      <c r="E8" s="32">
        <v>3.982606216574152</v>
      </c>
      <c r="F8" s="32">
        <v>23.89563729944491</v>
      </c>
      <c r="G8" s="32">
        <v>54.711227008589809</v>
      </c>
      <c r="H8" s="32">
        <v>82.202027039214343</v>
      </c>
      <c r="I8" s="32">
        <v>1993.8662907955779</v>
      </c>
      <c r="J8" s="32">
        <v>1.3327182106752822</v>
      </c>
      <c r="K8" s="32">
        <v>19.028504099811833</v>
      </c>
      <c r="L8" s="244">
        <v>1.5024709101535669</v>
      </c>
      <c r="M8" s="32">
        <v>1.2194088882076679</v>
      </c>
      <c r="N8" s="32">
        <v>1.9735723576826202E-2</v>
      </c>
      <c r="O8" s="32">
        <v>6.5830900097964271</v>
      </c>
      <c r="P8" s="32">
        <v>5.9192657891413623</v>
      </c>
      <c r="Q8" s="32">
        <v>6.8115532254561026</v>
      </c>
      <c r="R8" s="32">
        <v>6.3369307440543263</v>
      </c>
      <c r="S8" s="32">
        <v>6.46963097899076</v>
      </c>
      <c r="T8" s="32">
        <v>6.4040589046483802</v>
      </c>
      <c r="U8" s="32">
        <v>6.0839652778016626</v>
      </c>
      <c r="V8" s="32">
        <v>6.339260788034367</v>
      </c>
      <c r="W8" s="32">
        <v>5.9228959279358069</v>
      </c>
      <c r="X8" s="32">
        <v>6.7532268249483431</v>
      </c>
      <c r="Y8" s="32">
        <v>5.9762385732906873</v>
      </c>
      <c r="Z8" s="32">
        <v>6.5065615281530542</v>
      </c>
      <c r="AA8" s="32"/>
      <c r="AB8" s="32">
        <v>2.7949145816834906</v>
      </c>
      <c r="AC8" s="32">
        <v>2.4013085764129811</v>
      </c>
      <c r="AD8" s="32">
        <v>2.3033604840155704</v>
      </c>
      <c r="AE8" s="32">
        <v>2.405092357503817</v>
      </c>
      <c r="AF8" s="32">
        <v>2.3597180704443015</v>
      </c>
      <c r="AG8" s="32">
        <v>2.0705871687916875</v>
      </c>
      <c r="AH8" s="32">
        <v>2.4311325406363071</v>
      </c>
      <c r="AI8" s="32">
        <v>1.9937745922006049</v>
      </c>
      <c r="AJ8" s="32">
        <v>2.4545527897949726</v>
      </c>
      <c r="AK8" s="32">
        <v>2.2045712975136187</v>
      </c>
      <c r="AL8" s="32">
        <v>2.6450325408937121</v>
      </c>
      <c r="AM8" s="42">
        <v>2.8141411148541673</v>
      </c>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row>
    <row r="9" spans="1:131">
      <c r="A9" s="18" t="s">
        <v>513</v>
      </c>
      <c r="B9" s="18"/>
      <c r="C9" s="32">
        <v>134.89158457975824</v>
      </c>
      <c r="D9" s="32">
        <v>25.463820854268903</v>
      </c>
      <c r="E9" s="32">
        <v>5.0927641708537807</v>
      </c>
      <c r="F9" s="32">
        <v>30.556585025122683</v>
      </c>
      <c r="G9" s="32">
        <v>69.962070438506274</v>
      </c>
      <c r="H9" s="32">
        <v>102.49541342796094</v>
      </c>
      <c r="I9" s="32">
        <v>1984.3764579828501</v>
      </c>
      <c r="J9" s="32">
        <v>1.2755760649602301</v>
      </c>
      <c r="K9" s="32">
        <v>20.549694597948474</v>
      </c>
      <c r="L9" s="244">
        <v>1.4650140109568386</v>
      </c>
      <c r="M9" s="32">
        <v>1.5105495259311676</v>
      </c>
      <c r="N9" s="32">
        <v>2.5357779276500982E-2</v>
      </c>
      <c r="O9" s="32">
        <v>8.4583948886358353</v>
      </c>
      <c r="P9" s="32">
        <v>7.6054690762003627</v>
      </c>
      <c r="Q9" s="32">
        <v>8.7519397274123705</v>
      </c>
      <c r="R9" s="32">
        <v>8.1421129796774441</v>
      </c>
      <c r="S9" s="32">
        <v>8.3126151279447154</v>
      </c>
      <c r="T9" s="32">
        <v>8.2283637357216914</v>
      </c>
      <c r="U9" s="32">
        <v>7.817086008518185</v>
      </c>
      <c r="V9" s="32">
        <v>8.1451067762170233</v>
      </c>
      <c r="W9" s="32">
        <v>7.610133321619803</v>
      </c>
      <c r="X9" s="32">
        <v>8.6769980621467884</v>
      </c>
      <c r="Y9" s="32">
        <v>7.6786715245221817</v>
      </c>
      <c r="Z9" s="32">
        <v>8.3600659706043192</v>
      </c>
      <c r="AA9" s="32"/>
      <c r="AB9" s="32">
        <v>3.5910934191550652</v>
      </c>
      <c r="AC9" s="32">
        <v>3.0853620653133147</v>
      </c>
      <c r="AD9" s="32">
        <v>2.9595117969966114</v>
      </c>
      <c r="AE9" s="32">
        <v>3.0902237206439902</v>
      </c>
      <c r="AF9" s="32">
        <v>3.0319237980896019</v>
      </c>
      <c r="AG9" s="32">
        <v>2.6604290536693038</v>
      </c>
      <c r="AH9" s="32">
        <v>3.1236818917428555</v>
      </c>
      <c r="AI9" s="32">
        <v>2.5617351114242313</v>
      </c>
      <c r="AJ9" s="32">
        <v>3.1537737962253156</v>
      </c>
      <c r="AK9" s="32">
        <v>2.8325808346495784</v>
      </c>
      <c r="AL9" s="32">
        <v>3.3985149361284028</v>
      </c>
      <c r="AM9" s="42">
        <v>3.6157969564992349</v>
      </c>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row>
    <row r="10" spans="1:131">
      <c r="A10" s="18" t="s">
        <v>524</v>
      </c>
      <c r="B10" s="18"/>
      <c r="C10" s="32">
        <v>183.02175929235841</v>
      </c>
      <c r="D10" s="32">
        <v>50.322059921932102</v>
      </c>
      <c r="E10" s="32">
        <v>10.064411984386421</v>
      </c>
      <c r="F10" s="32">
        <v>60.386471906318519</v>
      </c>
      <c r="G10" s="32">
        <v>138.26029962344509</v>
      </c>
      <c r="H10" s="32">
        <v>200.66994622948309</v>
      </c>
      <c r="I10" s="32">
        <v>2890.2874496706722</v>
      </c>
      <c r="J10" s="32">
        <v>6.7304348505079368</v>
      </c>
      <c r="K10" s="32">
        <v>13.205179162635952</v>
      </c>
      <c r="L10" s="244">
        <v>1.45139238650583</v>
      </c>
      <c r="M10" s="32">
        <v>3.1585851564247429</v>
      </c>
      <c r="N10" s="32">
        <v>3.4405596089564706E-2</v>
      </c>
      <c r="O10" s="32">
        <v>11.476403944178481</v>
      </c>
      <c r="P10" s="32">
        <v>10.31914878089953</v>
      </c>
      <c r="Q10" s="32">
        <v>11.874687447122335</v>
      </c>
      <c r="R10" s="32">
        <v>11.047270639901196</v>
      </c>
      <c r="S10" s="32">
        <v>11.278609038335913</v>
      </c>
      <c r="T10" s="32">
        <v>11.164296213888582</v>
      </c>
      <c r="U10" s="32">
        <v>10.606271979648518</v>
      </c>
      <c r="V10" s="32">
        <v>11.051332642073863</v>
      </c>
      <c r="W10" s="32">
        <v>10.325477258729316</v>
      </c>
      <c r="X10" s="32">
        <v>11.773006119380973</v>
      </c>
      <c r="Y10" s="32">
        <v>10.418470328037598</v>
      </c>
      <c r="Z10" s="32">
        <v>11.34299064324123</v>
      </c>
      <c r="AA10" s="32"/>
      <c r="AB10" s="32">
        <v>4.8724183751311427</v>
      </c>
      <c r="AC10" s="32">
        <v>4.1862388599465241</v>
      </c>
      <c r="AD10" s="32">
        <v>4.0154844160240479</v>
      </c>
      <c r="AE10" s="32">
        <v>4.1928351847985557</v>
      </c>
      <c r="AF10" s="32">
        <v>4.1137334793381717</v>
      </c>
      <c r="AG10" s="32">
        <v>3.609687048988278</v>
      </c>
      <c r="AH10" s="32">
        <v>4.23823144399661</v>
      </c>
      <c r="AI10" s="32">
        <v>3.4757784808780761</v>
      </c>
      <c r="AJ10" s="32">
        <v>4.2790603312544437</v>
      </c>
      <c r="AK10" s="32">
        <v>3.8432636795726194</v>
      </c>
      <c r="AL10" s="32">
        <v>4.6111266653836518</v>
      </c>
      <c r="AM10" s="42">
        <v>4.9059362916087341</v>
      </c>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row>
    <row r="11" spans="1:131">
      <c r="A11" s="18" t="s">
        <v>523</v>
      </c>
      <c r="B11" s="18"/>
      <c r="C11" s="32">
        <v>153.83615008744098</v>
      </c>
      <c r="D11" s="32">
        <v>42.297440439819695</v>
      </c>
      <c r="E11" s="32">
        <v>8.4594880879639387</v>
      </c>
      <c r="F11" s="32">
        <v>50.756928527783636</v>
      </c>
      <c r="G11" s="32">
        <v>116.2125874335583</v>
      </c>
      <c r="H11" s="32">
        <v>166.59906530859172</v>
      </c>
      <c r="I11" s="32">
        <v>2890.2874496706727</v>
      </c>
      <c r="J11" s="32">
        <v>6.7304348505079359</v>
      </c>
      <c r="K11" s="32">
        <v>14.195763976224121</v>
      </c>
      <c r="L11" s="244">
        <v>1.4335716034533752</v>
      </c>
      <c r="M11" s="32">
        <v>2.6176159435103701</v>
      </c>
      <c r="N11" s="32">
        <v>2.8919099370186947E-2</v>
      </c>
      <c r="O11" s="32">
        <v>9.646316407660354</v>
      </c>
      <c r="P11" s="32">
        <v>8.6736032194800039</v>
      </c>
      <c r="Q11" s="32">
        <v>9.9810875352744706</v>
      </c>
      <c r="R11" s="32">
        <v>9.2856149497595712</v>
      </c>
      <c r="S11" s="32">
        <v>9.48006291441793</v>
      </c>
      <c r="T11" s="32">
        <v>9.3839790122273286</v>
      </c>
      <c r="U11" s="32">
        <v>8.9149402477498416</v>
      </c>
      <c r="V11" s="32">
        <v>9.289029203771257</v>
      </c>
      <c r="W11" s="32">
        <v>8.6789225250588142</v>
      </c>
      <c r="X11" s="32">
        <v>9.8956208451060981</v>
      </c>
      <c r="Y11" s="32">
        <v>8.7570864320309294</v>
      </c>
      <c r="Z11" s="32">
        <v>9.5341778910927175</v>
      </c>
      <c r="AA11" s="32"/>
      <c r="AB11" s="32">
        <v>4.095436998002759</v>
      </c>
      <c r="AC11" s="32">
        <v>3.5186792655178003</v>
      </c>
      <c r="AD11" s="32">
        <v>3.3751542203815283</v>
      </c>
      <c r="AE11" s="32">
        <v>3.5242237058285379</v>
      </c>
      <c r="AF11" s="32">
        <v>3.4577359730014385</v>
      </c>
      <c r="AG11" s="32">
        <v>3.0340674288340637</v>
      </c>
      <c r="AH11" s="32">
        <v>3.5623808395507899</v>
      </c>
      <c r="AI11" s="32">
        <v>2.9215126229932507</v>
      </c>
      <c r="AJ11" s="32">
        <v>3.5966989384062713</v>
      </c>
      <c r="AK11" s="32">
        <v>3.2303967054098224</v>
      </c>
      <c r="AL11" s="32">
        <v>3.8758122340799623</v>
      </c>
      <c r="AM11" s="42">
        <v>4.123609971805446</v>
      </c>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row>
    <row r="12" spans="1:131">
      <c r="A12" s="18" t="s">
        <v>507</v>
      </c>
      <c r="B12" s="18"/>
      <c r="C12" s="32">
        <v>918.51241916941115</v>
      </c>
      <c r="D12" s="32">
        <v>213.31730769230768</v>
      </c>
      <c r="E12" s="32">
        <v>42.66346153846154</v>
      </c>
      <c r="F12" s="32">
        <v>255.98076923076923</v>
      </c>
      <c r="G12" s="32">
        <v>586.09116801180221</v>
      </c>
      <c r="H12" s="32">
        <v>790.63519096585674</v>
      </c>
      <c r="I12" s="32">
        <v>2441.3295799410957</v>
      </c>
      <c r="J12" s="32">
        <v>4.0270767915971204</v>
      </c>
      <c r="K12" s="32">
        <v>21.910285702394578</v>
      </c>
      <c r="L12" s="244">
        <v>1.3489969378790154</v>
      </c>
      <c r="M12" s="32">
        <v>11.954932965992752</v>
      </c>
      <c r="N12" s="32">
        <v>0.17266781512416141</v>
      </c>
      <c r="O12" s="32">
        <v>57.595444338911832</v>
      </c>
      <c r="P12" s="32">
        <v>51.787647256589601</v>
      </c>
      <c r="Q12" s="32">
        <v>59.594268660231201</v>
      </c>
      <c r="R12" s="32">
        <v>55.441797302723884</v>
      </c>
      <c r="S12" s="32">
        <v>56.602791453444631</v>
      </c>
      <c r="T12" s="32">
        <v>56.029101476191798</v>
      </c>
      <c r="U12" s="32">
        <v>53.22860282877005</v>
      </c>
      <c r="V12" s="32">
        <v>55.462182853910321</v>
      </c>
      <c r="W12" s="32">
        <v>51.819407335301392</v>
      </c>
      <c r="X12" s="32">
        <v>59.083971072178372</v>
      </c>
      <c r="Y12" s="32">
        <v>52.286102057210925</v>
      </c>
      <c r="Z12" s="32">
        <v>56.925896771086819</v>
      </c>
      <c r="AA12" s="32"/>
      <c r="AB12" s="32">
        <v>24.452703362982341</v>
      </c>
      <c r="AC12" s="32">
        <v>21.009045030150258</v>
      </c>
      <c r="AD12" s="32">
        <v>20.15209732088567</v>
      </c>
      <c r="AE12" s="32">
        <v>21.042149325076135</v>
      </c>
      <c r="AF12" s="32">
        <v>20.64516975759868</v>
      </c>
      <c r="AG12" s="32">
        <v>18.11556394512894</v>
      </c>
      <c r="AH12" s="32">
        <v>21.269974847125894</v>
      </c>
      <c r="AI12" s="32">
        <v>17.443530831044736</v>
      </c>
      <c r="AJ12" s="32">
        <v>21.474878570880854</v>
      </c>
      <c r="AK12" s="32">
        <v>19.287790880598141</v>
      </c>
      <c r="AL12" s="32">
        <v>23.141385619359824</v>
      </c>
      <c r="AM12" s="42">
        <v>24.620916272028708</v>
      </c>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row>
    <row r="13" spans="1:131">
      <c r="A13" s="18" t="s">
        <v>508</v>
      </c>
      <c r="B13" s="18"/>
      <c r="C13" s="32">
        <v>290.29394518662707</v>
      </c>
      <c r="D13" s="32">
        <v>87.836538461538453</v>
      </c>
      <c r="E13" s="32">
        <v>17.56730769230769</v>
      </c>
      <c r="F13" s="32">
        <v>105.40384615384615</v>
      </c>
      <c r="G13" s="32">
        <v>241.33165741662438</v>
      </c>
      <c r="H13" s="32">
        <v>278.21958423894517</v>
      </c>
      <c r="I13" s="32">
        <v>3180.6991072930841</v>
      </c>
      <c r="J13" s="32">
        <v>8.479121638219393</v>
      </c>
      <c r="K13" s="32">
        <v>28.94614235143305</v>
      </c>
      <c r="L13" s="244">
        <v>1.1528515869703704</v>
      </c>
      <c r="M13" s="32">
        <v>4.2885606476182181</v>
      </c>
      <c r="N13" s="32">
        <v>5.4571304876284955E-2</v>
      </c>
      <c r="O13" s="32">
        <v>18.20292073681339</v>
      </c>
      <c r="P13" s="32">
        <v>16.367378513666004</v>
      </c>
      <c r="Q13" s="32">
        <v>18.834645018228642</v>
      </c>
      <c r="R13" s="32">
        <v>17.522265057448887</v>
      </c>
      <c r="S13" s="32">
        <v>17.88919485101237</v>
      </c>
      <c r="T13" s="32">
        <v>17.707881323470357</v>
      </c>
      <c r="U13" s="32">
        <v>16.822789533873195</v>
      </c>
      <c r="V13" s="32">
        <v>17.528707868624014</v>
      </c>
      <c r="W13" s="32">
        <v>16.377416220676022</v>
      </c>
      <c r="X13" s="32">
        <v>18.67336652382458</v>
      </c>
      <c r="Y13" s="32">
        <v>16.524914119662956</v>
      </c>
      <c r="Z13" s="32">
        <v>17.991311616568947</v>
      </c>
      <c r="AA13" s="32"/>
      <c r="AB13" s="32">
        <v>7.7282261857029946</v>
      </c>
      <c r="AC13" s="32">
        <v>6.6398651113730383</v>
      </c>
      <c r="AD13" s="32">
        <v>6.3690285650735179</v>
      </c>
      <c r="AE13" s="32">
        <v>6.650327655129761</v>
      </c>
      <c r="AF13" s="32">
        <v>6.5248630861196641</v>
      </c>
      <c r="AG13" s="32">
        <v>5.7253864152076916</v>
      </c>
      <c r="AH13" s="32">
        <v>6.7223314388889754</v>
      </c>
      <c r="AI13" s="32">
        <v>5.5129917432227762</v>
      </c>
      <c r="AJ13" s="32">
        <v>6.7870908358343609</v>
      </c>
      <c r="AK13" s="32">
        <v>6.095866307095382</v>
      </c>
      <c r="AL13" s="32">
        <v>7.3137869323572033</v>
      </c>
      <c r="AM13" s="42">
        <v>7.7813895267523687</v>
      </c>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row>
    <row r="14" spans="1:131">
      <c r="A14" s="18" t="s">
        <v>519</v>
      </c>
      <c r="B14" s="18"/>
      <c r="C14" s="32">
        <v>47.147792945627636</v>
      </c>
      <c r="D14" s="32">
        <v>13.120216352037032</v>
      </c>
      <c r="E14" s="32">
        <v>2.6240432704074066</v>
      </c>
      <c r="F14" s="32">
        <v>15.744259622444439</v>
      </c>
      <c r="G14" s="32">
        <v>36.047909143052728</v>
      </c>
      <c r="H14" s="32">
        <v>41.422022758048271</v>
      </c>
      <c r="I14" s="32">
        <v>2925.2634254092609</v>
      </c>
      <c r="J14" s="32">
        <v>6.9410394356066138</v>
      </c>
      <c r="K14" s="32">
        <v>29.909072330150956</v>
      </c>
      <c r="L14" s="244">
        <v>1.149082533293925</v>
      </c>
      <c r="M14" s="32">
        <v>0.62874497900785342</v>
      </c>
      <c r="N14" s="32">
        <v>8.8631424311165011E-3</v>
      </c>
      <c r="O14" s="32">
        <v>2.9564086751902563</v>
      </c>
      <c r="P14" s="32">
        <v>2.6582909703091819</v>
      </c>
      <c r="Q14" s="32">
        <v>3.0590095255102439</v>
      </c>
      <c r="R14" s="32">
        <v>2.8458606821299406</v>
      </c>
      <c r="S14" s="32">
        <v>2.905455207676765</v>
      </c>
      <c r="T14" s="32">
        <v>2.8760073573287444</v>
      </c>
      <c r="U14" s="32">
        <v>2.7322560834019871</v>
      </c>
      <c r="V14" s="32">
        <v>2.8469070846895161</v>
      </c>
      <c r="W14" s="32">
        <v>2.6599212341834511</v>
      </c>
      <c r="X14" s="32">
        <v>3.0328156444912762</v>
      </c>
      <c r="Y14" s="32">
        <v>2.6838769539518412</v>
      </c>
      <c r="Z14" s="32">
        <v>2.9220403972701736</v>
      </c>
      <c r="AA14" s="32"/>
      <c r="AB14" s="32">
        <v>1.255171918264617</v>
      </c>
      <c r="AC14" s="32">
        <v>1.0784068722365283</v>
      </c>
      <c r="AD14" s="32">
        <v>1.0344192327463924</v>
      </c>
      <c r="AE14" s="32">
        <v>1.0801061355346637</v>
      </c>
      <c r="AF14" s="32">
        <v>1.059728936423957</v>
      </c>
      <c r="AG14" s="32">
        <v>0.92988275406288667</v>
      </c>
      <c r="AH14" s="32">
        <v>1.0918005561185951</v>
      </c>
      <c r="AI14" s="32">
        <v>0.89538689156371731</v>
      </c>
      <c r="AJ14" s="32">
        <v>1.102318387058892</v>
      </c>
      <c r="AK14" s="32">
        <v>0.99005386518271998</v>
      </c>
      <c r="AL14" s="32">
        <v>1.1878611926043698</v>
      </c>
      <c r="AM14" s="42">
        <v>1.2638063876969101</v>
      </c>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row>
    <row r="15" spans="1:131">
      <c r="A15" s="18" t="s">
        <v>515</v>
      </c>
      <c r="B15" s="18"/>
      <c r="C15" s="32">
        <v>786.86843936637206</v>
      </c>
      <c r="D15" s="32">
        <v>216.82180597992453</v>
      </c>
      <c r="E15" s="32">
        <v>43.364361195984912</v>
      </c>
      <c r="F15" s="32">
        <v>260.18616717590942</v>
      </c>
      <c r="G15" s="32">
        <v>595.71980769840172</v>
      </c>
      <c r="H15" s="32">
        <v>682.82331967317418</v>
      </c>
      <c r="I15" s="32">
        <v>2896.5843722189743</v>
      </c>
      <c r="J15" s="32">
        <v>6.7683511840105446</v>
      </c>
      <c r="K15" s="32">
        <v>30.151009464921778</v>
      </c>
      <c r="L15" s="244">
        <v>1.1462155712285311</v>
      </c>
      <c r="M15" s="32">
        <v>10.340611968671093</v>
      </c>
      <c r="N15" s="32">
        <v>0.14792054127957388</v>
      </c>
      <c r="O15" s="32">
        <v>49.340690943029529</v>
      </c>
      <c r="P15" s="32">
        <v>44.365284915905818</v>
      </c>
      <c r="Q15" s="32">
        <v>51.053037713154183</v>
      </c>
      <c r="R15" s="32">
        <v>47.49571111810387</v>
      </c>
      <c r="S15" s="32">
        <v>48.490308073382089</v>
      </c>
      <c r="T15" s="32">
        <v>47.998841079947987</v>
      </c>
      <c r="U15" s="32">
        <v>45.599718374413889</v>
      </c>
      <c r="V15" s="32">
        <v>47.513174950397186</v>
      </c>
      <c r="W15" s="32">
        <v>44.392493044014422</v>
      </c>
      <c r="X15" s="32">
        <v>50.615877519842201</v>
      </c>
      <c r="Y15" s="32">
        <v>44.792299665923302</v>
      </c>
      <c r="Z15" s="32">
        <v>48.767104959018084</v>
      </c>
      <c r="AA15" s="32"/>
      <c r="AB15" s="32">
        <v>20.948067910630961</v>
      </c>
      <c r="AC15" s="32">
        <v>17.997965112329215</v>
      </c>
      <c r="AD15" s="32">
        <v>17.263837742317854</v>
      </c>
      <c r="AE15" s="32">
        <v>18.026324799515812</v>
      </c>
      <c r="AF15" s="32">
        <v>17.686241545112139</v>
      </c>
      <c r="AG15" s="32">
        <v>15.519186493564662</v>
      </c>
      <c r="AH15" s="32">
        <v>18.221497678229014</v>
      </c>
      <c r="AI15" s="32">
        <v>14.943471199306428</v>
      </c>
      <c r="AJ15" s="32">
        <v>18.397033980152099</v>
      </c>
      <c r="AK15" s="32">
        <v>16.523406316885037</v>
      </c>
      <c r="AL15" s="32">
        <v>19.824692194741619</v>
      </c>
      <c r="AM15" s="42">
        <v>21.092172036454627</v>
      </c>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row>
    <row r="16" spans="1:131">
      <c r="A16" s="18" t="s">
        <v>510</v>
      </c>
      <c r="B16" s="18"/>
      <c r="C16" s="32">
        <v>32.483392354420594</v>
      </c>
      <c r="D16" s="32">
        <v>9.8287573310080454</v>
      </c>
      <c r="E16" s="32">
        <v>1.9657514662016091</v>
      </c>
      <c r="F16" s="32">
        <v>11.794508797209655</v>
      </c>
      <c r="G16" s="32">
        <v>27.004596704099491</v>
      </c>
      <c r="H16" s="32">
        <v>24.950646573135696</v>
      </c>
      <c r="I16" s="32">
        <v>3180.6991072930841</v>
      </c>
      <c r="J16" s="32">
        <v>8.4791216382193948</v>
      </c>
      <c r="K16" s="32">
        <v>42.948876353405723</v>
      </c>
      <c r="L16" s="245">
        <v>0.92394072189006282</v>
      </c>
      <c r="M16" s="32">
        <v>0.36859299514572613</v>
      </c>
      <c r="N16" s="32">
        <v>6.1064350014239654E-3</v>
      </c>
      <c r="O16" s="32">
        <v>2.0368754708617569</v>
      </c>
      <c r="P16" s="32">
        <v>1.8314814583229495</v>
      </c>
      <c r="Q16" s="32">
        <v>2.1075643296315589</v>
      </c>
      <c r="R16" s="32">
        <v>1.9607112729593601</v>
      </c>
      <c r="S16" s="32">
        <v>2.0017700847206124</v>
      </c>
      <c r="T16" s="32">
        <v>1.981481413351581</v>
      </c>
      <c r="U16" s="32">
        <v>1.8824411669121406</v>
      </c>
      <c r="V16" s="32">
        <v>1.9614322124303245</v>
      </c>
      <c r="W16" s="32">
        <v>1.8326046604446316</v>
      </c>
      <c r="X16" s="32">
        <v>2.0895175439547535</v>
      </c>
      <c r="Y16" s="32">
        <v>1.8491094212351644</v>
      </c>
      <c r="Z16" s="32">
        <v>2.0131967748618975</v>
      </c>
      <c r="AA16" s="32"/>
      <c r="AB16" s="32">
        <v>0.86477519616369258</v>
      </c>
      <c r="AC16" s="32">
        <v>0.74298946695046297</v>
      </c>
      <c r="AD16" s="32">
        <v>0.71268332401073486</v>
      </c>
      <c r="AE16" s="32">
        <v>0.74416020757220225</v>
      </c>
      <c r="AF16" s="32">
        <v>0.73012093844754611</v>
      </c>
      <c r="AG16" s="32">
        <v>0.64066087629315305</v>
      </c>
      <c r="AH16" s="32">
        <v>0.75221730692833844</v>
      </c>
      <c r="AI16" s="32">
        <v>0.61689427840686595</v>
      </c>
      <c r="AJ16" s="32">
        <v>0.75946377188047587</v>
      </c>
      <c r="AK16" s="32">
        <v>0.68211693794085426</v>
      </c>
      <c r="AL16" s="32">
        <v>0.81840015770104191</v>
      </c>
      <c r="AM16" s="42">
        <v>0.87072408243849408</v>
      </c>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row>
    <row r="17" spans="1:131">
      <c r="A17" s="18" t="s">
        <v>514</v>
      </c>
      <c r="B17" s="18"/>
      <c r="C17" s="32">
        <v>181.55278780226234</v>
      </c>
      <c r="D17" s="32">
        <v>82.30234988560494</v>
      </c>
      <c r="E17" s="32">
        <v>16.46046997712099</v>
      </c>
      <c r="F17" s="32">
        <v>98.762819862725934</v>
      </c>
      <c r="G17" s="32">
        <v>226.12642591639863</v>
      </c>
      <c r="H17" s="32">
        <v>164.73823641490031</v>
      </c>
      <c r="I17" s="32">
        <v>4765.348483327989</v>
      </c>
      <c r="J17" s="32">
        <v>18.020940481560494</v>
      </c>
      <c r="K17" s="32">
        <v>63.176339159462458</v>
      </c>
      <c r="L17" s="245">
        <v>0.72852270913177486</v>
      </c>
      <c r="M17" s="32">
        <v>2.5153433906508491</v>
      </c>
      <c r="N17" s="32">
        <v>3.4129449472076467E-2</v>
      </c>
      <c r="O17" s="32">
        <v>11.384291890027068</v>
      </c>
      <c r="P17" s="32">
        <v>10.236325102339066</v>
      </c>
      <c r="Q17" s="32">
        <v>11.779378685032684</v>
      </c>
      <c r="R17" s="32">
        <v>10.958602900742008</v>
      </c>
      <c r="S17" s="32">
        <v>11.188084528084705</v>
      </c>
      <c r="T17" s="32">
        <v>11.074689202631562</v>
      </c>
      <c r="U17" s="32">
        <v>10.521143789347272</v>
      </c>
      <c r="V17" s="32">
        <v>10.962632300422998</v>
      </c>
      <c r="W17" s="32">
        <v>10.242602786462442</v>
      </c>
      <c r="X17" s="32">
        <v>11.678513473211662</v>
      </c>
      <c r="Y17" s="32">
        <v>10.334849473656826</v>
      </c>
      <c r="Z17" s="32">
        <v>11.25194939256277</v>
      </c>
      <c r="AA17" s="32"/>
      <c r="AB17" s="32">
        <v>4.8333113109844437</v>
      </c>
      <c r="AC17" s="32">
        <v>4.1526392182439738</v>
      </c>
      <c r="AD17" s="32">
        <v>3.9832552857344514</v>
      </c>
      <c r="AE17" s="32">
        <v>4.1591825995925404</v>
      </c>
      <c r="AF17" s="32">
        <v>4.0807157812110955</v>
      </c>
      <c r="AG17" s="32">
        <v>3.5807149345050888</v>
      </c>
      <c r="AH17" s="32">
        <v>4.2042144987780112</v>
      </c>
      <c r="AI17" s="32">
        <v>3.4478811449873019</v>
      </c>
      <c r="AJ17" s="32">
        <v>4.244715684719969</v>
      </c>
      <c r="AK17" s="32">
        <v>3.8124168294710659</v>
      </c>
      <c r="AL17" s="32">
        <v>4.574116783963758</v>
      </c>
      <c r="AM17" s="42">
        <v>4.8665602055495416</v>
      </c>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row>
    <row r="18" spans="1:131">
      <c r="A18" s="18" t="s">
        <v>516</v>
      </c>
      <c r="B18" s="18"/>
      <c r="C18" s="32">
        <v>28.555722339495329</v>
      </c>
      <c r="D18" s="32">
        <v>14.592559195953809</v>
      </c>
      <c r="E18" s="32">
        <v>2.9185118391907618</v>
      </c>
      <c r="F18" s="32">
        <v>17.511071035144571</v>
      </c>
      <c r="G18" s="32">
        <v>40.093183980056125</v>
      </c>
      <c r="H18" s="32">
        <v>25.530194333751322</v>
      </c>
      <c r="I18" s="32">
        <v>5371.8473812060975</v>
      </c>
      <c r="J18" s="32">
        <v>21.672917189947164</v>
      </c>
      <c r="K18" s="32">
        <v>75.821833005703837</v>
      </c>
      <c r="L18" s="245">
        <v>0.63677143592414642</v>
      </c>
      <c r="M18" s="32">
        <v>0.38877221585652078</v>
      </c>
      <c r="N18" s="32">
        <v>5.368086574280115E-3</v>
      </c>
      <c r="O18" s="32">
        <v>1.7905903962072378</v>
      </c>
      <c r="P18" s="32">
        <v>1.6100312252850906</v>
      </c>
      <c r="Q18" s="32">
        <v>1.8527320408206447</v>
      </c>
      <c r="R18" s="32">
        <v>1.7236354530848876</v>
      </c>
      <c r="S18" s="32">
        <v>1.7597297136673844</v>
      </c>
      <c r="T18" s="32">
        <v>1.7418942099142642</v>
      </c>
      <c r="U18" s="32">
        <v>1.6548292338519668</v>
      </c>
      <c r="V18" s="32">
        <v>1.7242692214774198</v>
      </c>
      <c r="W18" s="32">
        <v>1.6110186174751651</v>
      </c>
      <c r="X18" s="32">
        <v>1.8368673492488881</v>
      </c>
      <c r="Y18" s="32">
        <v>1.6255277352813322</v>
      </c>
      <c r="Z18" s="32">
        <v>1.7697747664554</v>
      </c>
      <c r="AA18" s="32"/>
      <c r="AB18" s="32">
        <v>0.76021248391479712</v>
      </c>
      <c r="AC18" s="32">
        <v>0.65315225355518447</v>
      </c>
      <c r="AD18" s="32">
        <v>0.62651052249687766</v>
      </c>
      <c r="AE18" s="32">
        <v>0.65418143621447045</v>
      </c>
      <c r="AF18" s="32">
        <v>0.64183969965570953</v>
      </c>
      <c r="AG18" s="32">
        <v>0.56319653740584086</v>
      </c>
      <c r="AH18" s="32">
        <v>0.66126432612834496</v>
      </c>
      <c r="AI18" s="32">
        <v>0.54230363426350958</v>
      </c>
      <c r="AJ18" s="32">
        <v>0.66763459801554104</v>
      </c>
      <c r="AK18" s="32">
        <v>0.59964001513084064</v>
      </c>
      <c r="AL18" s="32">
        <v>0.71944479846575404</v>
      </c>
      <c r="AM18" s="42">
        <v>0.7654420714787743</v>
      </c>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row>
    <row r="19" spans="1:131">
      <c r="A19" s="18" t="s">
        <v>512</v>
      </c>
      <c r="B19" s="18"/>
      <c r="C19" s="32">
        <v>35.017405316066764</v>
      </c>
      <c r="D19" s="32">
        <v>15.378181835946439</v>
      </c>
      <c r="E19" s="32">
        <v>3.0756363671892881</v>
      </c>
      <c r="F19" s="32">
        <v>18.453818203135725</v>
      </c>
      <c r="G19" s="32">
        <v>42.251689052480685</v>
      </c>
      <c r="H19" s="32">
        <v>26.582654928730388</v>
      </c>
      <c r="I19" s="32">
        <v>4616.4313432239896</v>
      </c>
      <c r="J19" s="32">
        <v>17.12424977191198</v>
      </c>
      <c r="K19" s="32">
        <v>71.221441789992696</v>
      </c>
      <c r="L19" s="245">
        <v>0.6291501126904574</v>
      </c>
      <c r="M19" s="32">
        <v>0.39168691333293476</v>
      </c>
      <c r="N19" s="32">
        <v>6.5827948986362517E-3</v>
      </c>
      <c r="O19" s="32">
        <v>2.1957710932187737</v>
      </c>
      <c r="P19" s="32">
        <v>1.9743543979398426</v>
      </c>
      <c r="Q19" s="32">
        <v>2.2719743540070669</v>
      </c>
      <c r="R19" s="32">
        <v>2.1136653648693029</v>
      </c>
      <c r="S19" s="32">
        <v>2.1579271537105846</v>
      </c>
      <c r="T19" s="32">
        <v>2.1360557733786849</v>
      </c>
      <c r="U19" s="32">
        <v>2.0292894475487699</v>
      </c>
      <c r="V19" s="32">
        <v>2.1144425444627291</v>
      </c>
      <c r="W19" s="32">
        <v>1.975565220489337</v>
      </c>
      <c r="X19" s="32">
        <v>2.2525197477331358</v>
      </c>
      <c r="Y19" s="32">
        <v>1.9933575092977489</v>
      </c>
      <c r="Z19" s="32">
        <v>2.1702452341540521</v>
      </c>
      <c r="AA19" s="32"/>
      <c r="AB19" s="32">
        <v>0.93223587059324264</v>
      </c>
      <c r="AC19" s="32">
        <v>0.80094969841510644</v>
      </c>
      <c r="AD19" s="32">
        <v>0.76827938863624834</v>
      </c>
      <c r="AE19" s="32">
        <v>0.80221176791893556</v>
      </c>
      <c r="AF19" s="32">
        <v>0.7870773025307316</v>
      </c>
      <c r="AG19" s="32">
        <v>0.69063850630276957</v>
      </c>
      <c r="AH19" s="32">
        <v>0.81089739750919754</v>
      </c>
      <c r="AI19" s="32">
        <v>0.66501788817004448</v>
      </c>
      <c r="AJ19" s="32">
        <v>0.81870915551676704</v>
      </c>
      <c r="AK19" s="32">
        <v>0.73532853429265244</v>
      </c>
      <c r="AL19" s="32">
        <v>0.88224313890203343</v>
      </c>
      <c r="AM19" s="42">
        <v>0.93864882646900305</v>
      </c>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row>
    <row r="20" spans="1:131">
      <c r="A20" s="18" t="s">
        <v>511</v>
      </c>
      <c r="B20" s="18"/>
      <c r="C20" s="32">
        <v>235.27638694603962</v>
      </c>
      <c r="D20" s="32">
        <v>143.75452147683055</v>
      </c>
      <c r="E20" s="32">
        <v>28.750904295366112</v>
      </c>
      <c r="F20" s="32">
        <v>172.50542577219665</v>
      </c>
      <c r="G20" s="32">
        <v>394.9668046666967</v>
      </c>
      <c r="H20" s="32">
        <v>171.73415269219723</v>
      </c>
      <c r="I20" s="32">
        <v>6422.8609992681613</v>
      </c>
      <c r="J20" s="32">
        <v>28.001497945474366</v>
      </c>
      <c r="K20" s="32">
        <v>108.11136544211456</v>
      </c>
      <c r="L20" s="245">
        <v>0.43480654744420782</v>
      </c>
      <c r="M20" s="32">
        <v>2.5079912937347122</v>
      </c>
      <c r="N20" s="32">
        <v>4.4228753837662151E-2</v>
      </c>
      <c r="O20" s="32">
        <v>14.753037374132205</v>
      </c>
      <c r="P20" s="32">
        <v>13.265373750726699</v>
      </c>
      <c r="Q20" s="32">
        <v>15.265034985318726</v>
      </c>
      <c r="R20" s="32">
        <v>14.201382020479452</v>
      </c>
      <c r="S20" s="32">
        <v>14.498769952690616</v>
      </c>
      <c r="T20" s="32">
        <v>14.35181962054676</v>
      </c>
      <c r="U20" s="32">
        <v>13.634473627545944</v>
      </c>
      <c r="V20" s="32">
        <v>14.206603766782443</v>
      </c>
      <c r="W20" s="32">
        <v>13.273509075206238</v>
      </c>
      <c r="X20" s="32">
        <v>15.134322574382665</v>
      </c>
      <c r="Y20" s="32">
        <v>13.393052639001439</v>
      </c>
      <c r="Z20" s="32">
        <v>14.581533179568536</v>
      </c>
      <c r="AA20" s="32"/>
      <c r="AB20" s="32">
        <v>6.2635448125003998</v>
      </c>
      <c r="AC20" s="32">
        <v>5.3814538646632339</v>
      </c>
      <c r="AD20" s="32">
        <v>5.1619472400061843</v>
      </c>
      <c r="AE20" s="32">
        <v>5.3899335092929697</v>
      </c>
      <c r="AF20" s="32">
        <v>5.2882474391013918</v>
      </c>
      <c r="AG20" s="32">
        <v>4.6402904778947409</v>
      </c>
      <c r="AH20" s="32">
        <v>5.4482908755770678</v>
      </c>
      <c r="AI20" s="32">
        <v>4.4681496121971316</v>
      </c>
      <c r="AJ20" s="32">
        <v>5.5007768374331425</v>
      </c>
      <c r="AK20" s="32">
        <v>4.9405556809579929</v>
      </c>
      <c r="AL20" s="32">
        <v>5.9276515851265899</v>
      </c>
      <c r="AM20" s="42">
        <v>6.3066324449070477</v>
      </c>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row>
    <row r="21" spans="1:131">
      <c r="A21" s="18" t="s">
        <v>509</v>
      </c>
      <c r="B21" s="18"/>
      <c r="C21" s="32">
        <v>19.453785339199513</v>
      </c>
      <c r="D21" s="32">
        <v>16.176643769731875</v>
      </c>
      <c r="E21" s="32">
        <v>3.2353287539463751</v>
      </c>
      <c r="F21" s="32">
        <v>19.411972523678251</v>
      </c>
      <c r="G21" s="32">
        <v>44.445470196860569</v>
      </c>
      <c r="H21" s="32">
        <v>17.932495990319264</v>
      </c>
      <c r="I21" s="32">
        <v>8741.1717741519333</v>
      </c>
      <c r="J21" s="32">
        <v>41.960990670519571</v>
      </c>
      <c r="K21" s="32">
        <v>138.57858167229179</v>
      </c>
      <c r="L21" s="245">
        <v>0.40347184788217039</v>
      </c>
      <c r="M21" s="32">
        <v>0.27457323823301871</v>
      </c>
      <c r="N21" s="32">
        <v>3.6570464811477724E-3</v>
      </c>
      <c r="O21" s="32">
        <v>1.2198522168031221</v>
      </c>
      <c r="P21" s="32">
        <v>1.0968450201935278</v>
      </c>
      <c r="Q21" s="32">
        <v>1.2621866463287246</v>
      </c>
      <c r="R21" s="32">
        <v>1.1742386940417318</v>
      </c>
      <c r="S21" s="32">
        <v>1.1988281612245615</v>
      </c>
      <c r="T21" s="32">
        <v>1.1866775996907077</v>
      </c>
      <c r="U21" s="32">
        <v>1.1273639764966668</v>
      </c>
      <c r="V21" s="32">
        <v>1.1746704531867642</v>
      </c>
      <c r="W21" s="32">
        <v>1.0975176880211155</v>
      </c>
      <c r="X21" s="32">
        <v>1.2513787143618735</v>
      </c>
      <c r="Y21" s="32">
        <v>1.1074021258898767</v>
      </c>
      <c r="Z21" s="32">
        <v>1.2056714236129449</v>
      </c>
      <c r="AA21" s="32"/>
      <c r="AB21" s="32">
        <v>0.51790006564826041</v>
      </c>
      <c r="AC21" s="32">
        <v>0.44496453577372647</v>
      </c>
      <c r="AD21" s="32">
        <v>0.42681467036632442</v>
      </c>
      <c r="AE21" s="32">
        <v>0.44566567365042048</v>
      </c>
      <c r="AF21" s="32">
        <v>0.43725777939817057</v>
      </c>
      <c r="AG21" s="32">
        <v>0.38368157570015476</v>
      </c>
      <c r="AH21" s="32">
        <v>0.45049094188659189</v>
      </c>
      <c r="AI21" s="32">
        <v>0.36944813947285798</v>
      </c>
      <c r="AJ21" s="32">
        <v>0.45483073411361064</v>
      </c>
      <c r="AK21" s="32">
        <v>0.40850894950100863</v>
      </c>
      <c r="AL21" s="32">
        <v>0.49012679512570817</v>
      </c>
      <c r="AM21" s="42">
        <v>0.52146275871106018</v>
      </c>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row>
    <row r="22" spans="1:131">
      <c r="A22" s="18"/>
      <c r="B22" s="18"/>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11"/>
  <dimension ref="A1:EA220"/>
  <sheetViews>
    <sheetView topLeftCell="A26" workbookViewId="0">
      <selection activeCell="A64" sqref="A64:EA220"/>
    </sheetView>
  </sheetViews>
  <sheetFormatPr defaultRowHeight="12.75"/>
  <cols>
    <col min="1" max="1" width="38.28515625" customWidth="1"/>
    <col min="2" max="2" width="43.8554687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s>
  <sheetData>
    <row r="1" spans="1:23">
      <c r="A1" s="74" t="s">
        <v>199</v>
      </c>
      <c r="B1" s="75"/>
      <c r="C1" s="75"/>
      <c r="D1" s="75"/>
      <c r="E1" s="75"/>
      <c r="F1" s="75"/>
      <c r="G1" s="75"/>
      <c r="H1" s="76"/>
      <c r="I1" s="77"/>
      <c r="J1" s="77"/>
      <c r="K1" s="77"/>
      <c r="L1" s="77"/>
      <c r="M1" s="77"/>
      <c r="N1" s="78"/>
      <c r="O1" s="79"/>
      <c r="P1" s="78"/>
      <c r="Q1" s="78"/>
      <c r="R1" s="78"/>
      <c r="S1" s="76"/>
      <c r="T1" s="76"/>
      <c r="U1" s="76"/>
      <c r="V1" s="78"/>
      <c r="W1" s="76"/>
    </row>
    <row r="2" spans="1:23">
      <c r="A2" s="80" t="s">
        <v>179</v>
      </c>
      <c r="B2" s="84" t="str">
        <f>'7PSourceSummary'!B3</f>
        <v>Commercial EM</v>
      </c>
      <c r="C2" s="76"/>
      <c r="D2" s="76"/>
      <c r="E2" s="76"/>
      <c r="F2" s="76"/>
      <c r="G2" s="76"/>
      <c r="H2" s="76"/>
      <c r="I2" s="77"/>
      <c r="J2" s="77"/>
      <c r="K2" s="77"/>
      <c r="L2" s="77"/>
      <c r="M2" s="77"/>
      <c r="N2" s="78"/>
      <c r="O2" s="78"/>
      <c r="P2" s="78"/>
      <c r="Q2" s="78"/>
      <c r="R2" s="78"/>
      <c r="S2" s="76"/>
      <c r="T2" s="76"/>
      <c r="U2" s="76"/>
      <c r="V2" s="78"/>
      <c r="W2" s="76"/>
    </row>
    <row r="3" spans="1:23">
      <c r="A3" s="80" t="s">
        <v>200</v>
      </c>
      <c r="B3" s="18"/>
      <c r="C3" s="80">
        <v>2012</v>
      </c>
      <c r="D3" s="18"/>
      <c r="E3" s="18"/>
      <c r="F3" s="18"/>
      <c r="G3" s="18"/>
      <c r="H3" s="18"/>
      <c r="I3" s="18"/>
      <c r="J3" s="81"/>
      <c r="K3" s="82"/>
      <c r="L3" s="18"/>
      <c r="M3" s="18"/>
      <c r="N3" s="18"/>
      <c r="O3" s="18"/>
      <c r="P3" s="18"/>
      <c r="Q3" s="18"/>
      <c r="R3" s="18"/>
      <c r="S3" s="18"/>
      <c r="T3" s="18"/>
      <c r="U3" s="18"/>
      <c r="V3" s="18"/>
      <c r="W3" s="18"/>
    </row>
    <row r="4" spans="1:23">
      <c r="A4" s="18"/>
      <c r="B4" s="189" t="s">
        <v>441</v>
      </c>
      <c r="C4" s="18"/>
      <c r="D4" s="18"/>
      <c r="E4" s="18"/>
      <c r="F4" s="18"/>
      <c r="G4" s="18"/>
      <c r="H4" s="18"/>
      <c r="I4" s="18"/>
      <c r="J4" s="18"/>
      <c r="K4" s="18"/>
      <c r="L4" s="18"/>
      <c r="M4" s="18"/>
      <c r="N4" s="18"/>
      <c r="O4" s="18"/>
      <c r="P4" s="18"/>
      <c r="Q4" s="18"/>
      <c r="R4" s="18"/>
      <c r="S4" s="18"/>
      <c r="T4" s="18"/>
      <c r="U4" s="18"/>
      <c r="V4" s="18"/>
      <c r="W4" s="18"/>
    </row>
    <row r="5" spans="1:23">
      <c r="A5" s="84">
        <v>1</v>
      </c>
      <c r="B5" s="84">
        <v>2</v>
      </c>
      <c r="C5" s="84">
        <v>3</v>
      </c>
      <c r="D5" s="84">
        <v>4</v>
      </c>
      <c r="E5" s="84">
        <v>5</v>
      </c>
      <c r="F5" s="84">
        <v>6</v>
      </c>
      <c r="G5" s="84">
        <v>7</v>
      </c>
      <c r="H5" s="84">
        <v>8</v>
      </c>
      <c r="I5" s="84">
        <v>9</v>
      </c>
      <c r="J5" s="84">
        <v>10</v>
      </c>
      <c r="K5" s="84">
        <v>11</v>
      </c>
      <c r="L5" s="84">
        <v>12</v>
      </c>
      <c r="M5" s="84">
        <v>13</v>
      </c>
      <c r="N5" s="84">
        <v>14</v>
      </c>
      <c r="O5" s="84">
        <v>15</v>
      </c>
      <c r="P5" s="84">
        <v>16</v>
      </c>
      <c r="Q5" s="84">
        <v>17</v>
      </c>
      <c r="R5" s="84">
        <v>18</v>
      </c>
      <c r="S5" s="84">
        <v>19</v>
      </c>
      <c r="T5" s="84">
        <v>20</v>
      </c>
      <c r="U5" s="84">
        <v>21</v>
      </c>
      <c r="V5" s="84">
        <v>22</v>
      </c>
      <c r="W5" s="84">
        <v>23</v>
      </c>
    </row>
    <row r="6" spans="1:23">
      <c r="A6" s="85" t="s">
        <v>201</v>
      </c>
      <c r="B6" s="86"/>
      <c r="C6" s="86"/>
      <c r="D6" s="86"/>
      <c r="E6" s="86"/>
      <c r="F6" s="86"/>
      <c r="G6" s="87"/>
      <c r="H6" s="88"/>
      <c r="I6" s="449" t="s">
        <v>202</v>
      </c>
      <c r="J6" s="450"/>
      <c r="K6" s="450"/>
      <c r="L6" s="450"/>
      <c r="M6" s="450"/>
      <c r="N6" s="451"/>
      <c r="O6" s="452" t="s">
        <v>203</v>
      </c>
      <c r="P6" s="453"/>
      <c r="Q6" s="89" t="s">
        <v>204</v>
      </c>
      <c r="R6" s="454" t="s">
        <v>205</v>
      </c>
      <c r="S6" s="454"/>
      <c r="T6" s="454"/>
      <c r="U6" s="90"/>
      <c r="V6" s="90"/>
      <c r="W6" s="90"/>
    </row>
    <row r="7" spans="1:23" ht="25.5">
      <c r="A7" s="91" t="s">
        <v>206</v>
      </c>
      <c r="B7" s="91" t="s">
        <v>178</v>
      </c>
      <c r="C7" s="91" t="s">
        <v>207</v>
      </c>
      <c r="D7" s="91" t="s">
        <v>208</v>
      </c>
      <c r="E7" s="91" t="s">
        <v>209</v>
      </c>
      <c r="F7" s="92" t="s">
        <v>210</v>
      </c>
      <c r="G7" s="91" t="s">
        <v>184</v>
      </c>
      <c r="H7" s="93" t="s">
        <v>211</v>
      </c>
      <c r="I7" s="93" t="s">
        <v>212</v>
      </c>
      <c r="J7" s="93" t="s">
        <v>213</v>
      </c>
      <c r="K7" s="93" t="s">
        <v>214</v>
      </c>
      <c r="L7" s="93" t="s">
        <v>215</v>
      </c>
      <c r="M7" s="93" t="s">
        <v>216</v>
      </c>
      <c r="N7" s="93" t="s">
        <v>217</v>
      </c>
      <c r="O7" s="94" t="s">
        <v>218</v>
      </c>
      <c r="P7" s="93" t="s">
        <v>184</v>
      </c>
      <c r="Q7" s="95" t="s">
        <v>219</v>
      </c>
      <c r="R7" s="96" t="s">
        <v>220</v>
      </c>
      <c r="S7" s="96" t="s">
        <v>221</v>
      </c>
      <c r="T7" s="96" t="s">
        <v>222</v>
      </c>
      <c r="U7" s="97"/>
      <c r="V7" s="97"/>
      <c r="W7" s="97"/>
    </row>
    <row r="8" spans="1:23" ht="15">
      <c r="A8" s="42" t="str">
        <f>MMap!B65</f>
        <v>Commercial EM-New-Large Off</v>
      </c>
      <c r="B8" s="42" t="str">
        <f>MMap!C65</f>
        <v>Commercial EM-New-Large Off-GasHt</v>
      </c>
      <c r="C8" s="101">
        <f>MMap!V65</f>
        <v>657.383757655772</v>
      </c>
      <c r="D8" s="11">
        <v>7</v>
      </c>
      <c r="E8" s="102">
        <f>MMap!W65</f>
        <v>172.51564586164386</v>
      </c>
      <c r="G8" t="s">
        <v>920</v>
      </c>
      <c r="O8" s="101">
        <f>MMap!X65</f>
        <v>27.324891953717845</v>
      </c>
      <c r="P8" s="262" t="s">
        <v>785</v>
      </c>
      <c r="Q8" s="100" t="s">
        <v>223</v>
      </c>
    </row>
    <row r="9" spans="1:23" ht="15">
      <c r="A9" s="42" t="str">
        <f>MMap!B66</f>
        <v>Commercial EM-New-Medium Off</v>
      </c>
      <c r="B9" s="42" t="str">
        <f>MMap!C66</f>
        <v>Commercial EM-New-Medium Off-GasHt</v>
      </c>
      <c r="C9" s="101">
        <f>MMap!V66</f>
        <v>251.47906149188722</v>
      </c>
      <c r="D9" s="11">
        <v>7</v>
      </c>
      <c r="E9" s="102">
        <f>MMap!W66</f>
        <v>81.783337132902915</v>
      </c>
      <c r="G9" t="s">
        <v>920</v>
      </c>
      <c r="O9" s="101">
        <f>MMap!X66</f>
        <v>12.953728571165545</v>
      </c>
      <c r="P9" s="262" t="s">
        <v>785</v>
      </c>
      <c r="Q9" s="100" t="s">
        <v>223</v>
      </c>
    </row>
    <row r="10" spans="1:23" ht="15">
      <c r="A10" s="42" t="str">
        <f>MMap!B67</f>
        <v>Commercial EM-New-Small Off</v>
      </c>
      <c r="B10" s="42" t="str">
        <f>MMap!C67</f>
        <v>Commercial EM-New-Small Off-GasHt</v>
      </c>
      <c r="C10" s="101">
        <f>MMap!V67</f>
        <v>11.924100629553426</v>
      </c>
      <c r="D10" s="11">
        <v>7</v>
      </c>
      <c r="E10" s="102">
        <f>MMap!W67</f>
        <v>10.657017944312418</v>
      </c>
      <c r="G10" t="s">
        <v>920</v>
      </c>
      <c r="O10" s="101">
        <f>MMap!X67</f>
        <v>0.75958814106530248</v>
      </c>
      <c r="P10" s="262" t="s">
        <v>785</v>
      </c>
      <c r="Q10" s="100" t="s">
        <v>223</v>
      </c>
    </row>
    <row r="11" spans="1:23" ht="15">
      <c r="A11" s="42" t="str">
        <f>MMap!B68</f>
        <v>Commercial EM-New-Xlarge Ret</v>
      </c>
      <c r="B11" s="42" t="str">
        <f>MMap!C68</f>
        <v>Commercial EM-New-Xlarge Ret-GasHt</v>
      </c>
      <c r="C11" s="101">
        <f>MMap!V68</f>
        <v>9.1770109239235165</v>
      </c>
      <c r="D11" s="11">
        <v>7</v>
      </c>
      <c r="E11" s="102">
        <f>MMap!W68</f>
        <v>2.9844495752891222</v>
      </c>
      <c r="G11" t="s">
        <v>920</v>
      </c>
      <c r="O11" s="101">
        <f>MMap!X68</f>
        <v>0.50772487836400126</v>
      </c>
      <c r="P11" s="262" t="s">
        <v>785</v>
      </c>
      <c r="Q11" s="100" t="s">
        <v>223</v>
      </c>
    </row>
    <row r="12" spans="1:23" ht="15">
      <c r="A12" s="42" t="str">
        <f>MMap!B69</f>
        <v>Commercial EM-New-Large Ret</v>
      </c>
      <c r="B12" s="42" t="str">
        <f>MMap!C69</f>
        <v>Commercial EM-New-Large Ret-GasHt</v>
      </c>
      <c r="C12" s="101">
        <f>MMap!V69</f>
        <v>45.926386769059476</v>
      </c>
      <c r="D12" s="11">
        <v>7</v>
      </c>
      <c r="E12" s="102">
        <f>MMap!W69</f>
        <v>30.159991311203015</v>
      </c>
      <c r="G12" t="s">
        <v>920</v>
      </c>
      <c r="O12" s="101">
        <f>MMap!X69</f>
        <v>2.3089148903798749</v>
      </c>
      <c r="P12" s="262" t="s">
        <v>785</v>
      </c>
      <c r="Q12" s="100" t="s">
        <v>223</v>
      </c>
    </row>
    <row r="13" spans="1:23" ht="15">
      <c r="A13" s="42" t="str">
        <f>MMap!B70</f>
        <v>Commercial EM-New-Medium Ret</v>
      </c>
      <c r="B13" s="42" t="str">
        <f>MMap!C70</f>
        <v>Commercial EM-New-Medium Ret-GasHt</v>
      </c>
      <c r="C13" s="101">
        <f>MMap!V70</f>
        <v>13.821551971467818</v>
      </c>
      <c r="D13" s="11">
        <v>7</v>
      </c>
      <c r="E13" s="102">
        <f>MMap!W70</f>
        <v>6.5238445177826616</v>
      </c>
      <c r="G13" t="s">
        <v>920</v>
      </c>
      <c r="O13" s="101">
        <f>MMap!X70</f>
        <v>0.49943654141691707</v>
      </c>
      <c r="P13" s="262" t="s">
        <v>785</v>
      </c>
      <c r="Q13" s="100" t="s">
        <v>223</v>
      </c>
    </row>
    <row r="14" spans="1:23" ht="15">
      <c r="A14" s="42" t="str">
        <f>MMap!B71</f>
        <v>Commercial EM-New-Small Ret</v>
      </c>
      <c r="B14" s="42" t="str">
        <f>MMap!C71</f>
        <v>Commercial EM-New-Small Ret-GasHt</v>
      </c>
      <c r="C14" s="101">
        <f>MMap!V71</f>
        <v>56.16002379111714</v>
      </c>
      <c r="D14" s="11">
        <v>7</v>
      </c>
      <c r="E14" s="102">
        <f>MMap!W71</f>
        <v>11.394407812096999</v>
      </c>
      <c r="G14" t="s">
        <v>920</v>
      </c>
      <c r="O14" s="101">
        <f>MMap!X71</f>
        <v>1.938456045070329</v>
      </c>
      <c r="P14" s="262" t="s">
        <v>785</v>
      </c>
      <c r="Q14" s="100" t="s">
        <v>223</v>
      </c>
    </row>
    <row r="15" spans="1:23" ht="15">
      <c r="A15" s="42" t="str">
        <f>MMap!B72</f>
        <v>Commercial EM-New-School K-12</v>
      </c>
      <c r="B15" s="42" t="str">
        <f>MMap!C72</f>
        <v>Commercial EM-New-School K-12-GasHt</v>
      </c>
      <c r="C15" s="101">
        <f>MMap!V72</f>
        <v>89.679749973243858</v>
      </c>
      <c r="D15" s="11">
        <v>7</v>
      </c>
      <c r="E15" s="102">
        <f>MMap!W72</f>
        <v>43.694770652286167</v>
      </c>
      <c r="G15" t="s">
        <v>920</v>
      </c>
      <c r="O15" s="101">
        <f>MMap!X72</f>
        <v>6.690154884316704</v>
      </c>
      <c r="P15" s="262" t="s">
        <v>785</v>
      </c>
      <c r="Q15" s="100" t="s">
        <v>223</v>
      </c>
    </row>
    <row r="16" spans="1:23" ht="15">
      <c r="A16" s="42" t="str">
        <f>MMap!B73</f>
        <v>Commercial EM-New-University</v>
      </c>
      <c r="B16" s="42" t="str">
        <f>MMap!C73</f>
        <v>Commercial EM-New-University-GasHt</v>
      </c>
      <c r="C16" s="101">
        <f>MMap!V73</f>
        <v>534.72220244813866</v>
      </c>
      <c r="D16" s="11">
        <v>7</v>
      </c>
      <c r="E16" s="102">
        <f>MMap!W73</f>
        <v>158.36339737536787</v>
      </c>
      <c r="G16" t="s">
        <v>920</v>
      </c>
      <c r="O16" s="101">
        <f>MMap!X73</f>
        <v>24.247195731472992</v>
      </c>
      <c r="P16" s="262" t="s">
        <v>785</v>
      </c>
      <c r="Q16" s="100" t="s">
        <v>223</v>
      </c>
    </row>
    <row r="17" spans="1:17" ht="15">
      <c r="A17" s="42" t="str">
        <f>MMap!B74</f>
        <v>Commercial EM-New-Warehouse</v>
      </c>
      <c r="B17" s="42" t="str">
        <f>MMap!C74</f>
        <v>Commercial EM-New-Warehouse-GasHt</v>
      </c>
      <c r="C17" s="101">
        <f>MMap!V74</f>
        <v>8.067389421364199</v>
      </c>
      <c r="D17" s="11">
        <v>7</v>
      </c>
      <c r="E17" s="102">
        <f>MMap!W74</f>
        <v>4.430952523097762</v>
      </c>
      <c r="G17" t="s">
        <v>920</v>
      </c>
      <c r="O17" s="101">
        <f>MMap!X74</f>
        <v>0.9942480249625304</v>
      </c>
      <c r="P17" s="262" t="s">
        <v>785</v>
      </c>
      <c r="Q17" s="100" t="s">
        <v>223</v>
      </c>
    </row>
    <row r="18" spans="1:17" ht="15">
      <c r="A18" s="42" t="str">
        <f>MMap!B75</f>
        <v>Commercial EM-New-Supermarket</v>
      </c>
      <c r="B18" s="42" t="str">
        <f>MMap!C75</f>
        <v>Commercial EM-New-Supermarket-GasHt</v>
      </c>
      <c r="C18" s="101">
        <f>MMap!V75</f>
        <v>88.673298998008477</v>
      </c>
      <c r="D18" s="11">
        <v>7</v>
      </c>
      <c r="E18" s="102">
        <f>MMap!W75</f>
        <v>21.147415057090836</v>
      </c>
      <c r="G18" t="s">
        <v>920</v>
      </c>
      <c r="O18" s="101">
        <f>MMap!X75</f>
        <v>4.6521612306307754</v>
      </c>
      <c r="P18" s="262" t="s">
        <v>785</v>
      </c>
      <c r="Q18" s="100" t="s">
        <v>223</v>
      </c>
    </row>
    <row r="19" spans="1:17" ht="15">
      <c r="A19" s="42" t="str">
        <f>MMap!B76</f>
        <v>Commercial EM-New-MiniMart</v>
      </c>
      <c r="B19" s="42" t="str">
        <f>MMap!C76</f>
        <v>Commercial EM-New-MiniMart-GasHt</v>
      </c>
      <c r="C19" s="101">
        <f>MMap!V76</f>
        <v>0</v>
      </c>
      <c r="D19" s="11">
        <v>7</v>
      </c>
      <c r="E19" s="102">
        <f>MMap!W76</f>
        <v>0</v>
      </c>
      <c r="G19" t="s">
        <v>920</v>
      </c>
      <c r="O19" s="101">
        <f>MMap!X76</f>
        <v>0</v>
      </c>
      <c r="P19" s="262" t="s">
        <v>785</v>
      </c>
      <c r="Q19" s="100" t="s">
        <v>223</v>
      </c>
    </row>
    <row r="20" spans="1:17" ht="15">
      <c r="A20" s="42" t="str">
        <f>MMap!B77</f>
        <v>Commercial EM-New-Restaurant</v>
      </c>
      <c r="B20" s="42" t="str">
        <f>MMap!C77</f>
        <v>Commercial EM-New-Restaurant-GasHt</v>
      </c>
      <c r="C20" s="101">
        <f>MMap!V77</f>
        <v>38.763702811071383</v>
      </c>
      <c r="D20" s="11">
        <v>7</v>
      </c>
      <c r="E20" s="102">
        <f>MMap!W77</f>
        <v>11.593929264862524</v>
      </c>
      <c r="G20" t="s">
        <v>920</v>
      </c>
      <c r="O20" s="101">
        <f>MMap!X77</f>
        <v>1.5303098205920076</v>
      </c>
      <c r="P20" s="262" t="s">
        <v>785</v>
      </c>
      <c r="Q20" s="100" t="s">
        <v>223</v>
      </c>
    </row>
    <row r="21" spans="1:17" ht="15">
      <c r="A21" s="42" t="str">
        <f>MMap!B78</f>
        <v>Commercial EM-New-Lodging</v>
      </c>
      <c r="B21" s="42" t="str">
        <f>MMap!C78</f>
        <v>Commercial EM-New-Lodging-GasHt</v>
      </c>
      <c r="C21" s="101">
        <f>MMap!V78</f>
        <v>40.056570454329531</v>
      </c>
      <c r="D21" s="11">
        <v>7</v>
      </c>
      <c r="E21" s="102">
        <f>MMap!W78</f>
        <v>10.676843227716512</v>
      </c>
      <c r="G21" t="s">
        <v>920</v>
      </c>
      <c r="O21" s="101">
        <f>MMap!X78</f>
        <v>1.8790153215572614</v>
      </c>
      <c r="P21" s="262" t="s">
        <v>785</v>
      </c>
      <c r="Q21" s="100" t="s">
        <v>223</v>
      </c>
    </row>
    <row r="22" spans="1:17" ht="15">
      <c r="A22" s="42" t="str">
        <f>MMap!B79</f>
        <v>Commercial EM-New-Hospital</v>
      </c>
      <c r="B22" s="42" t="str">
        <f>MMap!C79</f>
        <v>Commercial EM-New-Hospital-GasHt</v>
      </c>
      <c r="C22" s="101">
        <f>MMap!V79</f>
        <v>1075.3938250217043</v>
      </c>
      <c r="D22" s="11">
        <v>7</v>
      </c>
      <c r="E22" s="102">
        <f>MMap!W79</f>
        <v>176.55356049382607</v>
      </c>
      <c r="G22" t="s">
        <v>920</v>
      </c>
      <c r="O22" s="101">
        <f>MMap!X79</f>
        <v>46.60743416867669</v>
      </c>
      <c r="P22" s="262" t="s">
        <v>785</v>
      </c>
      <c r="Q22" s="100" t="s">
        <v>223</v>
      </c>
    </row>
    <row r="23" spans="1:17" ht="15">
      <c r="A23" s="42" t="str">
        <f>MMap!B80</f>
        <v>Commercial EM-New-Residential Care</v>
      </c>
      <c r="B23" s="42" t="str">
        <f>MMap!C80</f>
        <v>Commercial EM-New-Residential Care-GasHt</v>
      </c>
      <c r="C23" s="101">
        <f>MMap!V80</f>
        <v>108.20506982814733</v>
      </c>
      <c r="D23" s="11">
        <v>7</v>
      </c>
      <c r="E23" s="102">
        <f>MMap!W80</f>
        <v>20.95317190849541</v>
      </c>
      <c r="G23" t="s">
        <v>920</v>
      </c>
      <c r="O23" s="101">
        <f>MMap!X80</f>
        <v>5.5313162624342294</v>
      </c>
      <c r="P23" s="262" t="s">
        <v>785</v>
      </c>
      <c r="Q23" s="100" t="s">
        <v>223</v>
      </c>
    </row>
    <row r="24" spans="1:17" ht="15">
      <c r="A24" s="42" t="str">
        <f>MMap!B81</f>
        <v>Commercial EM-New-Assembly</v>
      </c>
      <c r="B24" s="42" t="str">
        <f>MMap!C81</f>
        <v>Commercial EM-New-Assembly-GasHt</v>
      </c>
      <c r="C24" s="101">
        <f>MMap!V81</f>
        <v>141.09206251011418</v>
      </c>
      <c r="D24" s="11">
        <v>7</v>
      </c>
      <c r="E24" s="102">
        <f>MMap!W81</f>
        <v>41.695004885801417</v>
      </c>
      <c r="G24" t="s">
        <v>920</v>
      </c>
      <c r="O24" s="101">
        <f>MMap!X81</f>
        <v>9.7838598097291349</v>
      </c>
      <c r="P24" s="262" t="s">
        <v>785</v>
      </c>
      <c r="Q24" s="100" t="s">
        <v>223</v>
      </c>
    </row>
    <row r="25" spans="1:17" ht="15">
      <c r="A25" s="42" t="str">
        <f>MMap!B82</f>
        <v>Commercial EM-New-Other</v>
      </c>
      <c r="B25" s="42" t="str">
        <f>MMap!C82</f>
        <v>Commercial EM-New-Other-GasHt</v>
      </c>
      <c r="C25" s="101">
        <f>MMap!V82</f>
        <v>115.51543266445805</v>
      </c>
      <c r="D25" s="11">
        <v>7</v>
      </c>
      <c r="E25" s="102">
        <f>MMap!W82</f>
        <v>34.136693756140801</v>
      </c>
      <c r="G25" t="s">
        <v>920</v>
      </c>
      <c r="O25" s="101">
        <f>MMap!X82</f>
        <v>12.015418645201027</v>
      </c>
      <c r="P25" s="262" t="s">
        <v>785</v>
      </c>
      <c r="Q25" s="100" t="s">
        <v>223</v>
      </c>
    </row>
    <row r="26" spans="1:17" ht="15">
      <c r="A26" s="42" t="str">
        <f>MMap!B83</f>
        <v>Commercial EM-New-Large Off</v>
      </c>
      <c r="B26" s="42" t="str">
        <f>MMap!C83</f>
        <v>Commercial EM-New-Large Off-ElecHt</v>
      </c>
      <c r="C26" s="101">
        <f>MMap!V83</f>
        <v>104.20222537223454</v>
      </c>
      <c r="D26" s="11">
        <v>7</v>
      </c>
      <c r="E26" s="102">
        <f>MMap!W83</f>
        <v>20.007048038895668</v>
      </c>
      <c r="G26" t="s">
        <v>920</v>
      </c>
      <c r="O26" s="101">
        <f>MMap!X83</f>
        <v>0</v>
      </c>
      <c r="P26" s="262" t="s">
        <v>785</v>
      </c>
      <c r="Q26" s="100" t="s">
        <v>223</v>
      </c>
    </row>
    <row r="27" spans="1:17" ht="15">
      <c r="A27" s="42" t="str">
        <f>MMap!B84</f>
        <v>Commercial EM-New-Medium Off</v>
      </c>
      <c r="B27" s="42" t="str">
        <f>MMap!C84</f>
        <v>Commercial EM-New-Medium Off-ElecHt</v>
      </c>
      <c r="C27" s="101">
        <f>MMap!V84</f>
        <v>15.433349470059474</v>
      </c>
      <c r="D27" s="11">
        <v>7</v>
      </c>
      <c r="E27" s="102">
        <f>MMap!W84</f>
        <v>5.0190692430292101</v>
      </c>
      <c r="G27" t="s">
        <v>920</v>
      </c>
      <c r="O27" s="101">
        <f>MMap!X84</f>
        <v>0</v>
      </c>
      <c r="P27" s="262" t="s">
        <v>785</v>
      </c>
      <c r="Q27" s="100" t="s">
        <v>223</v>
      </c>
    </row>
    <row r="28" spans="1:17" ht="15">
      <c r="A28" s="42" t="str">
        <f>MMap!B85</f>
        <v>Commercial EM-New-Small Off</v>
      </c>
      <c r="B28" s="42" t="str">
        <f>MMap!C85</f>
        <v>Commercial EM-New-Small Off-ElecHt</v>
      </c>
      <c r="C28" s="101">
        <f>MMap!V85</f>
        <v>1.1500895896984369</v>
      </c>
      <c r="D28" s="11">
        <v>7</v>
      </c>
      <c r="E28" s="102">
        <f>MMap!W85</f>
        <v>1.0278783931599689</v>
      </c>
      <c r="G28" t="s">
        <v>920</v>
      </c>
      <c r="O28" s="101">
        <f>MMap!X85</f>
        <v>0</v>
      </c>
      <c r="P28" s="262" t="s">
        <v>785</v>
      </c>
      <c r="Q28" s="100" t="s">
        <v>223</v>
      </c>
    </row>
    <row r="29" spans="1:17" ht="15">
      <c r="A29" s="42" t="str">
        <f>MMap!B86</f>
        <v>Commercial EM-New-Xlarge Ret</v>
      </c>
      <c r="B29" s="42" t="str">
        <f>MMap!C86</f>
        <v>Commercial EM-New-Xlarge Ret-ElecHt</v>
      </c>
      <c r="C29" s="101">
        <f>MMap!V86</f>
        <v>15.75055020199755</v>
      </c>
      <c r="D29" s="11">
        <v>7</v>
      </c>
      <c r="E29" s="102">
        <f>MMap!W86</f>
        <v>5.1222258805838328</v>
      </c>
      <c r="G29" t="s">
        <v>920</v>
      </c>
      <c r="O29" s="101">
        <f>MMap!X86</f>
        <v>0</v>
      </c>
      <c r="P29" s="262" t="s">
        <v>785</v>
      </c>
      <c r="Q29" s="100" t="s">
        <v>223</v>
      </c>
    </row>
    <row r="30" spans="1:17" ht="15">
      <c r="A30" s="42" t="str">
        <f>MMap!B87</f>
        <v>Commercial EM-New-Large Ret</v>
      </c>
      <c r="B30" s="42" t="str">
        <f>MMap!C87</f>
        <v>Commercial EM-New-Large Ret-ElecHt</v>
      </c>
      <c r="C30" s="101">
        <f>MMap!V87</f>
        <v>140.30503277268519</v>
      </c>
      <c r="D30" s="11">
        <v>7</v>
      </c>
      <c r="E30" s="102">
        <f>MMap!W87</f>
        <v>92.138721703076811</v>
      </c>
      <c r="G30" t="s">
        <v>920</v>
      </c>
      <c r="O30" s="101">
        <f>MMap!X87</f>
        <v>0</v>
      </c>
      <c r="P30" s="262" t="s">
        <v>785</v>
      </c>
      <c r="Q30" s="100" t="s">
        <v>223</v>
      </c>
    </row>
    <row r="31" spans="1:17" ht="15">
      <c r="A31" s="42" t="str">
        <f>MMap!B88</f>
        <v>Commercial EM-New-Medium Ret</v>
      </c>
      <c r="B31" s="42" t="str">
        <f>MMap!C88</f>
        <v>Commercial EM-New-Medium Ret-ElecHt</v>
      </c>
      <c r="C31" s="101">
        <f>MMap!V88</f>
        <v>18.297133556701819</v>
      </c>
      <c r="D31" s="11">
        <v>7</v>
      </c>
      <c r="E31" s="102">
        <f>MMap!W88</f>
        <v>8.6363423363338665</v>
      </c>
      <c r="G31" t="s">
        <v>920</v>
      </c>
      <c r="O31" s="101">
        <f>MMap!X88</f>
        <v>0</v>
      </c>
      <c r="P31" s="262" t="s">
        <v>785</v>
      </c>
      <c r="Q31" s="100" t="s">
        <v>223</v>
      </c>
    </row>
    <row r="32" spans="1:17" ht="15">
      <c r="A32" s="42" t="str">
        <f>MMap!B89</f>
        <v>Commercial EM-New-Small Ret</v>
      </c>
      <c r="B32" s="42" t="str">
        <f>MMap!C89</f>
        <v>Commercial EM-New-Small Ret-ElecHt</v>
      </c>
      <c r="C32" s="101">
        <f>MMap!V89</f>
        <v>25.041305312414298</v>
      </c>
      <c r="D32" s="11">
        <v>7</v>
      </c>
      <c r="E32" s="102">
        <f>MMap!W89</f>
        <v>5.0806752849348058</v>
      </c>
      <c r="G32" t="s">
        <v>920</v>
      </c>
      <c r="O32" s="101">
        <f>MMap!X89</f>
        <v>0</v>
      </c>
      <c r="P32" s="262" t="s">
        <v>785</v>
      </c>
      <c r="Q32" s="100" t="s">
        <v>223</v>
      </c>
    </row>
    <row r="33" spans="1:17" ht="15">
      <c r="A33" s="42" t="str">
        <f>MMap!B90</f>
        <v>Commercial EM-New-School K-12</v>
      </c>
      <c r="B33" s="42" t="str">
        <f>MMap!C90</f>
        <v>Commercial EM-New-School K-12-ElecHt</v>
      </c>
      <c r="C33" s="101">
        <f>MMap!V90</f>
        <v>37.645961112850877</v>
      </c>
      <c r="D33" s="11">
        <v>7</v>
      </c>
      <c r="E33" s="102">
        <f>MMap!W90</f>
        <v>18.342286160495224</v>
      </c>
      <c r="G33" t="s">
        <v>920</v>
      </c>
      <c r="O33" s="101">
        <f>MMap!X90</f>
        <v>0</v>
      </c>
      <c r="P33" s="262" t="s">
        <v>785</v>
      </c>
      <c r="Q33" s="100" t="s">
        <v>223</v>
      </c>
    </row>
    <row r="34" spans="1:17" ht="15">
      <c r="A34" s="42" t="str">
        <f>MMap!B91</f>
        <v>Commercial EM-New-University</v>
      </c>
      <c r="B34" s="42" t="str">
        <f>MMap!C91</f>
        <v>Commercial EM-New-University-ElecHt</v>
      </c>
      <c r="C34" s="101">
        <f>MMap!V91</f>
        <v>116.30039148317452</v>
      </c>
      <c r="D34" s="11">
        <v>7</v>
      </c>
      <c r="E34" s="102">
        <f>MMap!W91</f>
        <v>34.443539144322521</v>
      </c>
      <c r="G34" t="s">
        <v>920</v>
      </c>
      <c r="O34" s="101">
        <f>MMap!X91</f>
        <v>0</v>
      </c>
      <c r="P34" s="262" t="s">
        <v>785</v>
      </c>
      <c r="Q34" s="100" t="s">
        <v>223</v>
      </c>
    </row>
    <row r="35" spans="1:17" ht="15">
      <c r="A35" s="42" t="str">
        <f>MMap!B92</f>
        <v>Commercial EM-New-Warehouse</v>
      </c>
      <c r="B35" s="42" t="str">
        <f>MMap!C92</f>
        <v>Commercial EM-New-Warehouse-ElecHt</v>
      </c>
      <c r="C35" s="101">
        <f>MMap!V92</f>
        <v>13.846101212434363</v>
      </c>
      <c r="D35" s="11">
        <v>7</v>
      </c>
      <c r="E35" s="102">
        <f>MMap!W92</f>
        <v>7.6048661962234201</v>
      </c>
      <c r="G35" t="s">
        <v>920</v>
      </c>
      <c r="O35" s="101">
        <f>MMap!X92</f>
        <v>0</v>
      </c>
      <c r="P35" s="262" t="s">
        <v>785</v>
      </c>
      <c r="Q35" s="100" t="s">
        <v>223</v>
      </c>
    </row>
    <row r="36" spans="1:17" ht="15">
      <c r="A36" s="42" t="str">
        <f>MMap!B93</f>
        <v>Commercial EM-New-Supermarket</v>
      </c>
      <c r="B36" s="42" t="str">
        <f>MMap!C93</f>
        <v>Commercial EM-New-Supermarket-ElecHt</v>
      </c>
      <c r="C36" s="101">
        <f>MMap!V93</f>
        <v>1.5415616769331226</v>
      </c>
      <c r="D36" s="11">
        <v>7</v>
      </c>
      <c r="E36" s="102">
        <f>MMap!W93</f>
        <v>0.36764217624227424</v>
      </c>
      <c r="G36" t="s">
        <v>920</v>
      </c>
      <c r="O36" s="101">
        <f>MMap!X93</f>
        <v>0</v>
      </c>
      <c r="P36" s="262" t="s">
        <v>785</v>
      </c>
      <c r="Q36" s="100" t="s">
        <v>223</v>
      </c>
    </row>
    <row r="37" spans="1:17" ht="15">
      <c r="A37" s="42" t="str">
        <f>MMap!B94</f>
        <v>Commercial EM-New-MiniMart</v>
      </c>
      <c r="B37" s="42" t="str">
        <f>MMap!C94</f>
        <v>Commercial EM-New-MiniMart-ElecHt</v>
      </c>
      <c r="C37" s="101">
        <f>MMap!V94</f>
        <v>0</v>
      </c>
      <c r="D37" s="11">
        <v>7</v>
      </c>
      <c r="E37" s="102">
        <f>MMap!W94</f>
        <v>0</v>
      </c>
      <c r="G37" t="s">
        <v>920</v>
      </c>
      <c r="O37" s="101">
        <f>MMap!X94</f>
        <v>0</v>
      </c>
      <c r="P37" s="262" t="s">
        <v>785</v>
      </c>
      <c r="Q37" s="100" t="s">
        <v>223</v>
      </c>
    </row>
    <row r="38" spans="1:17" ht="15">
      <c r="A38" s="42" t="str">
        <f>MMap!B95</f>
        <v>Commercial EM-New-Restaurant</v>
      </c>
      <c r="B38" s="42" t="str">
        <f>MMap!C95</f>
        <v>Commercial EM-New-Restaurant-ElecHt</v>
      </c>
      <c r="C38" s="101">
        <f>MMap!V95</f>
        <v>2.4219877183927041</v>
      </c>
      <c r="D38" s="11">
        <v>7</v>
      </c>
      <c r="E38" s="102">
        <f>MMap!W95</f>
        <v>0.72439814184600282</v>
      </c>
      <c r="G38" t="s">
        <v>920</v>
      </c>
      <c r="O38" s="101">
        <f>MMap!X95</f>
        <v>0</v>
      </c>
      <c r="P38" s="262" t="s">
        <v>785</v>
      </c>
      <c r="Q38" s="100" t="s">
        <v>223</v>
      </c>
    </row>
    <row r="39" spans="1:17" ht="15">
      <c r="A39" s="42" t="str">
        <f>MMap!B96</f>
        <v>Commercial EM-New-Lodging</v>
      </c>
      <c r="B39" s="42" t="str">
        <f>MMap!C96</f>
        <v>Commercial EM-New-Lodging-ElecHt</v>
      </c>
      <c r="C39" s="101">
        <f>MMap!V96</f>
        <v>45.275888692644699</v>
      </c>
      <c r="D39" s="11">
        <v>7</v>
      </c>
      <c r="E39" s="102">
        <f>MMap!W96</f>
        <v>6.8385456879515418</v>
      </c>
      <c r="G39" t="s">
        <v>920</v>
      </c>
      <c r="O39" s="101">
        <f>MMap!X96</f>
        <v>0</v>
      </c>
      <c r="P39" s="262" t="s">
        <v>785</v>
      </c>
      <c r="Q39" s="100" t="s">
        <v>223</v>
      </c>
    </row>
    <row r="40" spans="1:17" ht="15">
      <c r="A40" s="42" t="str">
        <f>MMap!B97</f>
        <v>Commercial EM-New-Hospital</v>
      </c>
      <c r="B40" s="42" t="str">
        <f>MMap!C97</f>
        <v>Commercial EM-New-Hospital-ElecHt</v>
      </c>
      <c r="C40" s="101">
        <f>MMap!V97</f>
        <v>149.46050611354116</v>
      </c>
      <c r="D40" s="11">
        <v>7</v>
      </c>
      <c r="E40" s="102">
        <f>MMap!W97</f>
        <v>24.537786895905203</v>
      </c>
      <c r="G40" t="s">
        <v>920</v>
      </c>
      <c r="O40" s="101">
        <f>MMap!X97</f>
        <v>0</v>
      </c>
      <c r="P40" s="262" t="s">
        <v>785</v>
      </c>
      <c r="Q40" s="100" t="s">
        <v>223</v>
      </c>
    </row>
    <row r="41" spans="1:17" ht="15">
      <c r="A41" s="42" t="str">
        <f>MMap!B98</f>
        <v>Commercial EM-New-Residential Care</v>
      </c>
      <c r="B41" s="42" t="str">
        <f>MMap!C98</f>
        <v>Commercial EM-New-Residential Care-ElecHt</v>
      </c>
      <c r="C41" s="101">
        <f>MMap!V98</f>
        <v>0.61562132915667167</v>
      </c>
      <c r="D41" s="11">
        <v>7</v>
      </c>
      <c r="E41" s="102">
        <f>MMap!W98</f>
        <v>0.11921086101457987</v>
      </c>
      <c r="G41" t="s">
        <v>920</v>
      </c>
      <c r="O41" s="101">
        <f>MMap!X98</f>
        <v>0</v>
      </c>
      <c r="P41" s="262" t="s">
        <v>785</v>
      </c>
      <c r="Q41" s="100" t="s">
        <v>223</v>
      </c>
    </row>
    <row r="42" spans="1:17" ht="15">
      <c r="A42" s="42" t="str">
        <f>MMap!B99</f>
        <v>Commercial EM-New-Assembly</v>
      </c>
      <c r="B42" s="42" t="str">
        <f>MMap!C99</f>
        <v>Commercial EM-New-Assembly-ElecHt</v>
      </c>
      <c r="C42" s="101">
        <f>MMap!V99</f>
        <v>0.80272840444429938</v>
      </c>
      <c r="D42" s="11">
        <v>7</v>
      </c>
      <c r="E42" s="102">
        <f>MMap!W99</f>
        <v>0.23721933147640642</v>
      </c>
      <c r="G42" t="s">
        <v>920</v>
      </c>
      <c r="O42" s="101">
        <f>MMap!X99</f>
        <v>0</v>
      </c>
      <c r="P42" s="262" t="s">
        <v>785</v>
      </c>
      <c r="Q42" s="100" t="s">
        <v>223</v>
      </c>
    </row>
    <row r="43" spans="1:17" ht="15">
      <c r="A43" s="42" t="str">
        <f>MMap!B100</f>
        <v>Commercial EM-New-Other</v>
      </c>
      <c r="B43" s="42" t="str">
        <f>MMap!C100</f>
        <v>Commercial EM-New-Other-ElecHt</v>
      </c>
      <c r="C43" s="101">
        <f>MMap!V100</f>
        <v>40.921313429450663</v>
      </c>
      <c r="D43" s="11">
        <v>7</v>
      </c>
      <c r="E43" s="102">
        <f>MMap!W100</f>
        <v>12.092915313730328</v>
      </c>
      <c r="G43" t="s">
        <v>920</v>
      </c>
      <c r="O43" s="101">
        <f>MMap!X100</f>
        <v>0</v>
      </c>
      <c r="P43" s="262" t="s">
        <v>785</v>
      </c>
      <c r="Q43" s="100" t="s">
        <v>223</v>
      </c>
    </row>
    <row r="44" spans="1:17" ht="15">
      <c r="A44" s="42" t="str">
        <f>MMap!B101</f>
        <v>Commercial EM-New-Large Off</v>
      </c>
      <c r="B44" s="42" t="str">
        <f>MMap!C101</f>
        <v>Commercial EM-New-Large Off-HtPmpHt</v>
      </c>
      <c r="C44" s="101">
        <f>MMap!V101</f>
        <v>93.006897915549672</v>
      </c>
      <c r="D44" s="11">
        <v>7</v>
      </c>
      <c r="E44" s="102">
        <f>MMap!W101</f>
        <v>20.794613791768153</v>
      </c>
      <c r="G44" t="s">
        <v>920</v>
      </c>
      <c r="O44" s="101">
        <f>MMap!X101</f>
        <v>0</v>
      </c>
      <c r="P44" s="262" t="s">
        <v>785</v>
      </c>
      <c r="Q44" s="100" t="s">
        <v>223</v>
      </c>
    </row>
    <row r="45" spans="1:17" ht="15">
      <c r="A45" s="42" t="str">
        <f>MMap!B102</f>
        <v>Commercial EM-New-Medium Off</v>
      </c>
      <c r="B45" s="42" t="str">
        <f>MMap!C102</f>
        <v>Commercial EM-New-Medium Off-HtPmpHt</v>
      </c>
      <c r="C45" s="101">
        <f>MMap!V102</f>
        <v>3.179896730360968</v>
      </c>
      <c r="D45" s="11">
        <v>7</v>
      </c>
      <c r="E45" s="102">
        <f>MMap!W102</f>
        <v>1.0341320856063256</v>
      </c>
      <c r="G45" t="s">
        <v>920</v>
      </c>
      <c r="O45" s="101">
        <f>MMap!X102</f>
        <v>0</v>
      </c>
      <c r="P45" s="262" t="s">
        <v>785</v>
      </c>
      <c r="Q45" s="100" t="s">
        <v>223</v>
      </c>
    </row>
    <row r="46" spans="1:17" ht="15">
      <c r="A46" s="42" t="str">
        <f>MMap!B103</f>
        <v>Commercial EM-New-Small Off</v>
      </c>
      <c r="B46" s="42" t="str">
        <f>MMap!C103</f>
        <v>Commercial EM-New-Small Off-HtPmpHt</v>
      </c>
      <c r="C46" s="101">
        <f>MMap!V103</f>
        <v>5.0258007131708915</v>
      </c>
      <c r="D46" s="11">
        <v>7</v>
      </c>
      <c r="E46" s="102">
        <f>MMap!W103</f>
        <v>4.4917474322594879</v>
      </c>
      <c r="G46" t="s">
        <v>920</v>
      </c>
      <c r="O46" s="101">
        <f>MMap!X103</f>
        <v>0</v>
      </c>
      <c r="P46" s="262" t="s">
        <v>785</v>
      </c>
      <c r="Q46" s="100" t="s">
        <v>223</v>
      </c>
    </row>
    <row r="47" spans="1:17" ht="15">
      <c r="A47" s="42" t="str">
        <f>MMap!B104</f>
        <v>Commercial EM-New-Xlarge Ret</v>
      </c>
      <c r="B47" s="42" t="str">
        <f>MMap!C104</f>
        <v>Commercial EM-New-Xlarge Ret-HtPmpHt</v>
      </c>
      <c r="C47" s="101">
        <f>MMap!V104</f>
        <v>5.2953027958176939</v>
      </c>
      <c r="D47" s="11">
        <v>7</v>
      </c>
      <c r="E47" s="102">
        <f>MMap!W104</f>
        <v>1.7220818751350906</v>
      </c>
      <c r="G47" t="s">
        <v>920</v>
      </c>
      <c r="O47" s="101">
        <f>MMap!X104</f>
        <v>0</v>
      </c>
      <c r="P47" s="262" t="s">
        <v>785</v>
      </c>
      <c r="Q47" s="100" t="s">
        <v>223</v>
      </c>
    </row>
    <row r="48" spans="1:17" ht="15">
      <c r="A48" s="42" t="str">
        <f>MMap!B105</f>
        <v>Commercial EM-New-Large Ret</v>
      </c>
      <c r="B48" s="42" t="str">
        <f>MMap!C105</f>
        <v>Commercial EM-New-Large Ret-HtPmpHt</v>
      </c>
      <c r="C48" s="101">
        <f>MMap!V105</f>
        <v>32.672017300215153</v>
      </c>
      <c r="D48" s="11">
        <v>7</v>
      </c>
      <c r="E48" s="102">
        <f>MMap!W105</f>
        <v>21.455808462550717</v>
      </c>
      <c r="G48" t="s">
        <v>920</v>
      </c>
      <c r="O48" s="101">
        <f>MMap!X105</f>
        <v>0</v>
      </c>
      <c r="P48" s="262" t="s">
        <v>785</v>
      </c>
      <c r="Q48" s="100" t="s">
        <v>223</v>
      </c>
    </row>
    <row r="49" spans="1:131" ht="15">
      <c r="A49" s="42" t="str">
        <f>MMap!B106</f>
        <v>Commercial EM-New-Medium Ret</v>
      </c>
      <c r="B49" s="42" t="str">
        <f>MMap!C106</f>
        <v>Commercial EM-New-Medium Ret-HtPmpHt</v>
      </c>
      <c r="C49" s="101">
        <f>MMap!V106</f>
        <v>0.4618486787458505</v>
      </c>
      <c r="D49" s="11">
        <v>7</v>
      </c>
      <c r="E49" s="102">
        <f>MMap!W106</f>
        <v>0.21799498182990992</v>
      </c>
      <c r="G49" t="s">
        <v>920</v>
      </c>
      <c r="O49" s="101">
        <f>MMap!X106</f>
        <v>0</v>
      </c>
      <c r="P49" s="262" t="s">
        <v>785</v>
      </c>
      <c r="Q49" s="100" t="s">
        <v>223</v>
      </c>
    </row>
    <row r="50" spans="1:131" ht="15">
      <c r="A50" s="42" t="str">
        <f>MMap!B107</f>
        <v>Commercial EM-New-Small Ret</v>
      </c>
      <c r="B50" s="42" t="str">
        <f>MMap!C107</f>
        <v>Commercial EM-New-Small Ret-HtPmpHt</v>
      </c>
      <c r="C50" s="101">
        <f>MMap!V107</f>
        <v>44.30311207245132</v>
      </c>
      <c r="D50" s="11">
        <v>7</v>
      </c>
      <c r="E50" s="102">
        <f>MMap!W107</f>
        <v>8.9887377572370948</v>
      </c>
      <c r="G50" t="s">
        <v>920</v>
      </c>
      <c r="O50" s="101">
        <f>MMap!X107</f>
        <v>0</v>
      </c>
      <c r="P50" s="262" t="s">
        <v>785</v>
      </c>
      <c r="Q50" s="100" t="s">
        <v>223</v>
      </c>
    </row>
    <row r="51" spans="1:131" ht="15">
      <c r="A51" s="42" t="str">
        <f>MMap!B108</f>
        <v>Commercial EM-New-School K-12</v>
      </c>
      <c r="B51" s="42" t="str">
        <f>MMap!C108</f>
        <v>Commercial EM-New-School K-12-HtPmpHt</v>
      </c>
      <c r="C51" s="101">
        <f>MMap!V108</f>
        <v>41.592767023946827</v>
      </c>
      <c r="D51" s="11">
        <v>7</v>
      </c>
      <c r="E51" s="102">
        <f>MMap!W108</f>
        <v>20.265293072823557</v>
      </c>
      <c r="G51" t="s">
        <v>920</v>
      </c>
      <c r="O51" s="101">
        <f>MMap!X108</f>
        <v>0</v>
      </c>
      <c r="P51" s="262" t="s">
        <v>785</v>
      </c>
      <c r="Q51" s="100" t="s">
        <v>223</v>
      </c>
    </row>
    <row r="52" spans="1:131" ht="15">
      <c r="A52" s="42" t="str">
        <f>MMap!B109</f>
        <v>Commercial EM-New-University</v>
      </c>
      <c r="B52" s="42" t="str">
        <f>MMap!C109</f>
        <v>Commercial EM-New-University-HtPmpHt</v>
      </c>
      <c r="C52" s="101">
        <f>MMap!V109</f>
        <v>81.087448880900922</v>
      </c>
      <c r="D52" s="11">
        <v>7</v>
      </c>
      <c r="E52" s="102">
        <f>MMap!W109</f>
        <v>24.014869460234138</v>
      </c>
      <c r="G52" t="s">
        <v>920</v>
      </c>
      <c r="O52" s="101">
        <f>MMap!X109</f>
        <v>0</v>
      </c>
      <c r="P52" s="262" t="s">
        <v>785</v>
      </c>
      <c r="Q52" s="100" t="s">
        <v>223</v>
      </c>
    </row>
    <row r="53" spans="1:131" ht="15">
      <c r="A53" s="42" t="str">
        <f>MMap!B110</f>
        <v>Commercial EM-New-Warehouse</v>
      </c>
      <c r="B53" s="42" t="str">
        <f>MMap!C110</f>
        <v>Commercial EM-New-Warehouse-HtPmpHt</v>
      </c>
      <c r="C53" s="101">
        <f>MMap!V110</f>
        <v>4.6550309367656109</v>
      </c>
      <c r="D53" s="11">
        <v>7</v>
      </c>
      <c r="E53" s="102">
        <f>MMap!W110</f>
        <v>2.5567404766326276</v>
      </c>
      <c r="G53" t="s">
        <v>920</v>
      </c>
      <c r="O53" s="101">
        <f>MMap!X110</f>
        <v>0</v>
      </c>
      <c r="P53" s="262" t="s">
        <v>785</v>
      </c>
      <c r="Q53" s="100" t="s">
        <v>223</v>
      </c>
    </row>
    <row r="54" spans="1:131" ht="15">
      <c r="A54" s="42" t="str">
        <f>MMap!B111</f>
        <v>Commercial EM-New-Supermarket</v>
      </c>
      <c r="B54" s="42" t="str">
        <f>MMap!C111</f>
        <v>Commercial EM-New-Supermarket-HtPmpHt</v>
      </c>
      <c r="C54" s="101">
        <f>MMap!V111</f>
        <v>10.03095209836478</v>
      </c>
      <c r="D54" s="11">
        <v>7</v>
      </c>
      <c r="E54" s="102">
        <f>MMap!W111</f>
        <v>2.3922500892481793</v>
      </c>
      <c r="G54" t="s">
        <v>920</v>
      </c>
      <c r="O54" s="101">
        <f>MMap!X111</f>
        <v>0</v>
      </c>
      <c r="P54" s="262" t="s">
        <v>785</v>
      </c>
      <c r="Q54" s="100" t="s">
        <v>223</v>
      </c>
    </row>
    <row r="55" spans="1:131" ht="15">
      <c r="A55" s="42" t="str">
        <f>MMap!B112</f>
        <v>Commercial EM-New-MiniMart</v>
      </c>
      <c r="B55" s="42" t="str">
        <f>MMap!C112</f>
        <v>Commercial EM-New-MiniMart-HtPmpHt</v>
      </c>
      <c r="C55" s="101">
        <f>MMap!V112</f>
        <v>0</v>
      </c>
      <c r="D55" s="11">
        <v>7</v>
      </c>
      <c r="E55" s="102">
        <f>MMap!W112</f>
        <v>0</v>
      </c>
      <c r="G55" t="s">
        <v>920</v>
      </c>
      <c r="O55" s="101">
        <f>MMap!X112</f>
        <v>0</v>
      </c>
      <c r="P55" s="262" t="s">
        <v>785</v>
      </c>
      <c r="Q55" s="100" t="s">
        <v>223</v>
      </c>
    </row>
    <row r="56" spans="1:131" ht="15">
      <c r="A56" s="42" t="str">
        <f>MMap!B113</f>
        <v>Commercial EM-New-Restaurant</v>
      </c>
      <c r="B56" s="42" t="str">
        <f>MMap!C113</f>
        <v>Commercial EM-New-Restaurant-HtPmpHt</v>
      </c>
      <c r="C56" s="101">
        <f>MMap!V113</f>
        <v>2.6810742116914437</v>
      </c>
      <c r="D56" s="11">
        <v>7</v>
      </c>
      <c r="E56" s="102">
        <f>MMap!W113</f>
        <v>0.80188894532850541</v>
      </c>
      <c r="G56" t="s">
        <v>920</v>
      </c>
      <c r="O56" s="101">
        <f>MMap!X113</f>
        <v>0</v>
      </c>
      <c r="P56" s="262" t="s">
        <v>785</v>
      </c>
      <c r="Q56" s="100" t="s">
        <v>223</v>
      </c>
    </row>
    <row r="57" spans="1:131" ht="15">
      <c r="A57" s="42" t="str">
        <f>MMap!B114</f>
        <v>Commercial EM-New-Lodging</v>
      </c>
      <c r="B57" s="42" t="str">
        <f>MMap!C114</f>
        <v>Commercial EM-New-Lodging-HtPmpHt</v>
      </c>
      <c r="C57" s="101">
        <f>MMap!V114</f>
        <v>12.346479205825418</v>
      </c>
      <c r="D57" s="11">
        <v>7</v>
      </c>
      <c r="E57" s="102">
        <f>MMap!W114</f>
        <v>2.397642167202704</v>
      </c>
      <c r="G57" t="s">
        <v>920</v>
      </c>
      <c r="O57" s="101">
        <f>MMap!X114</f>
        <v>0</v>
      </c>
      <c r="P57" s="262" t="s">
        <v>785</v>
      </c>
      <c r="Q57" s="100" t="s">
        <v>223</v>
      </c>
    </row>
    <row r="58" spans="1:131" ht="15">
      <c r="A58" s="42" t="str">
        <f>MMap!B115</f>
        <v>Commercial EM-New-Hospital</v>
      </c>
      <c r="B58" s="42" t="str">
        <f>MMap!C115</f>
        <v>Commercial EM-New-Hospital-HtPmpHt</v>
      </c>
      <c r="C58" s="101">
        <f>MMap!V115</f>
        <v>224.60759589851159</v>
      </c>
      <c r="D58" s="11">
        <v>7</v>
      </c>
      <c r="E58" s="102">
        <f>MMap!W115</f>
        <v>36.875114815765613</v>
      </c>
      <c r="G58" t="s">
        <v>920</v>
      </c>
      <c r="O58" s="101">
        <f>MMap!X115</f>
        <v>0</v>
      </c>
      <c r="P58" s="262" t="s">
        <v>785</v>
      </c>
      <c r="Q58" s="100" t="s">
        <v>223</v>
      </c>
    </row>
    <row r="59" spans="1:131" ht="15">
      <c r="A59" s="42" t="str">
        <f>MMap!B116</f>
        <v>Commercial EM-New-Residential Care</v>
      </c>
      <c r="B59" s="42" t="str">
        <f>MMap!C116</f>
        <v>Commercial EM-New-Residential Care-HtPmpHt</v>
      </c>
      <c r="C59" s="101">
        <f>MMap!V116</f>
        <v>0.94779331410926215</v>
      </c>
      <c r="D59" s="11">
        <v>7</v>
      </c>
      <c r="E59" s="102">
        <f>MMap!W116</f>
        <v>0.18353369463921343</v>
      </c>
      <c r="G59" t="s">
        <v>920</v>
      </c>
      <c r="O59" s="101">
        <f>MMap!X116</f>
        <v>0</v>
      </c>
      <c r="P59" s="262" t="s">
        <v>785</v>
      </c>
      <c r="Q59" s="100" t="s">
        <v>223</v>
      </c>
    </row>
    <row r="60" spans="1:131" ht="15">
      <c r="A60" s="42" t="str">
        <f>MMap!B117</f>
        <v>Commercial EM-New-Assembly</v>
      </c>
      <c r="B60" s="42" t="str">
        <f>MMap!C117</f>
        <v>Commercial EM-New-Assembly-HtPmpHt</v>
      </c>
      <c r="C60" s="101">
        <f>MMap!V117</f>
        <v>1.2358581139807756</v>
      </c>
      <c r="D60" s="11">
        <v>7</v>
      </c>
      <c r="E60" s="102">
        <f>MMap!W117</f>
        <v>0.3652162225418733</v>
      </c>
      <c r="G60" t="s">
        <v>920</v>
      </c>
      <c r="O60" s="101">
        <f>MMap!X117</f>
        <v>0</v>
      </c>
      <c r="P60" s="262" t="s">
        <v>785</v>
      </c>
      <c r="Q60" s="100" t="s">
        <v>223</v>
      </c>
    </row>
    <row r="61" spans="1:131" ht="15">
      <c r="A61" s="42" t="str">
        <f>MMap!B118</f>
        <v>Commercial EM-New-Other</v>
      </c>
      <c r="B61" s="42" t="str">
        <f>MMap!C118</f>
        <v>Commercial EM-New-Other-HtPmpHt</v>
      </c>
      <c r="C61" s="101">
        <f>MMap!V118</f>
        <v>13.848477366054594</v>
      </c>
      <c r="D61" s="11">
        <v>7</v>
      </c>
      <c r="E61" s="102">
        <f>MMap!W118</f>
        <v>4.0924508520609715</v>
      </c>
      <c r="G61" t="s">
        <v>920</v>
      </c>
      <c r="O61" s="101">
        <f>MMap!X118</f>
        <v>0</v>
      </c>
      <c r="P61" s="262" t="s">
        <v>785</v>
      </c>
      <c r="Q61" s="100" t="s">
        <v>223</v>
      </c>
    </row>
    <row r="64" spans="1:13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row>
    <row r="65" spans="1:131">
      <c r="A65" s="220" t="s">
        <v>579</v>
      </c>
      <c r="B65" s="221"/>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row>
    <row r="66" spans="1:131">
      <c r="A66" s="18" t="s">
        <v>580</v>
      </c>
      <c r="B66" s="18" t="s">
        <v>581</v>
      </c>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row>
    <row r="67" spans="1:131">
      <c r="A67" s="18" t="s">
        <v>582</v>
      </c>
      <c r="B67" s="18" t="s">
        <v>992</v>
      </c>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row>
    <row r="68" spans="1:13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row>
    <row r="69" spans="1:131" ht="13.5" thickBot="1">
      <c r="A69" s="222" t="s">
        <v>583</v>
      </c>
      <c r="B69" s="223"/>
      <c r="C69" s="223"/>
      <c r="D69" s="223"/>
      <c r="E69" s="223"/>
      <c r="F69" s="223"/>
      <c r="G69" s="223"/>
      <c r="H69" s="223"/>
      <c r="I69" s="223"/>
      <c r="J69" s="223"/>
      <c r="K69" s="223"/>
      <c r="L69" s="223"/>
      <c r="M69" s="223"/>
      <c r="N69" s="223"/>
      <c r="O69" s="223"/>
      <c r="P69" s="223"/>
      <c r="Q69" s="223"/>
      <c r="R69" s="223"/>
      <c r="S69" s="223"/>
      <c r="T69" s="223"/>
      <c r="U69" s="223"/>
      <c r="V69" s="223"/>
      <c r="W69" s="223"/>
      <c r="X69" s="223"/>
      <c r="Y69" s="223"/>
      <c r="Z69" s="223"/>
      <c r="AA69" s="223"/>
      <c r="AB69" s="223"/>
      <c r="AC69" s="223"/>
      <c r="AD69" s="223"/>
      <c r="AE69" s="223"/>
      <c r="AF69" s="223"/>
      <c r="AG69" s="223"/>
      <c r="AH69" s="223"/>
      <c r="AI69" s="224"/>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row>
    <row r="70" spans="1:131">
      <c r="A70" s="18"/>
      <c r="B70" s="225" t="s">
        <v>584</v>
      </c>
      <c r="C70" s="226"/>
      <c r="D70" s="226" t="s">
        <v>584</v>
      </c>
      <c r="E70" s="227"/>
      <c r="F70" s="18"/>
      <c r="G70" s="225" t="s">
        <v>585</v>
      </c>
      <c r="H70" s="226"/>
      <c r="I70" s="226"/>
      <c r="J70" s="226"/>
      <c r="K70" s="226"/>
      <c r="L70" s="226"/>
      <c r="M70" s="226"/>
      <c r="N70" s="226"/>
      <c r="O70" s="227"/>
      <c r="P70" s="18"/>
      <c r="Q70" s="225" t="s">
        <v>586</v>
      </c>
      <c r="R70" s="226"/>
      <c r="S70" s="226"/>
      <c r="T70" s="226"/>
      <c r="U70" s="227"/>
      <c r="V70" s="18"/>
      <c r="W70" s="225" t="s">
        <v>587</v>
      </c>
      <c r="X70" s="227"/>
      <c r="Y70" s="18"/>
      <c r="Z70" s="225" t="s">
        <v>588</v>
      </c>
      <c r="AA70" s="226"/>
      <c r="AB70" s="227"/>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row>
    <row r="71" spans="1:131">
      <c r="A71" s="18"/>
      <c r="B71" s="228" t="s">
        <v>589</v>
      </c>
      <c r="C71" s="229" t="s">
        <v>590</v>
      </c>
      <c r="D71" s="229" t="s">
        <v>589</v>
      </c>
      <c r="E71" s="230" t="s">
        <v>590</v>
      </c>
      <c r="F71" s="18"/>
      <c r="G71" s="228" t="s">
        <v>591</v>
      </c>
      <c r="H71" s="229" t="s">
        <v>973</v>
      </c>
      <c r="I71" s="229"/>
      <c r="J71" s="229"/>
      <c r="K71" s="229" t="s">
        <v>592</v>
      </c>
      <c r="L71" s="229"/>
      <c r="M71" s="229"/>
      <c r="N71" s="229"/>
      <c r="O71" s="230"/>
      <c r="P71" s="18"/>
      <c r="Q71" s="228"/>
      <c r="R71" s="229" t="s">
        <v>593</v>
      </c>
      <c r="S71" s="229" t="s">
        <v>594</v>
      </c>
      <c r="T71" s="229" t="s">
        <v>595</v>
      </c>
      <c r="U71" s="230" t="s">
        <v>596</v>
      </c>
      <c r="V71" s="18"/>
      <c r="W71" s="228" t="s">
        <v>597</v>
      </c>
      <c r="X71" s="230">
        <v>20</v>
      </c>
      <c r="Y71" s="18"/>
      <c r="Z71" s="228"/>
      <c r="AA71" s="229" t="s">
        <v>590</v>
      </c>
      <c r="AB71" s="230" t="s">
        <v>598</v>
      </c>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row>
    <row r="72" spans="1:131">
      <c r="A72" s="18"/>
      <c r="B72" s="228" t="s">
        <v>599</v>
      </c>
      <c r="C72" s="229" t="s">
        <v>600</v>
      </c>
      <c r="D72" s="229" t="s">
        <v>599</v>
      </c>
      <c r="E72" s="230" t="s">
        <v>600</v>
      </c>
      <c r="F72" s="18"/>
      <c r="G72" s="228" t="s">
        <v>601</v>
      </c>
      <c r="H72" s="229" t="s">
        <v>602</v>
      </c>
      <c r="I72" s="229"/>
      <c r="J72" s="229"/>
      <c r="K72" s="229" t="s">
        <v>603</v>
      </c>
      <c r="L72" s="229"/>
      <c r="M72" s="229"/>
      <c r="N72" s="229"/>
      <c r="O72" s="230"/>
      <c r="P72" s="18"/>
      <c r="Q72" s="228" t="s">
        <v>604</v>
      </c>
      <c r="R72" s="229">
        <v>6.8012888465852586E-2</v>
      </c>
      <c r="S72" s="229">
        <v>4.387844424080023E-2</v>
      </c>
      <c r="T72" s="229">
        <v>5.3289007766645871E-2</v>
      </c>
      <c r="U72" s="230">
        <v>5.447903102274565E-2</v>
      </c>
      <c r="V72" s="18"/>
      <c r="W72" s="228" t="s">
        <v>605</v>
      </c>
      <c r="X72" s="230">
        <v>2016</v>
      </c>
      <c r="Y72" s="18"/>
      <c r="Z72" s="228" t="s">
        <v>606</v>
      </c>
      <c r="AA72" s="229">
        <v>4.03890184699085E-3</v>
      </c>
      <c r="AB72" s="230">
        <v>0.01</v>
      </c>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row>
    <row r="73" spans="1:131">
      <c r="A73" s="18"/>
      <c r="B73" s="228" t="s">
        <v>607</v>
      </c>
      <c r="C73" s="229" t="s">
        <v>608</v>
      </c>
      <c r="D73" s="229" t="s">
        <v>607</v>
      </c>
      <c r="E73" s="230" t="s">
        <v>608</v>
      </c>
      <c r="F73" s="18"/>
      <c r="G73" s="228" t="s">
        <v>609</v>
      </c>
      <c r="H73" s="229" t="s">
        <v>610</v>
      </c>
      <c r="I73" s="229"/>
      <c r="J73" s="229"/>
      <c r="K73" s="229" t="s">
        <v>611</v>
      </c>
      <c r="L73" s="229"/>
      <c r="M73" s="229"/>
      <c r="N73" s="229"/>
      <c r="O73" s="230"/>
      <c r="P73" s="18"/>
      <c r="Q73" s="228" t="s">
        <v>612</v>
      </c>
      <c r="R73" s="229">
        <v>12</v>
      </c>
      <c r="S73" s="229">
        <v>12</v>
      </c>
      <c r="T73" s="229">
        <v>1</v>
      </c>
      <c r="U73" s="230">
        <v>1</v>
      </c>
      <c r="V73" s="18"/>
      <c r="W73" s="228" t="s">
        <v>613</v>
      </c>
      <c r="X73" s="230">
        <v>2016</v>
      </c>
      <c r="Y73" s="18"/>
      <c r="Z73" s="228" t="s">
        <v>614</v>
      </c>
      <c r="AA73" s="229">
        <v>26</v>
      </c>
      <c r="AB73" s="230">
        <v>0</v>
      </c>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row>
    <row r="74" spans="1:131" ht="13.5" thickBot="1">
      <c r="A74" s="18"/>
      <c r="B74" s="231" t="s">
        <v>615</v>
      </c>
      <c r="C74" s="232" t="s">
        <v>608</v>
      </c>
      <c r="D74" s="232" t="s">
        <v>615</v>
      </c>
      <c r="E74" s="233" t="s">
        <v>608</v>
      </c>
      <c r="F74" s="18"/>
      <c r="G74" s="228" t="s">
        <v>616</v>
      </c>
      <c r="H74" s="229" t="s">
        <v>617</v>
      </c>
      <c r="I74" s="229"/>
      <c r="J74" s="229"/>
      <c r="K74" s="229" t="s">
        <v>603</v>
      </c>
      <c r="L74" s="229"/>
      <c r="M74" s="229"/>
      <c r="N74" s="229"/>
      <c r="O74" s="230"/>
      <c r="P74" s="18"/>
      <c r="Q74" s="228"/>
      <c r="R74" s="229" t="s">
        <v>593</v>
      </c>
      <c r="S74" s="229" t="s">
        <v>594</v>
      </c>
      <c r="T74" s="229" t="s">
        <v>595</v>
      </c>
      <c r="U74" s="230" t="s">
        <v>596</v>
      </c>
      <c r="V74" s="18"/>
      <c r="W74" s="228" t="s">
        <v>618</v>
      </c>
      <c r="X74" s="230">
        <v>2012</v>
      </c>
      <c r="Y74" s="18"/>
      <c r="Z74" s="228" t="s">
        <v>619</v>
      </c>
      <c r="AA74" s="229">
        <v>0.9</v>
      </c>
      <c r="AB74" s="230" t="s">
        <v>620</v>
      </c>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row>
    <row r="75" spans="1:131">
      <c r="A75" s="18"/>
      <c r="B75" s="18"/>
      <c r="C75" s="18"/>
      <c r="D75" s="18"/>
      <c r="E75" s="18"/>
      <c r="F75" s="18"/>
      <c r="G75" s="228" t="s">
        <v>621</v>
      </c>
      <c r="H75" s="229" t="s">
        <v>610</v>
      </c>
      <c r="I75" s="229"/>
      <c r="J75" s="229"/>
      <c r="K75" s="229"/>
      <c r="L75" s="229"/>
      <c r="M75" s="229"/>
      <c r="N75" s="229"/>
      <c r="O75" s="230"/>
      <c r="P75" s="18"/>
      <c r="Q75" s="228" t="s">
        <v>622</v>
      </c>
      <c r="R75" s="229">
        <v>0.35</v>
      </c>
      <c r="S75" s="229">
        <v>0.19500000000000001</v>
      </c>
      <c r="T75" s="229">
        <v>0.45499999999999996</v>
      </c>
      <c r="U75" s="230">
        <v>0</v>
      </c>
      <c r="V75" s="18"/>
      <c r="W75" s="228" t="s">
        <v>623</v>
      </c>
      <c r="X75" s="230">
        <v>0.04</v>
      </c>
      <c r="Y75" s="18"/>
      <c r="Z75" s="228" t="s">
        <v>624</v>
      </c>
      <c r="AA75" s="229">
        <v>4.7399348199455904E-2</v>
      </c>
      <c r="AB75" s="230">
        <v>0</v>
      </c>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row>
    <row r="76" spans="1:131">
      <c r="A76" s="18"/>
      <c r="B76" s="18" t="s">
        <v>625</v>
      </c>
      <c r="C76" s="18" t="s">
        <v>590</v>
      </c>
      <c r="D76" s="18"/>
      <c r="E76" s="18"/>
      <c r="F76" s="18"/>
      <c r="G76" s="228" t="s">
        <v>626</v>
      </c>
      <c r="H76" s="229" t="s">
        <v>627</v>
      </c>
      <c r="I76" s="229"/>
      <c r="J76" s="229"/>
      <c r="K76" s="229" t="s">
        <v>628</v>
      </c>
      <c r="L76" s="229"/>
      <c r="M76" s="229"/>
      <c r="N76" s="229"/>
      <c r="O76" s="230"/>
      <c r="P76" s="18"/>
      <c r="Q76" s="228" t="s">
        <v>629</v>
      </c>
      <c r="R76" s="229">
        <v>1</v>
      </c>
      <c r="S76" s="229">
        <v>0</v>
      </c>
      <c r="T76" s="229">
        <v>0</v>
      </c>
      <c r="U76" s="230">
        <v>0</v>
      </c>
      <c r="V76" s="18"/>
      <c r="W76" s="228" t="s">
        <v>630</v>
      </c>
      <c r="X76" s="230">
        <v>0</v>
      </c>
      <c r="Y76" s="18"/>
      <c r="Z76" s="228" t="s">
        <v>631</v>
      </c>
      <c r="AA76" s="229">
        <v>31</v>
      </c>
      <c r="AB76" s="230">
        <v>0</v>
      </c>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row>
    <row r="77" spans="1:131">
      <c r="A77" s="18"/>
      <c r="B77" s="18" t="s">
        <v>632</v>
      </c>
      <c r="C77" s="18" t="s">
        <v>633</v>
      </c>
      <c r="D77" s="18"/>
      <c r="E77" s="18"/>
      <c r="F77" s="18"/>
      <c r="G77" s="228" t="s">
        <v>634</v>
      </c>
      <c r="H77" s="229" t="s">
        <v>628</v>
      </c>
      <c r="I77" s="229"/>
      <c r="J77" s="229"/>
      <c r="K77" s="229" t="s">
        <v>635</v>
      </c>
      <c r="L77" s="229"/>
      <c r="M77" s="229"/>
      <c r="N77" s="229"/>
      <c r="O77" s="230"/>
      <c r="P77" s="18"/>
      <c r="Q77" s="228" t="s">
        <v>636</v>
      </c>
      <c r="R77" s="229">
        <v>1</v>
      </c>
      <c r="S77" s="229">
        <v>0</v>
      </c>
      <c r="T77" s="229">
        <v>0</v>
      </c>
      <c r="U77" s="230">
        <v>0</v>
      </c>
      <c r="V77" s="18"/>
      <c r="W77" s="228" t="s">
        <v>637</v>
      </c>
      <c r="X77" s="230">
        <v>0.2</v>
      </c>
      <c r="Y77" s="18"/>
      <c r="Z77" s="228" t="s">
        <v>638</v>
      </c>
      <c r="AA77" s="229">
        <v>0.7</v>
      </c>
      <c r="AB77" s="230" t="s">
        <v>620</v>
      </c>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row>
    <row r="78" spans="1:131">
      <c r="A78" s="18"/>
      <c r="B78" s="18" t="s">
        <v>639</v>
      </c>
      <c r="C78" s="18" t="s">
        <v>640</v>
      </c>
      <c r="D78" s="18"/>
      <c r="E78" s="18"/>
      <c r="F78" s="18"/>
      <c r="G78" s="228" t="s">
        <v>641</v>
      </c>
      <c r="H78" s="229" t="s">
        <v>635</v>
      </c>
      <c r="I78" s="229"/>
      <c r="J78" s="229"/>
      <c r="K78" s="229" t="s">
        <v>642</v>
      </c>
      <c r="L78" s="229"/>
      <c r="M78" s="229"/>
      <c r="N78" s="229"/>
      <c r="O78" s="230"/>
      <c r="P78" s="18"/>
      <c r="Q78" s="228" t="s">
        <v>643</v>
      </c>
      <c r="R78" s="229"/>
      <c r="S78" s="229">
        <v>0.3</v>
      </c>
      <c r="T78" s="229">
        <v>0.7</v>
      </c>
      <c r="U78" s="230">
        <v>0</v>
      </c>
      <c r="V78" s="18"/>
      <c r="W78" s="228" t="s">
        <v>644</v>
      </c>
      <c r="X78" s="230">
        <v>0</v>
      </c>
      <c r="Y78" s="18"/>
      <c r="Z78" s="228" t="s">
        <v>645</v>
      </c>
      <c r="AA78" s="229">
        <v>0</v>
      </c>
      <c r="AB78" s="230">
        <v>0</v>
      </c>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row>
    <row r="79" spans="1:131" ht="13.5" thickBot="1">
      <c r="A79" s="18"/>
      <c r="B79" s="18" t="s">
        <v>646</v>
      </c>
      <c r="C79" s="18" t="s">
        <v>647</v>
      </c>
      <c r="D79" s="18"/>
      <c r="E79" s="18"/>
      <c r="F79" s="18"/>
      <c r="G79" s="231" t="s">
        <v>648</v>
      </c>
      <c r="H79" s="232" t="s">
        <v>642</v>
      </c>
      <c r="I79" s="232"/>
      <c r="J79" s="232"/>
      <c r="K79" s="232"/>
      <c r="L79" s="232"/>
      <c r="M79" s="232"/>
      <c r="N79" s="232"/>
      <c r="O79" s="233"/>
      <c r="P79" s="18"/>
      <c r="Q79" s="231" t="s">
        <v>649</v>
      </c>
      <c r="R79" s="232"/>
      <c r="S79" s="232">
        <v>20</v>
      </c>
      <c r="T79" s="232"/>
      <c r="U79" s="233"/>
      <c r="V79" s="18"/>
      <c r="W79" s="231" t="s">
        <v>650</v>
      </c>
      <c r="X79" s="233">
        <v>2018</v>
      </c>
      <c r="Y79" s="18"/>
      <c r="Z79" s="231" t="s">
        <v>651</v>
      </c>
      <c r="AA79" s="232">
        <v>0</v>
      </c>
      <c r="AB79" s="233">
        <v>0</v>
      </c>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row>
    <row r="80" spans="1:13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row>
    <row r="81" spans="1:13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row>
    <row r="82" spans="1:13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row>
    <row r="83" spans="1:13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row>
    <row r="84" spans="1:13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row>
    <row r="85" spans="1:13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row>
    <row r="86" spans="1:13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row>
    <row r="87" spans="1:131" ht="13.5" thickBot="1">
      <c r="A87" s="222" t="s">
        <v>652</v>
      </c>
      <c r="B87" s="224"/>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c r="BX87" s="42"/>
      <c r="BY87" s="42"/>
      <c r="BZ87" s="42"/>
      <c r="CA87" s="42"/>
      <c r="CB87" s="42"/>
      <c r="CC87" s="42"/>
      <c r="CD87" s="42"/>
      <c r="CE87" s="42"/>
      <c r="CF87" s="42"/>
      <c r="CG87" s="42"/>
      <c r="CH87" s="42"/>
      <c r="CI87" s="42"/>
      <c r="CJ87" s="42"/>
      <c r="CK87" s="42"/>
      <c r="CL87" s="42"/>
      <c r="CM87" s="42"/>
      <c r="CN87" s="42"/>
      <c r="CO87" s="42"/>
      <c r="CP87" s="42"/>
      <c r="CQ87" s="42"/>
      <c r="CR87" s="42"/>
      <c r="CS87" s="42"/>
      <c r="CT87" s="42"/>
      <c r="CU87" s="42"/>
      <c r="CV87" s="42"/>
      <c r="CW87" s="42"/>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row>
    <row r="88" spans="1:131" ht="26.25" thickBot="1">
      <c r="A88" s="234" t="s">
        <v>653</v>
      </c>
      <c r="B88" s="235"/>
      <c r="C88" s="236" t="s">
        <v>654</v>
      </c>
      <c r="D88" s="237"/>
      <c r="E88" s="237"/>
      <c r="F88" s="237"/>
      <c r="G88" s="237"/>
      <c r="H88" s="237"/>
      <c r="I88" s="237"/>
      <c r="J88" s="237"/>
      <c r="K88" s="238"/>
      <c r="L88" s="236" t="s">
        <v>655</v>
      </c>
      <c r="M88" s="237"/>
      <c r="N88" s="237"/>
      <c r="O88" s="237"/>
      <c r="P88" s="237"/>
      <c r="Q88" s="238"/>
      <c r="R88" s="236" t="s">
        <v>656</v>
      </c>
      <c r="S88" s="237"/>
      <c r="T88" s="237"/>
      <c r="U88" s="238"/>
      <c r="V88" s="236" t="s">
        <v>657</v>
      </c>
      <c r="W88" s="237"/>
      <c r="X88" s="237"/>
      <c r="Y88" s="238"/>
      <c r="Z88" s="236" t="s">
        <v>658</v>
      </c>
      <c r="AA88" s="237"/>
      <c r="AB88" s="237"/>
      <c r="AC88" s="238"/>
      <c r="AD88" s="236" t="s">
        <v>659</v>
      </c>
      <c r="AE88" s="237"/>
      <c r="AF88" s="237"/>
      <c r="AG88" s="238"/>
      <c r="AH88" s="236" t="s">
        <v>660</v>
      </c>
      <c r="AI88" s="237"/>
      <c r="AJ88" s="237"/>
      <c r="AK88" s="237"/>
      <c r="AL88" s="238"/>
      <c r="AM88" s="236" t="s">
        <v>661</v>
      </c>
      <c r="AN88" s="237"/>
      <c r="AO88" s="237"/>
      <c r="AP88" s="237"/>
      <c r="AQ88" s="237"/>
      <c r="AR88" s="237"/>
      <c r="AS88" s="238"/>
      <c r="AT88" s="236" t="s">
        <v>662</v>
      </c>
      <c r="AU88" s="237"/>
      <c r="AV88" s="237"/>
      <c r="AW88" s="237"/>
      <c r="AX88" s="237"/>
      <c r="AY88" s="237"/>
      <c r="AZ88" s="238"/>
      <c r="BA88" s="236" t="s">
        <v>663</v>
      </c>
      <c r="BB88" s="237"/>
      <c r="BC88" s="237"/>
      <c r="BD88" s="237"/>
      <c r="BE88" s="237"/>
      <c r="BF88" s="238"/>
      <c r="BG88" s="236" t="s">
        <v>664</v>
      </c>
      <c r="BH88" s="238"/>
      <c r="BI88" s="236" t="s">
        <v>665</v>
      </c>
      <c r="BJ88" s="237"/>
      <c r="BK88" s="237"/>
      <c r="BL88" s="237"/>
      <c r="BM88" s="238"/>
      <c r="BN88" s="236" t="s">
        <v>666</v>
      </c>
      <c r="BO88" s="237"/>
      <c r="BP88" s="237"/>
      <c r="BQ88" s="237"/>
      <c r="BR88" s="237"/>
      <c r="BS88" s="237"/>
      <c r="BT88" s="237"/>
      <c r="BU88" s="237"/>
      <c r="BV88" s="237"/>
      <c r="BW88" s="237"/>
      <c r="BX88" s="237"/>
      <c r="BY88" s="237"/>
      <c r="BZ88" s="237"/>
      <c r="CA88" s="237"/>
      <c r="CB88" s="237"/>
      <c r="CC88" s="238"/>
      <c r="CD88" s="236" t="s">
        <v>667</v>
      </c>
      <c r="CE88" s="238"/>
      <c r="CF88" s="236" t="s">
        <v>668</v>
      </c>
      <c r="CG88" s="237"/>
      <c r="CH88" s="237"/>
      <c r="CI88" s="237"/>
      <c r="CJ88" s="237"/>
      <c r="CK88" s="238"/>
      <c r="CL88" s="239"/>
      <c r="CM88" s="236" t="s">
        <v>203</v>
      </c>
      <c r="CN88" s="237"/>
      <c r="CO88" s="237"/>
      <c r="CP88" s="238"/>
      <c r="CQ88" s="236" t="s">
        <v>669</v>
      </c>
      <c r="CR88" s="237"/>
      <c r="CS88" s="237"/>
      <c r="CT88" s="237"/>
      <c r="CU88" s="238"/>
      <c r="CV88" s="236" t="s">
        <v>670</v>
      </c>
      <c r="CW88" s="23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row>
    <row r="89" spans="1:131" ht="216.75">
      <c r="A89" s="240" t="s">
        <v>671</v>
      </c>
      <c r="B89" s="241" t="s">
        <v>672</v>
      </c>
      <c r="C89" s="242" t="s">
        <v>21</v>
      </c>
      <c r="D89" s="242" t="s">
        <v>673</v>
      </c>
      <c r="E89" s="242" t="s">
        <v>674</v>
      </c>
      <c r="F89" s="242" t="s">
        <v>675</v>
      </c>
      <c r="G89" s="242" t="s">
        <v>676</v>
      </c>
      <c r="H89" s="242" t="s">
        <v>677</v>
      </c>
      <c r="I89" s="242" t="s">
        <v>678</v>
      </c>
      <c r="J89" s="242" t="s">
        <v>679</v>
      </c>
      <c r="K89" s="242" t="s">
        <v>680</v>
      </c>
      <c r="L89" s="242" t="s">
        <v>681</v>
      </c>
      <c r="M89" s="242" t="s">
        <v>682</v>
      </c>
      <c r="N89" s="242" t="s">
        <v>683</v>
      </c>
      <c r="O89" s="242" t="s">
        <v>684</v>
      </c>
      <c r="P89" s="242" t="s">
        <v>685</v>
      </c>
      <c r="Q89" s="242" t="s">
        <v>686</v>
      </c>
      <c r="R89" s="242" t="s">
        <v>687</v>
      </c>
      <c r="S89" s="242" t="s">
        <v>688</v>
      </c>
      <c r="T89" s="242" t="s">
        <v>689</v>
      </c>
      <c r="U89" s="242" t="s">
        <v>593</v>
      </c>
      <c r="V89" s="242" t="s">
        <v>687</v>
      </c>
      <c r="W89" s="242" t="s">
        <v>688</v>
      </c>
      <c r="X89" s="242" t="s">
        <v>689</v>
      </c>
      <c r="Y89" s="242" t="s">
        <v>593</v>
      </c>
      <c r="Z89" s="242" t="s">
        <v>687</v>
      </c>
      <c r="AA89" s="242" t="s">
        <v>688</v>
      </c>
      <c r="AB89" s="242" t="s">
        <v>689</v>
      </c>
      <c r="AC89" s="242" t="s">
        <v>593</v>
      </c>
      <c r="AD89" s="242" t="s">
        <v>687</v>
      </c>
      <c r="AE89" s="242" t="s">
        <v>688</v>
      </c>
      <c r="AF89" s="242" t="s">
        <v>689</v>
      </c>
      <c r="AG89" s="242" t="s">
        <v>593</v>
      </c>
      <c r="AH89" s="242" t="s">
        <v>687</v>
      </c>
      <c r="AI89" s="242" t="s">
        <v>688</v>
      </c>
      <c r="AJ89" s="242" t="s">
        <v>689</v>
      </c>
      <c r="AK89" s="242" t="s">
        <v>593</v>
      </c>
      <c r="AL89" s="242" t="s">
        <v>27</v>
      </c>
      <c r="AM89" s="242" t="s">
        <v>690</v>
      </c>
      <c r="AN89" s="242" t="s">
        <v>691</v>
      </c>
      <c r="AO89" s="242" t="s">
        <v>692</v>
      </c>
      <c r="AP89" s="242" t="s">
        <v>693</v>
      </c>
      <c r="AQ89" s="242" t="s">
        <v>694</v>
      </c>
      <c r="AR89" s="242" t="s">
        <v>695</v>
      </c>
      <c r="AS89" s="242" t="s">
        <v>696</v>
      </c>
      <c r="AT89" s="242" t="s">
        <v>697</v>
      </c>
      <c r="AU89" s="242" t="s">
        <v>698</v>
      </c>
      <c r="AV89" s="242" t="s">
        <v>699</v>
      </c>
      <c r="AW89" s="242" t="s">
        <v>700</v>
      </c>
      <c r="AX89" s="242" t="s">
        <v>701</v>
      </c>
      <c r="AY89" s="242" t="s">
        <v>702</v>
      </c>
      <c r="AZ89" s="242" t="s">
        <v>703</v>
      </c>
      <c r="BA89" s="242" t="s">
        <v>704</v>
      </c>
      <c r="BB89" s="242" t="s">
        <v>705</v>
      </c>
      <c r="BC89" s="242" t="s">
        <v>706</v>
      </c>
      <c r="BD89" s="242" t="s">
        <v>707</v>
      </c>
      <c r="BE89" s="242" t="s">
        <v>708</v>
      </c>
      <c r="BF89" s="242" t="s">
        <v>709</v>
      </c>
      <c r="BG89" s="242" t="s">
        <v>710</v>
      </c>
      <c r="BH89" s="242" t="s">
        <v>711</v>
      </c>
      <c r="BI89" s="242" t="s">
        <v>712</v>
      </c>
      <c r="BJ89" s="242" t="s">
        <v>713</v>
      </c>
      <c r="BK89" s="242" t="s">
        <v>714</v>
      </c>
      <c r="BL89" s="242" t="s">
        <v>715</v>
      </c>
      <c r="BM89" s="242" t="s">
        <v>716</v>
      </c>
      <c r="BN89" s="242" t="s">
        <v>717</v>
      </c>
      <c r="BO89" s="242" t="s">
        <v>718</v>
      </c>
      <c r="BP89" s="242" t="s">
        <v>719</v>
      </c>
      <c r="BQ89" s="242" t="s">
        <v>720</v>
      </c>
      <c r="BR89" s="242" t="s">
        <v>721</v>
      </c>
      <c r="BS89" s="242" t="s">
        <v>722</v>
      </c>
      <c r="BT89" s="242" t="s">
        <v>723</v>
      </c>
      <c r="BU89" s="242" t="s">
        <v>724</v>
      </c>
      <c r="BV89" s="242" t="s">
        <v>725</v>
      </c>
      <c r="BW89" s="242" t="s">
        <v>726</v>
      </c>
      <c r="BX89" s="242" t="s">
        <v>727</v>
      </c>
      <c r="BY89" s="242" t="s">
        <v>728</v>
      </c>
      <c r="BZ89" s="242" t="s">
        <v>729</v>
      </c>
      <c r="CA89" s="242" t="s">
        <v>730</v>
      </c>
      <c r="CB89" s="242" t="s">
        <v>731</v>
      </c>
      <c r="CC89" s="242" t="s">
        <v>732</v>
      </c>
      <c r="CD89" s="242" t="s">
        <v>733</v>
      </c>
      <c r="CE89" s="242" t="s">
        <v>734</v>
      </c>
      <c r="CF89" s="242" t="s">
        <v>735</v>
      </c>
      <c r="CG89" s="242" t="s">
        <v>736</v>
      </c>
      <c r="CH89" s="242" t="s">
        <v>737</v>
      </c>
      <c r="CI89" s="242" t="s">
        <v>738</v>
      </c>
      <c r="CJ89" s="242" t="s">
        <v>739</v>
      </c>
      <c r="CK89" s="242" t="s">
        <v>740</v>
      </c>
      <c r="CL89" s="242"/>
      <c r="CM89" s="242" t="s">
        <v>741</v>
      </c>
      <c r="CN89" s="242" t="s">
        <v>742</v>
      </c>
      <c r="CO89" s="242" t="s">
        <v>743</v>
      </c>
      <c r="CP89" s="242" t="s">
        <v>744</v>
      </c>
      <c r="CQ89" s="242" t="s">
        <v>745</v>
      </c>
      <c r="CR89" s="242" t="s">
        <v>746</v>
      </c>
      <c r="CS89" s="242" t="s">
        <v>747</v>
      </c>
      <c r="CT89" s="242" t="s">
        <v>748</v>
      </c>
      <c r="CU89" s="242" t="s">
        <v>749</v>
      </c>
      <c r="CV89" s="242" t="s">
        <v>750</v>
      </c>
      <c r="CW89" s="243" t="s">
        <v>751</v>
      </c>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row>
    <row r="90" spans="1:131">
      <c r="A90" s="18" t="s">
        <v>507</v>
      </c>
      <c r="B90" s="18" t="s">
        <v>790</v>
      </c>
      <c r="C90" s="42">
        <v>7</v>
      </c>
      <c r="D90" s="42">
        <v>657.383757655772</v>
      </c>
      <c r="E90" s="42">
        <v>27.324891953717845</v>
      </c>
      <c r="F90" s="42">
        <v>172.51564586164386</v>
      </c>
      <c r="G90" s="42">
        <v>0</v>
      </c>
      <c r="H90" s="42">
        <v>0</v>
      </c>
      <c r="I90" s="42" t="s">
        <v>920</v>
      </c>
      <c r="J90" s="42"/>
      <c r="K90" s="42"/>
      <c r="L90" s="42">
        <v>706.55297865389252</v>
      </c>
      <c r="M90" s="42">
        <v>0.13282232939643498</v>
      </c>
      <c r="N90" s="42">
        <v>0.13186367738617213</v>
      </c>
      <c r="O90" s="42">
        <v>27.598140256388504</v>
      </c>
      <c r="P90" s="42">
        <v>0</v>
      </c>
      <c r="Q90" s="42">
        <v>0</v>
      </c>
      <c r="R90" s="42">
        <v>34.401924335441777</v>
      </c>
      <c r="S90" s="42">
        <v>79.497614636051921</v>
      </c>
      <c r="T90" s="42">
        <v>0</v>
      </c>
      <c r="U90" s="42">
        <v>325.58557724132845</v>
      </c>
      <c r="V90" s="42" t="s">
        <v>752</v>
      </c>
      <c r="W90" s="42" t="s">
        <v>752</v>
      </c>
      <c r="X90" s="42" t="s">
        <v>752</v>
      </c>
      <c r="Y90" s="42" t="s">
        <v>752</v>
      </c>
      <c r="Z90" s="42">
        <v>0</v>
      </c>
      <c r="AA90" s="42">
        <v>0</v>
      </c>
      <c r="AB90" s="42">
        <v>0</v>
      </c>
      <c r="AC90" s="42">
        <v>0</v>
      </c>
      <c r="AD90" s="42">
        <v>0</v>
      </c>
      <c r="AE90" s="42">
        <v>0</v>
      </c>
      <c r="AF90" s="42">
        <v>0</v>
      </c>
      <c r="AG90" s="42">
        <v>0</v>
      </c>
      <c r="AH90" s="42">
        <v>34.401924335441777</v>
      </c>
      <c r="AI90" s="42">
        <v>79.497614636051921</v>
      </c>
      <c r="AJ90" s="42">
        <v>0</v>
      </c>
      <c r="AK90" s="42">
        <v>325.58557724132845</v>
      </c>
      <c r="AL90" s="42">
        <v>439.48511621282216</v>
      </c>
      <c r="AM90" s="42">
        <v>367.73148154760355</v>
      </c>
      <c r="AN90" s="42">
        <v>46.932568862304997</v>
      </c>
      <c r="AO90" s="42">
        <v>0</v>
      </c>
      <c r="AP90" s="42">
        <v>0</v>
      </c>
      <c r="AQ90" s="42">
        <v>414.66405040990855</v>
      </c>
      <c r="AR90" s="42">
        <v>34.401924335441777</v>
      </c>
      <c r="AS90" s="244">
        <v>12.053513238580978</v>
      </c>
      <c r="AT90" s="42">
        <v>367.73148154760355</v>
      </c>
      <c r="AU90" s="42">
        <v>55.554182670494065</v>
      </c>
      <c r="AV90" s="42">
        <v>0</v>
      </c>
      <c r="AW90" s="42">
        <v>0</v>
      </c>
      <c r="AX90" s="42">
        <v>423.28566421809762</v>
      </c>
      <c r="AY90" s="42">
        <v>79.497614636051921</v>
      </c>
      <c r="AZ90" s="244">
        <v>5.3245077371936498</v>
      </c>
      <c r="BA90" s="42">
        <v>367.73148154760355</v>
      </c>
      <c r="BB90" s="42">
        <v>102.48675153279906</v>
      </c>
      <c r="BC90" s="42">
        <v>0</v>
      </c>
      <c r="BD90" s="42">
        <v>0</v>
      </c>
      <c r="BE90" s="42">
        <v>470.21823308040263</v>
      </c>
      <c r="BF90" s="42">
        <v>113.8995389714937</v>
      </c>
      <c r="BG90" s="42">
        <v>1.1885490561056793</v>
      </c>
      <c r="BH90" s="244">
        <v>4.128359406249106</v>
      </c>
      <c r="BI90" s="42">
        <v>3.5826808233085807</v>
      </c>
      <c r="BJ90" s="42">
        <v>8.2790304599889843</v>
      </c>
      <c r="BK90" s="42">
        <v>0</v>
      </c>
      <c r="BL90" s="42">
        <v>33.907091724128769</v>
      </c>
      <c r="BM90" s="42">
        <v>45.768803007426335</v>
      </c>
      <c r="BN90" s="42">
        <v>367.73148154760355</v>
      </c>
      <c r="BO90" s="42">
        <v>179.3557825524999</v>
      </c>
      <c r="BP90" s="42">
        <v>102.48675153279906</v>
      </c>
      <c r="BQ90" s="42">
        <v>0</v>
      </c>
      <c r="BR90" s="42">
        <v>0</v>
      </c>
      <c r="BS90" s="42">
        <v>0</v>
      </c>
      <c r="BT90" s="42">
        <v>0</v>
      </c>
      <c r="BU90" s="42">
        <v>0</v>
      </c>
      <c r="BV90" s="42">
        <v>0</v>
      </c>
      <c r="BW90" s="42">
        <v>0</v>
      </c>
      <c r="BX90" s="42">
        <v>439.48511621282216</v>
      </c>
      <c r="BY90" s="42"/>
      <c r="BZ90" s="42">
        <v>0</v>
      </c>
      <c r="CA90" s="42">
        <v>0</v>
      </c>
      <c r="CB90" s="42">
        <v>649.5740156329025</v>
      </c>
      <c r="CC90" s="42">
        <v>439.48511621282216</v>
      </c>
      <c r="CD90" s="244">
        <v>1.4780341624091409</v>
      </c>
      <c r="CE90" s="42">
        <v>16.417193713296754</v>
      </c>
      <c r="CF90" s="42">
        <v>6.7123168160319899</v>
      </c>
      <c r="CG90" s="42">
        <v>3.2289824099974598</v>
      </c>
      <c r="CH90" s="42">
        <v>9.9412992260294502</v>
      </c>
      <c r="CI90" s="42">
        <v>0.33561266486059887</v>
      </c>
      <c r="CJ90" s="42">
        <v>0.16144912049987278</v>
      </c>
      <c r="CK90" s="42">
        <v>0.49706178536047163</v>
      </c>
      <c r="CL90" s="42"/>
      <c r="CM90" s="42">
        <v>27.324891953717845</v>
      </c>
      <c r="CN90" s="42" t="s">
        <v>785</v>
      </c>
      <c r="CO90" s="42">
        <v>0</v>
      </c>
      <c r="CP90" s="42">
        <v>0</v>
      </c>
      <c r="CQ90" s="42">
        <v>179.3557825524999</v>
      </c>
      <c r="CR90" s="42">
        <v>0</v>
      </c>
      <c r="CS90" s="42">
        <v>0</v>
      </c>
      <c r="CT90" s="42">
        <v>179.3557825524999</v>
      </c>
      <c r="CU90" s="42">
        <v>0</v>
      </c>
      <c r="CV90" s="42">
        <v>0</v>
      </c>
      <c r="CW90" s="244">
        <v>9999</v>
      </c>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row>
    <row r="91" spans="1:131">
      <c r="A91" s="18" t="s">
        <v>508</v>
      </c>
      <c r="B91" s="18" t="s">
        <v>791</v>
      </c>
      <c r="C91" s="42">
        <v>7</v>
      </c>
      <c r="D91" s="42">
        <v>251.47906149188722</v>
      </c>
      <c r="E91" s="42">
        <v>12.953728571165545</v>
      </c>
      <c r="F91" s="42">
        <v>81.783337132902915</v>
      </c>
      <c r="G91" s="42">
        <v>0</v>
      </c>
      <c r="H91" s="42">
        <v>0</v>
      </c>
      <c r="I91" s="42" t="s">
        <v>920</v>
      </c>
      <c r="J91" s="42"/>
      <c r="K91" s="42"/>
      <c r="L91" s="42">
        <v>270.28851549328846</v>
      </c>
      <c r="M91" s="42">
        <v>5.081055677568503E-2</v>
      </c>
      <c r="N91" s="42">
        <v>5.0443828962546011E-2</v>
      </c>
      <c r="O91" s="42">
        <v>13.083265564443421</v>
      </c>
      <c r="P91" s="42">
        <v>0</v>
      </c>
      <c r="Q91" s="42">
        <v>0</v>
      </c>
      <c r="R91" s="42">
        <v>16.308689927187583</v>
      </c>
      <c r="S91" s="42">
        <v>37.686901883995176</v>
      </c>
      <c r="T91" s="42">
        <v>0</v>
      </c>
      <c r="U91" s="42">
        <v>154.34817460262929</v>
      </c>
      <c r="V91" s="42" t="s">
        <v>752</v>
      </c>
      <c r="W91" s="42" t="s">
        <v>752</v>
      </c>
      <c r="X91" s="42" t="s">
        <v>752</v>
      </c>
      <c r="Y91" s="42" t="s">
        <v>752</v>
      </c>
      <c r="Z91" s="42">
        <v>0</v>
      </c>
      <c r="AA91" s="42">
        <v>0</v>
      </c>
      <c r="AB91" s="42">
        <v>0</v>
      </c>
      <c r="AC91" s="42">
        <v>0</v>
      </c>
      <c r="AD91" s="42">
        <v>0</v>
      </c>
      <c r="AE91" s="42">
        <v>0</v>
      </c>
      <c r="AF91" s="42">
        <v>0</v>
      </c>
      <c r="AG91" s="42">
        <v>0</v>
      </c>
      <c r="AH91" s="42">
        <v>16.308689927187583</v>
      </c>
      <c r="AI91" s="42">
        <v>37.686901883995176</v>
      </c>
      <c r="AJ91" s="42">
        <v>0</v>
      </c>
      <c r="AK91" s="42">
        <v>154.34817460262929</v>
      </c>
      <c r="AL91" s="42">
        <v>208.34376641381203</v>
      </c>
      <c r="AM91" s="42">
        <v>140.67394696574866</v>
      </c>
      <c r="AN91" s="42">
        <v>17.95383325712778</v>
      </c>
      <c r="AO91" s="42">
        <v>0</v>
      </c>
      <c r="AP91" s="42">
        <v>0</v>
      </c>
      <c r="AQ91" s="42">
        <v>158.62778022287642</v>
      </c>
      <c r="AR91" s="42">
        <v>16.308689927187583</v>
      </c>
      <c r="AS91" s="244">
        <v>9.7265801809398695</v>
      </c>
      <c r="AT91" s="42">
        <v>140.67394696574866</v>
      </c>
      <c r="AU91" s="42">
        <v>21.251991028412721</v>
      </c>
      <c r="AV91" s="42">
        <v>0</v>
      </c>
      <c r="AW91" s="42">
        <v>0</v>
      </c>
      <c r="AX91" s="42">
        <v>161.92593799416139</v>
      </c>
      <c r="AY91" s="42">
        <v>37.686901883995176</v>
      </c>
      <c r="AZ91" s="244">
        <v>4.2966104906311733</v>
      </c>
      <c r="BA91" s="42">
        <v>140.67394696574866</v>
      </c>
      <c r="BB91" s="42">
        <v>39.205824285540501</v>
      </c>
      <c r="BC91" s="42">
        <v>0</v>
      </c>
      <c r="BD91" s="42">
        <v>0</v>
      </c>
      <c r="BE91" s="42">
        <v>179.87977125128916</v>
      </c>
      <c r="BF91" s="42">
        <v>53.995591811182763</v>
      </c>
      <c r="BG91" s="42">
        <v>4.0262790281864351</v>
      </c>
      <c r="BH91" s="244">
        <v>3.3313788258921377</v>
      </c>
      <c r="BI91" s="42">
        <v>4.4397814987412536</v>
      </c>
      <c r="BJ91" s="42">
        <v>10.259659756637063</v>
      </c>
      <c r="BK91" s="42">
        <v>0</v>
      </c>
      <c r="BL91" s="42">
        <v>42.018836155738519</v>
      </c>
      <c r="BM91" s="42">
        <v>56.71827741111683</v>
      </c>
      <c r="BN91" s="42">
        <v>140.67394696574866</v>
      </c>
      <c r="BO91" s="42">
        <v>85.025994934920973</v>
      </c>
      <c r="BP91" s="42">
        <v>39.205824285540501</v>
      </c>
      <c r="BQ91" s="42">
        <v>0</v>
      </c>
      <c r="BR91" s="42">
        <v>0</v>
      </c>
      <c r="BS91" s="42">
        <v>0</v>
      </c>
      <c r="BT91" s="42">
        <v>0</v>
      </c>
      <c r="BU91" s="42">
        <v>0</v>
      </c>
      <c r="BV91" s="42">
        <v>0</v>
      </c>
      <c r="BW91" s="42">
        <v>0</v>
      </c>
      <c r="BX91" s="42">
        <v>208.34376641381203</v>
      </c>
      <c r="BY91" s="42"/>
      <c r="BZ91" s="42">
        <v>0</v>
      </c>
      <c r="CA91" s="42">
        <v>0</v>
      </c>
      <c r="CB91" s="42">
        <v>264.90576618621014</v>
      </c>
      <c r="CC91" s="42">
        <v>208.34376641381203</v>
      </c>
      <c r="CD91" s="244">
        <v>1.2714840033181254</v>
      </c>
      <c r="CE91" s="42">
        <v>22.898140110542784</v>
      </c>
      <c r="CF91" s="42">
        <v>2.5677651960117807</v>
      </c>
      <c r="CG91" s="42">
        <v>1.5307420710398805</v>
      </c>
      <c r="CH91" s="42">
        <v>4.0985072670516614</v>
      </c>
      <c r="CI91" s="42">
        <v>0.12838704485931202</v>
      </c>
      <c r="CJ91" s="42">
        <v>7.6537103551994015E-2</v>
      </c>
      <c r="CK91" s="42">
        <v>0.20492414841130602</v>
      </c>
      <c r="CL91" s="42"/>
      <c r="CM91" s="42">
        <v>12.953728571165545</v>
      </c>
      <c r="CN91" s="42" t="s">
        <v>785</v>
      </c>
      <c r="CO91" s="42">
        <v>0</v>
      </c>
      <c r="CP91" s="42">
        <v>0</v>
      </c>
      <c r="CQ91" s="42">
        <v>85.025994934920973</v>
      </c>
      <c r="CR91" s="42">
        <v>0</v>
      </c>
      <c r="CS91" s="42">
        <v>0</v>
      </c>
      <c r="CT91" s="42">
        <v>85.025994934920973</v>
      </c>
      <c r="CU91" s="42">
        <v>0</v>
      </c>
      <c r="CV91" s="42">
        <v>0</v>
      </c>
      <c r="CW91" s="244">
        <v>9999</v>
      </c>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row>
    <row r="92" spans="1:131">
      <c r="A92" s="18" t="s">
        <v>509</v>
      </c>
      <c r="B92" s="18" t="s">
        <v>792</v>
      </c>
      <c r="C92" s="42">
        <v>7</v>
      </c>
      <c r="D92" s="42">
        <v>11.924100629553426</v>
      </c>
      <c r="E92" s="42">
        <v>0.75958814106530248</v>
      </c>
      <c r="F92" s="42">
        <v>10.657017944312418</v>
      </c>
      <c r="G92" s="42">
        <v>0</v>
      </c>
      <c r="H92" s="42">
        <v>0</v>
      </c>
      <c r="I92" s="42" t="s">
        <v>920</v>
      </c>
      <c r="J92" s="42"/>
      <c r="K92" s="42"/>
      <c r="L92" s="42">
        <v>12.815967415476278</v>
      </c>
      <c r="M92" s="42">
        <v>2.4092271875145814E-3</v>
      </c>
      <c r="N92" s="42">
        <v>2.3918384660775614E-3</v>
      </c>
      <c r="O92" s="42">
        <v>0.76718400532805631</v>
      </c>
      <c r="P92" s="42">
        <v>0</v>
      </c>
      <c r="Q92" s="42">
        <v>0</v>
      </c>
      <c r="R92" s="42">
        <v>2.1251517398932549</v>
      </c>
      <c r="S92" s="42">
        <v>4.910902437138323</v>
      </c>
      <c r="T92" s="42">
        <v>0</v>
      </c>
      <c r="U92" s="42">
        <v>20.11279221510658</v>
      </c>
      <c r="V92" s="42" t="s">
        <v>752</v>
      </c>
      <c r="W92" s="42" t="s">
        <v>752</v>
      </c>
      <c r="X92" s="42" t="s">
        <v>752</v>
      </c>
      <c r="Y92" s="42" t="s">
        <v>752</v>
      </c>
      <c r="Z92" s="42">
        <v>0</v>
      </c>
      <c r="AA92" s="42">
        <v>0</v>
      </c>
      <c r="AB92" s="42">
        <v>0</v>
      </c>
      <c r="AC92" s="42">
        <v>0</v>
      </c>
      <c r="AD92" s="42">
        <v>0</v>
      </c>
      <c r="AE92" s="42">
        <v>0</v>
      </c>
      <c r="AF92" s="42">
        <v>0</v>
      </c>
      <c r="AG92" s="42">
        <v>0</v>
      </c>
      <c r="AH92" s="42">
        <v>2.1251517398932549</v>
      </c>
      <c r="AI92" s="42">
        <v>4.910902437138323</v>
      </c>
      <c r="AJ92" s="42">
        <v>0</v>
      </c>
      <c r="AK92" s="42">
        <v>20.11279221510658</v>
      </c>
      <c r="AL92" s="42">
        <v>27.148846392138157</v>
      </c>
      <c r="AM92" s="42">
        <v>6.6701787799942212</v>
      </c>
      <c r="AN92" s="42">
        <v>0.85129677665478709</v>
      </c>
      <c r="AO92" s="42">
        <v>0</v>
      </c>
      <c r="AP92" s="42">
        <v>0</v>
      </c>
      <c r="AQ92" s="42">
        <v>7.5214755566490084</v>
      </c>
      <c r="AR92" s="42">
        <v>2.1251517398932549</v>
      </c>
      <c r="AS92" s="244">
        <v>3.5392651806721376</v>
      </c>
      <c r="AT92" s="42">
        <v>6.6701787799942212</v>
      </c>
      <c r="AU92" s="42">
        <v>1.0076818248716704</v>
      </c>
      <c r="AV92" s="42">
        <v>0</v>
      </c>
      <c r="AW92" s="42">
        <v>0</v>
      </c>
      <c r="AX92" s="42">
        <v>7.6778606048658915</v>
      </c>
      <c r="AY92" s="42">
        <v>4.910902437138323</v>
      </c>
      <c r="AZ92" s="244">
        <v>1.563431712021534</v>
      </c>
      <c r="BA92" s="42">
        <v>6.6701787799942212</v>
      </c>
      <c r="BB92" s="42">
        <v>1.8589786015264576</v>
      </c>
      <c r="BC92" s="42">
        <v>0</v>
      </c>
      <c r="BD92" s="42">
        <v>0</v>
      </c>
      <c r="BE92" s="42">
        <v>8.5291573815206778</v>
      </c>
      <c r="BF92" s="42">
        <v>7.0360541770315779</v>
      </c>
      <c r="BG92" s="42">
        <v>29.723724326050306</v>
      </c>
      <c r="BH92" s="244">
        <v>1.212207462722952</v>
      </c>
      <c r="BI92" s="42">
        <v>12.201371903181091</v>
      </c>
      <c r="BJ92" s="42">
        <v>28.195514650061092</v>
      </c>
      <c r="BK92" s="42">
        <v>0</v>
      </c>
      <c r="BL92" s="42">
        <v>115.47582848848587</v>
      </c>
      <c r="BM92" s="42">
        <v>155.87271504172807</v>
      </c>
      <c r="BN92" s="42">
        <v>6.6701787799942212</v>
      </c>
      <c r="BO92" s="42">
        <v>4.9858028968282779</v>
      </c>
      <c r="BP92" s="42">
        <v>1.8589786015264576</v>
      </c>
      <c r="BQ92" s="42">
        <v>0</v>
      </c>
      <c r="BR92" s="42">
        <v>0</v>
      </c>
      <c r="BS92" s="42">
        <v>0</v>
      </c>
      <c r="BT92" s="42">
        <v>0</v>
      </c>
      <c r="BU92" s="42">
        <v>0</v>
      </c>
      <c r="BV92" s="42">
        <v>0</v>
      </c>
      <c r="BW92" s="42">
        <v>0</v>
      </c>
      <c r="BX92" s="42">
        <v>27.148846392138157</v>
      </c>
      <c r="BY92" s="42"/>
      <c r="BZ92" s="42">
        <v>0</v>
      </c>
      <c r="CA92" s="42">
        <v>0</v>
      </c>
      <c r="CB92" s="42">
        <v>13.514960278348958</v>
      </c>
      <c r="CC92" s="42">
        <v>27.148846392138157</v>
      </c>
      <c r="CD92" s="245">
        <v>0.49780974422039015</v>
      </c>
      <c r="CE92" s="42">
        <v>116.57400375928842</v>
      </c>
      <c r="CF92" s="42">
        <v>0.12175284259718472</v>
      </c>
      <c r="CG92" s="42">
        <v>8.9760528623382546E-2</v>
      </c>
      <c r="CH92" s="42">
        <v>0.21151337122056726</v>
      </c>
      <c r="CI92" s="42">
        <v>6.0875845223512309E-3</v>
      </c>
      <c r="CJ92" s="42">
        <v>4.488026431169129E-3</v>
      </c>
      <c r="CK92" s="42">
        <v>1.0575610953520359E-2</v>
      </c>
      <c r="CL92" s="42"/>
      <c r="CM92" s="42">
        <v>0.75958814106530248</v>
      </c>
      <c r="CN92" s="42" t="s">
        <v>785</v>
      </c>
      <c r="CO92" s="42">
        <v>0</v>
      </c>
      <c r="CP92" s="42">
        <v>0</v>
      </c>
      <c r="CQ92" s="42">
        <v>4.9858028968282779</v>
      </c>
      <c r="CR92" s="42">
        <v>0</v>
      </c>
      <c r="CS92" s="42">
        <v>0</v>
      </c>
      <c r="CT92" s="42">
        <v>4.9858028968282779</v>
      </c>
      <c r="CU92" s="42">
        <v>0</v>
      </c>
      <c r="CV92" s="42">
        <v>0</v>
      </c>
      <c r="CW92" s="244">
        <v>9999</v>
      </c>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row>
    <row r="93" spans="1:131">
      <c r="A93" s="18" t="s">
        <v>510</v>
      </c>
      <c r="B93" s="18" t="s">
        <v>793</v>
      </c>
      <c r="C93" s="42">
        <v>7</v>
      </c>
      <c r="D93" s="42">
        <v>9.1770109239235165</v>
      </c>
      <c r="E93" s="42">
        <v>0.50772487836400126</v>
      </c>
      <c r="F93" s="42">
        <v>2.9844495752891222</v>
      </c>
      <c r="G93" s="42">
        <v>0</v>
      </c>
      <c r="H93" s="42">
        <v>0</v>
      </c>
      <c r="I93" s="42" t="s">
        <v>920</v>
      </c>
      <c r="J93" s="42"/>
      <c r="K93" s="42"/>
      <c r="L93" s="42">
        <v>9.8634082876637379</v>
      </c>
      <c r="M93" s="42">
        <v>1.8541863160092163E-3</v>
      </c>
      <c r="N93" s="42">
        <v>1.8408036306782076E-3</v>
      </c>
      <c r="O93" s="42">
        <v>0.51280211568562051</v>
      </c>
      <c r="P93" s="42">
        <v>0</v>
      </c>
      <c r="Q93" s="42">
        <v>0</v>
      </c>
      <c r="R93" s="42">
        <v>0.59513911308878542</v>
      </c>
      <c r="S93" s="42">
        <v>1.375275970200067</v>
      </c>
      <c r="T93" s="42">
        <v>0</v>
      </c>
      <c r="U93" s="42">
        <v>5.6324963041174652</v>
      </c>
      <c r="V93" s="42" t="s">
        <v>752</v>
      </c>
      <c r="W93" s="42" t="s">
        <v>752</v>
      </c>
      <c r="X93" s="42" t="s">
        <v>752</v>
      </c>
      <c r="Y93" s="42" t="s">
        <v>752</v>
      </c>
      <c r="Z93" s="42">
        <v>0</v>
      </c>
      <c r="AA93" s="42">
        <v>0</v>
      </c>
      <c r="AB93" s="42">
        <v>0</v>
      </c>
      <c r="AC93" s="42">
        <v>0</v>
      </c>
      <c r="AD93" s="42">
        <v>0</v>
      </c>
      <c r="AE93" s="42">
        <v>0</v>
      </c>
      <c r="AF93" s="42">
        <v>0</v>
      </c>
      <c r="AG93" s="42">
        <v>0</v>
      </c>
      <c r="AH93" s="42">
        <v>0.59513911308878542</v>
      </c>
      <c r="AI93" s="42">
        <v>1.375275970200067</v>
      </c>
      <c r="AJ93" s="42">
        <v>0</v>
      </c>
      <c r="AK93" s="42">
        <v>5.6324963041174652</v>
      </c>
      <c r="AL93" s="42">
        <v>7.6029113874063174</v>
      </c>
      <c r="AM93" s="42">
        <v>5.1334943766591072</v>
      </c>
      <c r="AN93" s="42">
        <v>0.65517392561240417</v>
      </c>
      <c r="AO93" s="42">
        <v>0</v>
      </c>
      <c r="AP93" s="42">
        <v>0</v>
      </c>
      <c r="AQ93" s="42">
        <v>5.7886683022715113</v>
      </c>
      <c r="AR93" s="42">
        <v>0.59513911308878542</v>
      </c>
      <c r="AS93" s="244">
        <v>9.7265801809398678</v>
      </c>
      <c r="AT93" s="42">
        <v>5.1334943766591072</v>
      </c>
      <c r="AU93" s="42">
        <v>0.77553078441546441</v>
      </c>
      <c r="AV93" s="42">
        <v>0</v>
      </c>
      <c r="AW93" s="42">
        <v>0</v>
      </c>
      <c r="AX93" s="42">
        <v>5.9090251610745721</v>
      </c>
      <c r="AY93" s="42">
        <v>1.375275970200067</v>
      </c>
      <c r="AZ93" s="244">
        <v>4.2966104906311733</v>
      </c>
      <c r="BA93" s="42">
        <v>5.1334943766591072</v>
      </c>
      <c r="BB93" s="42">
        <v>1.4307047100278685</v>
      </c>
      <c r="BC93" s="42">
        <v>0</v>
      </c>
      <c r="BD93" s="42">
        <v>0</v>
      </c>
      <c r="BE93" s="42">
        <v>6.5641990866869762</v>
      </c>
      <c r="BF93" s="42">
        <v>1.9704150832888523</v>
      </c>
      <c r="BG93" s="42">
        <v>4.0262790281864325</v>
      </c>
      <c r="BH93" s="244">
        <v>3.3313788258921382</v>
      </c>
      <c r="BI93" s="42">
        <v>4.4397814987412536</v>
      </c>
      <c r="BJ93" s="42">
        <v>10.259659756637062</v>
      </c>
      <c r="BK93" s="42">
        <v>0</v>
      </c>
      <c r="BL93" s="42">
        <v>42.018836155738519</v>
      </c>
      <c r="BM93" s="42">
        <v>56.718277411116837</v>
      </c>
      <c r="BN93" s="42">
        <v>5.1334943766591072</v>
      </c>
      <c r="BO93" s="42">
        <v>3.3326167596413176</v>
      </c>
      <c r="BP93" s="42">
        <v>1.4307047100278685</v>
      </c>
      <c r="BQ93" s="42">
        <v>0</v>
      </c>
      <c r="BR93" s="42">
        <v>0</v>
      </c>
      <c r="BS93" s="42">
        <v>0</v>
      </c>
      <c r="BT93" s="42">
        <v>0</v>
      </c>
      <c r="BU93" s="42">
        <v>0</v>
      </c>
      <c r="BV93" s="42">
        <v>0</v>
      </c>
      <c r="BW93" s="42">
        <v>0</v>
      </c>
      <c r="BX93" s="42">
        <v>7.6029113874063174</v>
      </c>
      <c r="BY93" s="42"/>
      <c r="BZ93" s="42">
        <v>0</v>
      </c>
      <c r="CA93" s="42">
        <v>0</v>
      </c>
      <c r="CB93" s="42">
        <v>9.8968158463282947</v>
      </c>
      <c r="CC93" s="42">
        <v>7.6029113874063174</v>
      </c>
      <c r="CD93" s="244">
        <v>1.301713954304619</v>
      </c>
      <c r="CE93" s="42">
        <v>21.183549364366371</v>
      </c>
      <c r="CF93" s="42">
        <v>9.3703265449123482E-2</v>
      </c>
      <c r="CG93" s="42">
        <v>5.9997847535217648E-2</v>
      </c>
      <c r="CH93" s="42">
        <v>0.15370111298434114</v>
      </c>
      <c r="CI93" s="42">
        <v>4.6851189366402743E-3</v>
      </c>
      <c r="CJ93" s="42">
        <v>2.9998923767608804E-3</v>
      </c>
      <c r="CK93" s="42">
        <v>7.6850113134011543E-3</v>
      </c>
      <c r="CL93" s="42"/>
      <c r="CM93" s="42">
        <v>0.50772487836400126</v>
      </c>
      <c r="CN93" s="42" t="s">
        <v>785</v>
      </c>
      <c r="CO93" s="42">
        <v>0</v>
      </c>
      <c r="CP93" s="42">
        <v>0</v>
      </c>
      <c r="CQ93" s="42">
        <v>3.3326167596413176</v>
      </c>
      <c r="CR93" s="42">
        <v>0</v>
      </c>
      <c r="CS93" s="42">
        <v>0</v>
      </c>
      <c r="CT93" s="42">
        <v>3.3326167596413176</v>
      </c>
      <c r="CU93" s="42">
        <v>0</v>
      </c>
      <c r="CV93" s="42">
        <v>0</v>
      </c>
      <c r="CW93" s="244">
        <v>9999</v>
      </c>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row>
    <row r="94" spans="1:131">
      <c r="A94" s="18" t="s">
        <v>511</v>
      </c>
      <c r="B94" s="18" t="s">
        <v>794</v>
      </c>
      <c r="C94" s="42">
        <v>7</v>
      </c>
      <c r="D94" s="42">
        <v>45.926386769059476</v>
      </c>
      <c r="E94" s="42">
        <v>2.3089148903798749</v>
      </c>
      <c r="F94" s="42">
        <v>30.159991311203015</v>
      </c>
      <c r="G94" s="42">
        <v>0</v>
      </c>
      <c r="H94" s="42">
        <v>0</v>
      </c>
      <c r="I94" s="42" t="s">
        <v>920</v>
      </c>
      <c r="J94" s="42"/>
      <c r="K94" s="42"/>
      <c r="L94" s="42">
        <v>49.361465038631657</v>
      </c>
      <c r="M94" s="42">
        <v>9.2792826113940585E-3</v>
      </c>
      <c r="N94" s="42">
        <v>9.2123089107397117E-3</v>
      </c>
      <c r="O94" s="42">
        <v>2.3320039871593217</v>
      </c>
      <c r="P94" s="42">
        <v>0</v>
      </c>
      <c r="Q94" s="42">
        <v>0</v>
      </c>
      <c r="R94" s="42">
        <v>6.0143051597633264</v>
      </c>
      <c r="S94" s="42">
        <v>13.898144453562113</v>
      </c>
      <c r="T94" s="42">
        <v>0</v>
      </c>
      <c r="U94" s="42">
        <v>56.92039195405367</v>
      </c>
      <c r="V94" s="42" t="s">
        <v>752</v>
      </c>
      <c r="W94" s="42" t="s">
        <v>752</v>
      </c>
      <c r="X94" s="42" t="s">
        <v>752</v>
      </c>
      <c r="Y94" s="42" t="s">
        <v>752</v>
      </c>
      <c r="Z94" s="42">
        <v>0</v>
      </c>
      <c r="AA94" s="42">
        <v>0</v>
      </c>
      <c r="AB94" s="42">
        <v>0</v>
      </c>
      <c r="AC94" s="42">
        <v>0</v>
      </c>
      <c r="AD94" s="42">
        <v>0</v>
      </c>
      <c r="AE94" s="42">
        <v>0</v>
      </c>
      <c r="AF94" s="42">
        <v>0</v>
      </c>
      <c r="AG94" s="42">
        <v>0</v>
      </c>
      <c r="AH94" s="42">
        <v>6.0143051597633264</v>
      </c>
      <c r="AI94" s="42">
        <v>13.898144453562113</v>
      </c>
      <c r="AJ94" s="42">
        <v>0</v>
      </c>
      <c r="AK94" s="42">
        <v>56.92039195405367</v>
      </c>
      <c r="AL94" s="42">
        <v>76.832841567379106</v>
      </c>
      <c r="AM94" s="42">
        <v>25.690592522302516</v>
      </c>
      <c r="AN94" s="42">
        <v>3.2788204523367592</v>
      </c>
      <c r="AO94" s="42">
        <v>0</v>
      </c>
      <c r="AP94" s="42">
        <v>0</v>
      </c>
      <c r="AQ94" s="42">
        <v>28.969412974639276</v>
      </c>
      <c r="AR94" s="42">
        <v>6.0143051597633264</v>
      </c>
      <c r="AS94" s="244">
        <v>4.8167514293171108</v>
      </c>
      <c r="AT94" s="42">
        <v>25.690592522302516</v>
      </c>
      <c r="AU94" s="42">
        <v>3.8811468191157998</v>
      </c>
      <c r="AV94" s="42">
        <v>0</v>
      </c>
      <c r="AW94" s="42">
        <v>0</v>
      </c>
      <c r="AX94" s="42">
        <v>29.571739341418315</v>
      </c>
      <c r="AY94" s="42">
        <v>13.898144453562113</v>
      </c>
      <c r="AZ94" s="244">
        <v>2.1277473003843359</v>
      </c>
      <c r="BA94" s="42">
        <v>25.690592522302516</v>
      </c>
      <c r="BB94" s="42">
        <v>7.1599672714525591</v>
      </c>
      <c r="BC94" s="42">
        <v>0</v>
      </c>
      <c r="BD94" s="42">
        <v>0</v>
      </c>
      <c r="BE94" s="42">
        <v>32.850559793755075</v>
      </c>
      <c r="BF94" s="42">
        <v>19.912449613325439</v>
      </c>
      <c r="BG94" s="42">
        <v>19.009767457581731</v>
      </c>
      <c r="BH94" s="244">
        <v>1.6497498013389289</v>
      </c>
      <c r="BI94" s="42">
        <v>8.9653558766852388</v>
      </c>
      <c r="BJ94" s="42">
        <v>20.717573808088371</v>
      </c>
      <c r="BK94" s="42">
        <v>0</v>
      </c>
      <c r="BL94" s="42">
        <v>84.849630498061387</v>
      </c>
      <c r="BM94" s="42">
        <v>114.53256018283498</v>
      </c>
      <c r="BN94" s="42">
        <v>25.690592522302516</v>
      </c>
      <c r="BO94" s="42">
        <v>15.155311051645604</v>
      </c>
      <c r="BP94" s="42">
        <v>7.1599672714525591</v>
      </c>
      <c r="BQ94" s="42">
        <v>0</v>
      </c>
      <c r="BR94" s="42">
        <v>0</v>
      </c>
      <c r="BS94" s="42">
        <v>0</v>
      </c>
      <c r="BT94" s="42">
        <v>0</v>
      </c>
      <c r="BU94" s="42">
        <v>0</v>
      </c>
      <c r="BV94" s="42">
        <v>0</v>
      </c>
      <c r="BW94" s="42">
        <v>0</v>
      </c>
      <c r="BX94" s="42">
        <v>76.832841567379106</v>
      </c>
      <c r="BY94" s="42"/>
      <c r="BZ94" s="42">
        <v>0</v>
      </c>
      <c r="CA94" s="42">
        <v>0</v>
      </c>
      <c r="CB94" s="42">
        <v>48.005870845400679</v>
      </c>
      <c r="CC94" s="42">
        <v>76.832841567379106</v>
      </c>
      <c r="CD94" s="245">
        <v>0.62480925950528055</v>
      </c>
      <c r="CE94" s="42">
        <v>81.267801189174662</v>
      </c>
      <c r="CF94" s="42">
        <v>0.46893835544225332</v>
      </c>
      <c r="CG94" s="42">
        <v>0.27284446649764116</v>
      </c>
      <c r="CH94" s="42">
        <v>0.74178282193989453</v>
      </c>
      <c r="CI94" s="42">
        <v>2.3446695893350033E-2</v>
      </c>
      <c r="CJ94" s="42">
        <v>1.3642223324882029E-2</v>
      </c>
      <c r="CK94" s="42">
        <v>3.7088919218232062E-2</v>
      </c>
      <c r="CL94" s="42"/>
      <c r="CM94" s="42">
        <v>2.3089148903798749</v>
      </c>
      <c r="CN94" s="42" t="s">
        <v>785</v>
      </c>
      <c r="CO94" s="42">
        <v>0</v>
      </c>
      <c r="CP94" s="42">
        <v>0</v>
      </c>
      <c r="CQ94" s="42">
        <v>15.155311051645604</v>
      </c>
      <c r="CR94" s="42">
        <v>0</v>
      </c>
      <c r="CS94" s="42">
        <v>0</v>
      </c>
      <c r="CT94" s="42">
        <v>15.155311051645604</v>
      </c>
      <c r="CU94" s="42">
        <v>0</v>
      </c>
      <c r="CV94" s="42">
        <v>0</v>
      </c>
      <c r="CW94" s="244">
        <v>9999</v>
      </c>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row>
    <row r="95" spans="1:131">
      <c r="A95" s="18" t="s">
        <v>512</v>
      </c>
      <c r="B95" s="18" t="s">
        <v>795</v>
      </c>
      <c r="C95" s="42">
        <v>7</v>
      </c>
      <c r="D95" s="42">
        <v>13.821551971467818</v>
      </c>
      <c r="E95" s="42">
        <v>0.49943654141691707</v>
      </c>
      <c r="F95" s="42">
        <v>6.5238445177826616</v>
      </c>
      <c r="G95" s="42">
        <v>0</v>
      </c>
      <c r="H95" s="42">
        <v>0</v>
      </c>
      <c r="I95" s="42" t="s">
        <v>920</v>
      </c>
      <c r="J95" s="42"/>
      <c r="K95" s="42"/>
      <c r="L95" s="42">
        <v>14.8553392159923</v>
      </c>
      <c r="M95" s="42">
        <v>2.7926012885848258E-3</v>
      </c>
      <c r="N95" s="42">
        <v>2.7724455448079341E-3</v>
      </c>
      <c r="O95" s="42">
        <v>0.50443089555617682</v>
      </c>
      <c r="P95" s="42">
        <v>0</v>
      </c>
      <c r="Q95" s="42">
        <v>0</v>
      </c>
      <c r="R95" s="42">
        <v>1.3009417456370247</v>
      </c>
      <c r="S95" s="42">
        <v>3.0062785020446379</v>
      </c>
      <c r="T95" s="42">
        <v>0</v>
      </c>
      <c r="U95" s="42">
        <v>12.312330702216023</v>
      </c>
      <c r="V95" s="42" t="s">
        <v>752</v>
      </c>
      <c r="W95" s="42" t="s">
        <v>752</v>
      </c>
      <c r="X95" s="42" t="s">
        <v>752</v>
      </c>
      <c r="Y95" s="42" t="s">
        <v>752</v>
      </c>
      <c r="Z95" s="42">
        <v>0</v>
      </c>
      <c r="AA95" s="42">
        <v>0</v>
      </c>
      <c r="AB95" s="42">
        <v>0</v>
      </c>
      <c r="AC95" s="42">
        <v>0</v>
      </c>
      <c r="AD95" s="42">
        <v>0</v>
      </c>
      <c r="AE95" s="42">
        <v>0</v>
      </c>
      <c r="AF95" s="42">
        <v>0</v>
      </c>
      <c r="AG95" s="42">
        <v>0</v>
      </c>
      <c r="AH95" s="42">
        <v>1.3009417456370247</v>
      </c>
      <c r="AI95" s="42">
        <v>3.0062785020446379</v>
      </c>
      <c r="AJ95" s="42">
        <v>0</v>
      </c>
      <c r="AK95" s="42">
        <v>12.312330702216023</v>
      </c>
      <c r="AL95" s="42">
        <v>16.619550949897686</v>
      </c>
      <c r="AM95" s="42">
        <v>7.7315871050414442</v>
      </c>
      <c r="AN95" s="42">
        <v>0.98676143444437159</v>
      </c>
      <c r="AO95" s="42">
        <v>0</v>
      </c>
      <c r="AP95" s="42">
        <v>0</v>
      </c>
      <c r="AQ95" s="42">
        <v>8.7183485394858167</v>
      </c>
      <c r="AR95" s="42">
        <v>1.3009417456370247</v>
      </c>
      <c r="AS95" s="244">
        <v>6.7015672060064091</v>
      </c>
      <c r="AT95" s="42">
        <v>7.7315871050414442</v>
      </c>
      <c r="AU95" s="42">
        <v>1.1680316315553383</v>
      </c>
      <c r="AV95" s="42">
        <v>0</v>
      </c>
      <c r="AW95" s="42">
        <v>0</v>
      </c>
      <c r="AX95" s="42">
        <v>8.899618736596782</v>
      </c>
      <c r="AY95" s="42">
        <v>3.0062785020446379</v>
      </c>
      <c r="AZ95" s="244">
        <v>2.9603440700999428</v>
      </c>
      <c r="BA95" s="42">
        <v>7.7315871050414442</v>
      </c>
      <c r="BB95" s="42">
        <v>2.1547930659997099</v>
      </c>
      <c r="BC95" s="42">
        <v>0</v>
      </c>
      <c r="BD95" s="42">
        <v>0</v>
      </c>
      <c r="BE95" s="42">
        <v>9.8863801710411536</v>
      </c>
      <c r="BF95" s="42">
        <v>4.3072202476816628</v>
      </c>
      <c r="BG95" s="42">
        <v>10.661443483739147</v>
      </c>
      <c r="BH95" s="244">
        <v>2.295304071428073</v>
      </c>
      <c r="BI95" s="42">
        <v>6.4438495363675132</v>
      </c>
      <c r="BJ95" s="42">
        <v>14.890756174563514</v>
      </c>
      <c r="BK95" s="42">
        <v>0</v>
      </c>
      <c r="BL95" s="42">
        <v>60.985671920481607</v>
      </c>
      <c r="BM95" s="42">
        <v>82.320277631412637</v>
      </c>
      <c r="BN95" s="42">
        <v>7.7315871050414442</v>
      </c>
      <c r="BO95" s="42">
        <v>3.2782135743800183</v>
      </c>
      <c r="BP95" s="42">
        <v>2.1547930659997099</v>
      </c>
      <c r="BQ95" s="42">
        <v>0</v>
      </c>
      <c r="BR95" s="42">
        <v>0</v>
      </c>
      <c r="BS95" s="42">
        <v>0</v>
      </c>
      <c r="BT95" s="42">
        <v>0</v>
      </c>
      <c r="BU95" s="42">
        <v>0</v>
      </c>
      <c r="BV95" s="42">
        <v>0</v>
      </c>
      <c r="BW95" s="42">
        <v>0</v>
      </c>
      <c r="BX95" s="42">
        <v>16.619550949897686</v>
      </c>
      <c r="BY95" s="42"/>
      <c r="BZ95" s="42">
        <v>0</v>
      </c>
      <c r="CA95" s="42">
        <v>0</v>
      </c>
      <c r="CB95" s="42">
        <v>13.164593745421174</v>
      </c>
      <c r="CC95" s="42">
        <v>16.619550949897686</v>
      </c>
      <c r="CD95" s="245">
        <v>0.79211488836900357</v>
      </c>
      <c r="CE95" s="42">
        <v>55.409405228321553</v>
      </c>
      <c r="CF95" s="42">
        <v>0.14112705804076672</v>
      </c>
      <c r="CG95" s="42">
        <v>5.9018414780072699E-2</v>
      </c>
      <c r="CH95" s="42">
        <v>0.20014547282083942</v>
      </c>
      <c r="CI95" s="42">
        <v>7.0562861275963425E-3</v>
      </c>
      <c r="CJ95" s="42">
        <v>2.9509207390036344E-3</v>
      </c>
      <c r="CK95" s="42">
        <v>1.0007206866599977E-2</v>
      </c>
      <c r="CL95" s="42"/>
      <c r="CM95" s="42">
        <v>0.49943654141691707</v>
      </c>
      <c r="CN95" s="42" t="s">
        <v>785</v>
      </c>
      <c r="CO95" s="42">
        <v>0</v>
      </c>
      <c r="CP95" s="42">
        <v>0</v>
      </c>
      <c r="CQ95" s="42">
        <v>3.2782135743800183</v>
      </c>
      <c r="CR95" s="42">
        <v>0</v>
      </c>
      <c r="CS95" s="42">
        <v>0</v>
      </c>
      <c r="CT95" s="42">
        <v>3.2782135743800183</v>
      </c>
      <c r="CU95" s="42">
        <v>0</v>
      </c>
      <c r="CV95" s="42">
        <v>0</v>
      </c>
      <c r="CW95" s="244">
        <v>9999</v>
      </c>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row>
    <row r="96" spans="1:131">
      <c r="A96" s="18" t="s">
        <v>513</v>
      </c>
      <c r="B96" s="18" t="s">
        <v>796</v>
      </c>
      <c r="C96" s="42">
        <v>7</v>
      </c>
      <c r="D96" s="42">
        <v>56.16002379111714</v>
      </c>
      <c r="E96" s="42">
        <v>1.938456045070329</v>
      </c>
      <c r="F96" s="42">
        <v>11.394407812096999</v>
      </c>
      <c r="G96" s="42">
        <v>0</v>
      </c>
      <c r="H96" s="42">
        <v>0</v>
      </c>
      <c r="I96" s="42" t="s">
        <v>920</v>
      </c>
      <c r="J96" s="42"/>
      <c r="K96" s="42"/>
      <c r="L96" s="42">
        <v>60.360530099475127</v>
      </c>
      <c r="M96" s="42">
        <v>1.1346956921319809E-2</v>
      </c>
      <c r="N96" s="42">
        <v>1.1265059674731683E-2</v>
      </c>
      <c r="O96" s="42">
        <v>1.9578405617598846</v>
      </c>
      <c r="P96" s="42">
        <v>0</v>
      </c>
      <c r="Q96" s="42">
        <v>0</v>
      </c>
      <c r="R96" s="42">
        <v>2.2721971299536508</v>
      </c>
      <c r="S96" s="42">
        <v>5.2507019680903229</v>
      </c>
      <c r="T96" s="42">
        <v>0</v>
      </c>
      <c r="U96" s="42">
        <v>21.504454429599836</v>
      </c>
      <c r="V96" s="42" t="s">
        <v>752</v>
      </c>
      <c r="W96" s="42" t="s">
        <v>752</v>
      </c>
      <c r="X96" s="42" t="s">
        <v>752</v>
      </c>
      <c r="Y96" s="42" t="s">
        <v>752</v>
      </c>
      <c r="Z96" s="42">
        <v>0</v>
      </c>
      <c r="AA96" s="42">
        <v>0</v>
      </c>
      <c r="AB96" s="42">
        <v>0</v>
      </c>
      <c r="AC96" s="42">
        <v>0</v>
      </c>
      <c r="AD96" s="42">
        <v>0</v>
      </c>
      <c r="AE96" s="42">
        <v>0</v>
      </c>
      <c r="AF96" s="42">
        <v>0</v>
      </c>
      <c r="AG96" s="42">
        <v>0</v>
      </c>
      <c r="AH96" s="42">
        <v>2.2721971299536508</v>
      </c>
      <c r="AI96" s="42">
        <v>5.2507019680903229</v>
      </c>
      <c r="AJ96" s="42">
        <v>0</v>
      </c>
      <c r="AK96" s="42">
        <v>21.504454429599836</v>
      </c>
      <c r="AL96" s="42">
        <v>29.027353527643811</v>
      </c>
      <c r="AM96" s="42">
        <v>31.415149084456306</v>
      </c>
      <c r="AN96" s="42">
        <v>4.0094300371586771</v>
      </c>
      <c r="AO96" s="42">
        <v>0</v>
      </c>
      <c r="AP96" s="42">
        <v>0</v>
      </c>
      <c r="AQ96" s="42">
        <v>35.424579121614983</v>
      </c>
      <c r="AR96" s="42">
        <v>2.2721971299536508</v>
      </c>
      <c r="AS96" s="244">
        <v>15.590451486195473</v>
      </c>
      <c r="AT96" s="42">
        <v>31.415149084456306</v>
      </c>
      <c r="AU96" s="42">
        <v>4.7459709555293115</v>
      </c>
      <c r="AV96" s="42">
        <v>0</v>
      </c>
      <c r="AW96" s="42">
        <v>0</v>
      </c>
      <c r="AX96" s="42">
        <v>36.161120039985619</v>
      </c>
      <c r="AY96" s="42">
        <v>5.2507019680903229</v>
      </c>
      <c r="AZ96" s="244">
        <v>6.8869115519686215</v>
      </c>
      <c r="BA96" s="42">
        <v>31.415149084456306</v>
      </c>
      <c r="BB96" s="42">
        <v>8.7554009926879885</v>
      </c>
      <c r="BC96" s="42">
        <v>0</v>
      </c>
      <c r="BD96" s="42">
        <v>0</v>
      </c>
      <c r="BE96" s="42">
        <v>40.170550077144298</v>
      </c>
      <c r="BF96" s="42">
        <v>7.5228990980439736</v>
      </c>
      <c r="BG96" s="42">
        <v>-1.502466041000639</v>
      </c>
      <c r="BH96" s="244">
        <v>5.3397698883917011</v>
      </c>
      <c r="BI96" s="42">
        <v>2.7698935320505145</v>
      </c>
      <c r="BJ96" s="42">
        <v>6.4008026541407368</v>
      </c>
      <c r="BK96" s="42">
        <v>0</v>
      </c>
      <c r="BL96" s="42">
        <v>26.214736586714487</v>
      </c>
      <c r="BM96" s="42">
        <v>35.385432772905745</v>
      </c>
      <c r="BN96" s="42">
        <v>31.415149084456306</v>
      </c>
      <c r="BO96" s="42">
        <v>12.723684378920604</v>
      </c>
      <c r="BP96" s="42">
        <v>8.7554009926879885</v>
      </c>
      <c r="BQ96" s="42">
        <v>0</v>
      </c>
      <c r="BR96" s="42">
        <v>0</v>
      </c>
      <c r="BS96" s="42">
        <v>0</v>
      </c>
      <c r="BT96" s="42">
        <v>0</v>
      </c>
      <c r="BU96" s="42">
        <v>0</v>
      </c>
      <c r="BV96" s="42">
        <v>0</v>
      </c>
      <c r="BW96" s="42">
        <v>0</v>
      </c>
      <c r="BX96" s="42">
        <v>29.027353527643811</v>
      </c>
      <c r="BY96" s="42"/>
      <c r="BZ96" s="42">
        <v>0</v>
      </c>
      <c r="CA96" s="42">
        <v>0</v>
      </c>
      <c r="CB96" s="42">
        <v>52.894234456064893</v>
      </c>
      <c r="CC96" s="42">
        <v>29.027353527643811</v>
      </c>
      <c r="CD96" s="244">
        <v>1.8222203552139804</v>
      </c>
      <c r="CE96" s="42">
        <v>9.2016220194817855</v>
      </c>
      <c r="CF96" s="42">
        <v>0.5734304623316584</v>
      </c>
      <c r="CG96" s="42">
        <v>0.22906734572590637</v>
      </c>
      <c r="CH96" s="42">
        <v>0.80249780805756477</v>
      </c>
      <c r="CI96" s="42">
        <v>2.867125179725068E-2</v>
      </c>
      <c r="CJ96" s="42">
        <v>1.1453367286295323E-2</v>
      </c>
      <c r="CK96" s="42">
        <v>4.0124619083546004E-2</v>
      </c>
      <c r="CL96" s="42"/>
      <c r="CM96" s="42">
        <v>1.938456045070329</v>
      </c>
      <c r="CN96" s="42" t="s">
        <v>785</v>
      </c>
      <c r="CO96" s="42">
        <v>0</v>
      </c>
      <c r="CP96" s="42">
        <v>0</v>
      </c>
      <c r="CQ96" s="42">
        <v>12.723684378920604</v>
      </c>
      <c r="CR96" s="42">
        <v>0</v>
      </c>
      <c r="CS96" s="42">
        <v>0</v>
      </c>
      <c r="CT96" s="42">
        <v>12.723684378920604</v>
      </c>
      <c r="CU96" s="42">
        <v>0</v>
      </c>
      <c r="CV96" s="42">
        <v>0</v>
      </c>
      <c r="CW96" s="244">
        <v>9999</v>
      </c>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row>
    <row r="97" spans="1:131">
      <c r="A97" s="18" t="s">
        <v>514</v>
      </c>
      <c r="B97" s="18" t="s">
        <v>797</v>
      </c>
      <c r="C97" s="42">
        <v>7</v>
      </c>
      <c r="D97" s="42">
        <v>89.679749973243858</v>
      </c>
      <c r="E97" s="42">
        <v>6.690154884316704</v>
      </c>
      <c r="F97" s="42">
        <v>43.694770652286167</v>
      </c>
      <c r="G97" s="42">
        <v>0</v>
      </c>
      <c r="H97" s="42">
        <v>0</v>
      </c>
      <c r="I97" s="42" t="s">
        <v>920</v>
      </c>
      <c r="J97" s="42"/>
      <c r="K97" s="42"/>
      <c r="L97" s="42">
        <v>96.387374544338869</v>
      </c>
      <c r="M97" s="42">
        <v>1.8119512617123967E-2</v>
      </c>
      <c r="N97" s="42">
        <v>1.7988734100632637E-2</v>
      </c>
      <c r="O97" s="42">
        <v>6.7570562821278903</v>
      </c>
      <c r="P97" s="42">
        <v>0</v>
      </c>
      <c r="Q97" s="42">
        <v>0</v>
      </c>
      <c r="R97" s="42">
        <v>8.7133209647545353</v>
      </c>
      <c r="S97" s="42">
        <v>20.135159460910224</v>
      </c>
      <c r="T97" s="42">
        <v>0</v>
      </c>
      <c r="U97" s="42">
        <v>82.464329853661496</v>
      </c>
      <c r="V97" s="42" t="s">
        <v>752</v>
      </c>
      <c r="W97" s="42" t="s">
        <v>752</v>
      </c>
      <c r="X97" s="42" t="s">
        <v>752</v>
      </c>
      <c r="Y97" s="42" t="s">
        <v>752</v>
      </c>
      <c r="Z97" s="42">
        <v>0</v>
      </c>
      <c r="AA97" s="42">
        <v>0</v>
      </c>
      <c r="AB97" s="42">
        <v>0</v>
      </c>
      <c r="AC97" s="42">
        <v>0</v>
      </c>
      <c r="AD97" s="42">
        <v>0</v>
      </c>
      <c r="AE97" s="42">
        <v>0</v>
      </c>
      <c r="AF97" s="42">
        <v>0</v>
      </c>
      <c r="AG97" s="42">
        <v>0</v>
      </c>
      <c r="AH97" s="42">
        <v>8.7133209647545353</v>
      </c>
      <c r="AI97" s="42">
        <v>20.135159460910224</v>
      </c>
      <c r="AJ97" s="42">
        <v>0</v>
      </c>
      <c r="AK97" s="42">
        <v>82.464329853661496</v>
      </c>
      <c r="AL97" s="42">
        <v>111.31281027932626</v>
      </c>
      <c r="AM97" s="42">
        <v>50.165625387641626</v>
      </c>
      <c r="AN97" s="42">
        <v>6.4025023316403296</v>
      </c>
      <c r="AO97" s="42">
        <v>0</v>
      </c>
      <c r="AP97" s="42">
        <v>0</v>
      </c>
      <c r="AQ97" s="42">
        <v>56.568127719281954</v>
      </c>
      <c r="AR97" s="42">
        <v>8.7133209647545353</v>
      </c>
      <c r="AS97" s="244">
        <v>6.4921432308187148</v>
      </c>
      <c r="AT97" s="42">
        <v>50.165625387641626</v>
      </c>
      <c r="AU97" s="42">
        <v>7.578655775773834</v>
      </c>
      <c r="AV97" s="42">
        <v>0</v>
      </c>
      <c r="AW97" s="42">
        <v>0</v>
      </c>
      <c r="AX97" s="42">
        <v>57.744281163415458</v>
      </c>
      <c r="AY97" s="42">
        <v>20.135159460910224</v>
      </c>
      <c r="AZ97" s="244">
        <v>2.8678333179093229</v>
      </c>
      <c r="BA97" s="42">
        <v>50.165625387641626</v>
      </c>
      <c r="BB97" s="42">
        <v>13.981158107414164</v>
      </c>
      <c r="BC97" s="42">
        <v>0</v>
      </c>
      <c r="BD97" s="42">
        <v>0</v>
      </c>
      <c r="BE97" s="42">
        <v>64.146783495055786</v>
      </c>
      <c r="BF97" s="42">
        <v>28.848480425664761</v>
      </c>
      <c r="BG97" s="42">
        <v>11.349656571188545</v>
      </c>
      <c r="BH97" s="244">
        <v>2.2235758191959478</v>
      </c>
      <c r="BI97" s="42">
        <v>6.6517156504438884</v>
      </c>
      <c r="BJ97" s="42">
        <v>15.371103147936537</v>
      </c>
      <c r="BK97" s="42">
        <v>0</v>
      </c>
      <c r="BL97" s="42">
        <v>62.952951659851998</v>
      </c>
      <c r="BM97" s="42">
        <v>84.975770458232432</v>
      </c>
      <c r="BN97" s="42">
        <v>50.165625387641626</v>
      </c>
      <c r="BO97" s="42">
        <v>43.912999425814391</v>
      </c>
      <c r="BP97" s="42">
        <v>13.981158107414164</v>
      </c>
      <c r="BQ97" s="42">
        <v>0</v>
      </c>
      <c r="BR97" s="42">
        <v>0</v>
      </c>
      <c r="BS97" s="42">
        <v>0</v>
      </c>
      <c r="BT97" s="42">
        <v>0</v>
      </c>
      <c r="BU97" s="42">
        <v>0</v>
      </c>
      <c r="BV97" s="42">
        <v>0</v>
      </c>
      <c r="BW97" s="42">
        <v>0</v>
      </c>
      <c r="BX97" s="42">
        <v>111.31281027932626</v>
      </c>
      <c r="BY97" s="42"/>
      <c r="BZ97" s="42">
        <v>0</v>
      </c>
      <c r="CA97" s="42">
        <v>0</v>
      </c>
      <c r="CB97" s="42">
        <v>108.05978292087018</v>
      </c>
      <c r="CC97" s="42">
        <v>111.31281027932626</v>
      </c>
      <c r="CD97" s="245">
        <v>0.97077580423768839</v>
      </c>
      <c r="CE97" s="42">
        <v>40.779593674345435</v>
      </c>
      <c r="CF97" s="42">
        <v>0.91568872335625118</v>
      </c>
      <c r="CG97" s="42">
        <v>0.79057558500896274</v>
      </c>
      <c r="CH97" s="42">
        <v>1.7062643083652138</v>
      </c>
      <c r="CI97" s="42">
        <v>4.578400290856096E-2</v>
      </c>
      <c r="CJ97" s="42">
        <v>3.9528779250448155E-2</v>
      </c>
      <c r="CK97" s="42">
        <v>8.5312782159009115E-2</v>
      </c>
      <c r="CL97" s="42"/>
      <c r="CM97" s="42">
        <v>6.690154884316704</v>
      </c>
      <c r="CN97" s="42" t="s">
        <v>785</v>
      </c>
      <c r="CO97" s="42">
        <v>0</v>
      </c>
      <c r="CP97" s="42">
        <v>0</v>
      </c>
      <c r="CQ97" s="42">
        <v>43.912999425814391</v>
      </c>
      <c r="CR97" s="42">
        <v>0</v>
      </c>
      <c r="CS97" s="42">
        <v>0</v>
      </c>
      <c r="CT97" s="42">
        <v>43.912999425814391</v>
      </c>
      <c r="CU97" s="42">
        <v>0</v>
      </c>
      <c r="CV97" s="42">
        <v>0</v>
      </c>
      <c r="CW97" s="244">
        <v>9999</v>
      </c>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row>
    <row r="98" spans="1:131">
      <c r="A98" s="18" t="s">
        <v>515</v>
      </c>
      <c r="B98" s="18" t="s">
        <v>798</v>
      </c>
      <c r="C98" s="42">
        <v>7</v>
      </c>
      <c r="D98" s="42">
        <v>534.72220244813866</v>
      </c>
      <c r="E98" s="42">
        <v>24.247195731472992</v>
      </c>
      <c r="F98" s="42">
        <v>158.36339737536787</v>
      </c>
      <c r="G98" s="42">
        <v>0</v>
      </c>
      <c r="H98" s="42">
        <v>0</v>
      </c>
      <c r="I98" s="42" t="s">
        <v>920</v>
      </c>
      <c r="J98" s="42"/>
      <c r="K98" s="42"/>
      <c r="L98" s="42">
        <v>574.71691457569568</v>
      </c>
      <c r="M98" s="42">
        <v>0.10803894632630076</v>
      </c>
      <c r="N98" s="42">
        <v>0.10725916966108917</v>
      </c>
      <c r="O98" s="42">
        <v>24.489667141400993</v>
      </c>
      <c r="P98" s="42">
        <v>0</v>
      </c>
      <c r="Q98" s="42">
        <v>0</v>
      </c>
      <c r="R98" s="42">
        <v>31.579776934436193</v>
      </c>
      <c r="S98" s="42">
        <v>72.976061238524622</v>
      </c>
      <c r="T98" s="42">
        <v>0</v>
      </c>
      <c r="U98" s="42">
        <v>298.87630128173072</v>
      </c>
      <c r="V98" s="42" t="s">
        <v>752</v>
      </c>
      <c r="W98" s="42" t="s">
        <v>752</v>
      </c>
      <c r="X98" s="42" t="s">
        <v>752</v>
      </c>
      <c r="Y98" s="42" t="s">
        <v>752</v>
      </c>
      <c r="Z98" s="42">
        <v>0</v>
      </c>
      <c r="AA98" s="42">
        <v>0</v>
      </c>
      <c r="AB98" s="42">
        <v>0</v>
      </c>
      <c r="AC98" s="42">
        <v>0</v>
      </c>
      <c r="AD98" s="42">
        <v>0</v>
      </c>
      <c r="AE98" s="42">
        <v>0</v>
      </c>
      <c r="AF98" s="42">
        <v>0</v>
      </c>
      <c r="AG98" s="42">
        <v>0</v>
      </c>
      <c r="AH98" s="42">
        <v>31.579776934436193</v>
      </c>
      <c r="AI98" s="42">
        <v>72.976061238524622</v>
      </c>
      <c r="AJ98" s="42">
        <v>0</v>
      </c>
      <c r="AK98" s="42">
        <v>298.87630128173072</v>
      </c>
      <c r="AL98" s="42">
        <v>403.43213945469154</v>
      </c>
      <c r="AM98" s="42">
        <v>299.11628547661189</v>
      </c>
      <c r="AN98" s="42">
        <v>38.175398002062742</v>
      </c>
      <c r="AO98" s="42">
        <v>0</v>
      </c>
      <c r="AP98" s="42">
        <v>0</v>
      </c>
      <c r="AQ98" s="42">
        <v>337.29168347867466</v>
      </c>
      <c r="AR98" s="42">
        <v>31.579776934436193</v>
      </c>
      <c r="AS98" s="244">
        <v>10.680622734572728</v>
      </c>
      <c r="AT98" s="42">
        <v>299.11628547661189</v>
      </c>
      <c r="AU98" s="42">
        <v>45.188300694718215</v>
      </c>
      <c r="AV98" s="42">
        <v>0</v>
      </c>
      <c r="AW98" s="42">
        <v>0</v>
      </c>
      <c r="AX98" s="42">
        <v>344.30458617133013</v>
      </c>
      <c r="AY98" s="42">
        <v>72.976061238524622</v>
      </c>
      <c r="AZ98" s="244">
        <v>4.7180483617217899</v>
      </c>
      <c r="BA98" s="42">
        <v>299.11628547661189</v>
      </c>
      <c r="BB98" s="42">
        <v>83.363698696780958</v>
      </c>
      <c r="BC98" s="42">
        <v>0</v>
      </c>
      <c r="BD98" s="42">
        <v>0</v>
      </c>
      <c r="BE98" s="42">
        <v>382.47998417339289</v>
      </c>
      <c r="BF98" s="42">
        <v>104.55583817296082</v>
      </c>
      <c r="BG98" s="42">
        <v>2.7132570424118962</v>
      </c>
      <c r="BH98" s="244">
        <v>3.6581408638384962</v>
      </c>
      <c r="BI98" s="42">
        <v>4.0431997090933418</v>
      </c>
      <c r="BJ98" s="42">
        <v>9.3432195605104393</v>
      </c>
      <c r="BK98" s="42">
        <v>0</v>
      </c>
      <c r="BL98" s="42">
        <v>38.26551963638061</v>
      </c>
      <c r="BM98" s="42">
        <v>51.651938905984395</v>
      </c>
      <c r="BN98" s="42">
        <v>299.11628547661189</v>
      </c>
      <c r="BO98" s="42">
        <v>159.15432611729918</v>
      </c>
      <c r="BP98" s="42">
        <v>83.363698696780958</v>
      </c>
      <c r="BQ98" s="42">
        <v>0</v>
      </c>
      <c r="BR98" s="42">
        <v>0</v>
      </c>
      <c r="BS98" s="42">
        <v>0</v>
      </c>
      <c r="BT98" s="42">
        <v>0</v>
      </c>
      <c r="BU98" s="42">
        <v>0</v>
      </c>
      <c r="BV98" s="42">
        <v>0</v>
      </c>
      <c r="BW98" s="42">
        <v>0</v>
      </c>
      <c r="BX98" s="42">
        <v>403.43213945469154</v>
      </c>
      <c r="BY98" s="42"/>
      <c r="BZ98" s="42">
        <v>0</v>
      </c>
      <c r="CA98" s="42">
        <v>0</v>
      </c>
      <c r="CB98" s="42">
        <v>541.63431029069204</v>
      </c>
      <c r="CC98" s="42">
        <v>403.43213945469154</v>
      </c>
      <c r="CD98" s="244">
        <v>1.3425660906015189</v>
      </c>
      <c r="CE98" s="42">
        <v>20.602042340409213</v>
      </c>
      <c r="CF98" s="42">
        <v>5.4598623552815804</v>
      </c>
      <c r="CG98" s="42">
        <v>2.8652910555439179</v>
      </c>
      <c r="CH98" s="42">
        <v>8.3251534108254983</v>
      </c>
      <c r="CI98" s="42">
        <v>0.27299053442345539</v>
      </c>
      <c r="CJ98" s="42">
        <v>0.1432645527771958</v>
      </c>
      <c r="CK98" s="42">
        <v>0.41625508720065119</v>
      </c>
      <c r="CL98" s="42"/>
      <c r="CM98" s="42">
        <v>24.247195731472992</v>
      </c>
      <c r="CN98" s="42" t="s">
        <v>785</v>
      </c>
      <c r="CO98" s="42">
        <v>0</v>
      </c>
      <c r="CP98" s="42">
        <v>0</v>
      </c>
      <c r="CQ98" s="42">
        <v>159.15432611729918</v>
      </c>
      <c r="CR98" s="42">
        <v>0</v>
      </c>
      <c r="CS98" s="42">
        <v>0</v>
      </c>
      <c r="CT98" s="42">
        <v>159.15432611729918</v>
      </c>
      <c r="CU98" s="42">
        <v>0</v>
      </c>
      <c r="CV98" s="42">
        <v>0</v>
      </c>
      <c r="CW98" s="244">
        <v>9999</v>
      </c>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row>
    <row r="99" spans="1:131">
      <c r="A99" s="18" t="s">
        <v>516</v>
      </c>
      <c r="B99" s="18" t="s">
        <v>799</v>
      </c>
      <c r="C99" s="42">
        <v>7</v>
      </c>
      <c r="D99" s="42">
        <v>8.067389421364199</v>
      </c>
      <c r="E99" s="42">
        <v>0.9942480249625304</v>
      </c>
      <c r="F99" s="42">
        <v>4.430952523097762</v>
      </c>
      <c r="G99" s="42">
        <v>0</v>
      </c>
      <c r="H99" s="42">
        <v>0</v>
      </c>
      <c r="I99" s="42" t="s">
        <v>920</v>
      </c>
      <c r="J99" s="42"/>
      <c r="K99" s="42"/>
      <c r="L99" s="42">
        <v>8.6707923024324352</v>
      </c>
      <c r="M99" s="42">
        <v>1.6299907666030883E-3</v>
      </c>
      <c r="N99" s="42">
        <v>1.6182262242086386E-3</v>
      </c>
      <c r="O99" s="42">
        <v>1.0041904827667487</v>
      </c>
      <c r="P99" s="42">
        <v>0</v>
      </c>
      <c r="Q99" s="42">
        <v>0</v>
      </c>
      <c r="R99" s="42">
        <v>0.88359112399459872</v>
      </c>
      <c r="S99" s="42">
        <v>2.0418446941002064</v>
      </c>
      <c r="T99" s="42">
        <v>0</v>
      </c>
      <c r="U99" s="42">
        <v>8.3624544762664748</v>
      </c>
      <c r="V99" s="42" t="s">
        <v>752</v>
      </c>
      <c r="W99" s="42" t="s">
        <v>752</v>
      </c>
      <c r="X99" s="42" t="s">
        <v>752</v>
      </c>
      <c r="Y99" s="42" t="s">
        <v>752</v>
      </c>
      <c r="Z99" s="42">
        <v>0</v>
      </c>
      <c r="AA99" s="42">
        <v>0</v>
      </c>
      <c r="AB99" s="42">
        <v>0</v>
      </c>
      <c r="AC99" s="42">
        <v>0</v>
      </c>
      <c r="AD99" s="42">
        <v>0</v>
      </c>
      <c r="AE99" s="42">
        <v>0</v>
      </c>
      <c r="AF99" s="42">
        <v>0</v>
      </c>
      <c r="AG99" s="42">
        <v>0</v>
      </c>
      <c r="AH99" s="42">
        <v>0.88359112399459872</v>
      </c>
      <c r="AI99" s="42">
        <v>2.0418446941002064</v>
      </c>
      <c r="AJ99" s="42">
        <v>0</v>
      </c>
      <c r="AK99" s="42">
        <v>8.3624544762664748</v>
      </c>
      <c r="AL99" s="42">
        <v>11.287890294361279</v>
      </c>
      <c r="AM99" s="42">
        <v>4.5127872868637926</v>
      </c>
      <c r="AN99" s="42">
        <v>0.57595476789292055</v>
      </c>
      <c r="AO99" s="42">
        <v>0</v>
      </c>
      <c r="AP99" s="42">
        <v>0</v>
      </c>
      <c r="AQ99" s="42">
        <v>5.0887420547567128</v>
      </c>
      <c r="AR99" s="42">
        <v>0.88359112399459872</v>
      </c>
      <c r="AS99" s="244">
        <v>5.7591593176617515</v>
      </c>
      <c r="AT99" s="42">
        <v>4.5127872868637926</v>
      </c>
      <c r="AU99" s="42">
        <v>0.68175889709638759</v>
      </c>
      <c r="AV99" s="42">
        <v>0</v>
      </c>
      <c r="AW99" s="42">
        <v>0</v>
      </c>
      <c r="AX99" s="42">
        <v>5.1945461839601803</v>
      </c>
      <c r="AY99" s="42">
        <v>2.0418446941002064</v>
      </c>
      <c r="AZ99" s="244">
        <v>2.5440456852421365</v>
      </c>
      <c r="BA99" s="42">
        <v>4.5127872868637926</v>
      </c>
      <c r="BB99" s="42">
        <v>1.2577136649893081</v>
      </c>
      <c r="BC99" s="42">
        <v>0</v>
      </c>
      <c r="BD99" s="42">
        <v>0</v>
      </c>
      <c r="BE99" s="42">
        <v>5.7705009518531005</v>
      </c>
      <c r="BF99" s="42">
        <v>2.925435818094805</v>
      </c>
      <c r="BG99" s="42">
        <v>14.152560781891502</v>
      </c>
      <c r="BH99" s="244">
        <v>1.972526936383499</v>
      </c>
      <c r="BI99" s="42">
        <v>7.4982976423185645</v>
      </c>
      <c r="BJ99" s="42">
        <v>17.327425366764821</v>
      </c>
      <c r="BK99" s="42">
        <v>0</v>
      </c>
      <c r="BL99" s="42">
        <v>70.965145507469529</v>
      </c>
      <c r="BM99" s="42">
        <v>95.790868516552905</v>
      </c>
      <c r="BN99" s="42">
        <v>4.5127872868637926</v>
      </c>
      <c r="BO99" s="42">
        <v>6.5260690827423149</v>
      </c>
      <c r="BP99" s="42">
        <v>1.2577136649893081</v>
      </c>
      <c r="BQ99" s="42">
        <v>0</v>
      </c>
      <c r="BR99" s="42">
        <v>0</v>
      </c>
      <c r="BS99" s="42">
        <v>0</v>
      </c>
      <c r="BT99" s="42">
        <v>0</v>
      </c>
      <c r="BU99" s="42">
        <v>0</v>
      </c>
      <c r="BV99" s="42">
        <v>0</v>
      </c>
      <c r="BW99" s="42">
        <v>0</v>
      </c>
      <c r="BX99" s="42">
        <v>11.287890294361279</v>
      </c>
      <c r="BY99" s="42"/>
      <c r="BZ99" s="42">
        <v>0</v>
      </c>
      <c r="CA99" s="42">
        <v>0</v>
      </c>
      <c r="CB99" s="42">
        <v>12.296570034595415</v>
      </c>
      <c r="CC99" s="42">
        <v>11.287890294361279</v>
      </c>
      <c r="CD99" s="244">
        <v>1.0893594563669713</v>
      </c>
      <c r="CE99" s="42">
        <v>29.736425187861506</v>
      </c>
      <c r="CF99" s="42">
        <v>8.2373306373743238E-2</v>
      </c>
      <c r="CG99" s="42">
        <v>0.11749028648370959</v>
      </c>
      <c r="CH99" s="42">
        <v>0.19986359285745281</v>
      </c>
      <c r="CI99" s="42">
        <v>4.1186263436554064E-3</v>
      </c>
      <c r="CJ99" s="42">
        <v>5.8745143241854788E-3</v>
      </c>
      <c r="CK99" s="42">
        <v>9.9931406678408843E-3</v>
      </c>
      <c r="CL99" s="42"/>
      <c r="CM99" s="42">
        <v>0.9942480249625304</v>
      </c>
      <c r="CN99" s="42" t="s">
        <v>785</v>
      </c>
      <c r="CO99" s="42">
        <v>0</v>
      </c>
      <c r="CP99" s="42">
        <v>0</v>
      </c>
      <c r="CQ99" s="42">
        <v>6.5260690827423149</v>
      </c>
      <c r="CR99" s="42">
        <v>0</v>
      </c>
      <c r="CS99" s="42">
        <v>0</v>
      </c>
      <c r="CT99" s="42">
        <v>6.5260690827423149</v>
      </c>
      <c r="CU99" s="42">
        <v>0</v>
      </c>
      <c r="CV99" s="42">
        <v>0</v>
      </c>
      <c r="CW99" s="244">
        <v>9999</v>
      </c>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row>
    <row r="100" spans="1:131">
      <c r="A100" s="18" t="s">
        <v>517</v>
      </c>
      <c r="B100" s="18" t="s">
        <v>800</v>
      </c>
      <c r="C100" s="42">
        <v>7</v>
      </c>
      <c r="D100" s="42">
        <v>88.673298998008477</v>
      </c>
      <c r="E100" s="42">
        <v>4.6521612306307754</v>
      </c>
      <c r="F100" s="42">
        <v>21.147415057090836</v>
      </c>
      <c r="G100" s="42">
        <v>0</v>
      </c>
      <c r="H100" s="42">
        <v>0</v>
      </c>
      <c r="I100" s="42" t="s">
        <v>920</v>
      </c>
      <c r="J100" s="42"/>
      <c r="K100" s="42"/>
      <c r="L100" s="42">
        <v>95.305645757857292</v>
      </c>
      <c r="M100" s="42">
        <v>1.7916162349647363E-2</v>
      </c>
      <c r="N100" s="42">
        <v>1.7786851524195558E-2</v>
      </c>
      <c r="O100" s="42">
        <v>4.6986827379133373</v>
      </c>
      <c r="P100" s="42">
        <v>0</v>
      </c>
      <c r="Q100" s="42">
        <v>0</v>
      </c>
      <c r="R100" s="42">
        <v>4.2170770601738896</v>
      </c>
      <c r="S100" s="42">
        <v>9.7450236722617767</v>
      </c>
      <c r="T100" s="42">
        <v>0</v>
      </c>
      <c r="U100" s="42">
        <v>39.91112402666846</v>
      </c>
      <c r="V100" s="42" t="s">
        <v>752</v>
      </c>
      <c r="W100" s="42" t="s">
        <v>752</v>
      </c>
      <c r="X100" s="42" t="s">
        <v>752</v>
      </c>
      <c r="Y100" s="42" t="s">
        <v>752</v>
      </c>
      <c r="Z100" s="42">
        <v>0</v>
      </c>
      <c r="AA100" s="42">
        <v>0</v>
      </c>
      <c r="AB100" s="42">
        <v>0</v>
      </c>
      <c r="AC100" s="42">
        <v>0</v>
      </c>
      <c r="AD100" s="42">
        <v>0</v>
      </c>
      <c r="AE100" s="42">
        <v>0</v>
      </c>
      <c r="AF100" s="42">
        <v>0</v>
      </c>
      <c r="AG100" s="42">
        <v>0</v>
      </c>
      <c r="AH100" s="42">
        <v>4.2170770601738896</v>
      </c>
      <c r="AI100" s="42">
        <v>9.7450236722617767</v>
      </c>
      <c r="AJ100" s="42">
        <v>0</v>
      </c>
      <c r="AK100" s="42">
        <v>39.91112402666846</v>
      </c>
      <c r="AL100" s="42">
        <v>53.873224759104126</v>
      </c>
      <c r="AM100" s="42">
        <v>49.602630479540871</v>
      </c>
      <c r="AN100" s="42">
        <v>6.3306488227093975</v>
      </c>
      <c r="AO100" s="42">
        <v>0</v>
      </c>
      <c r="AP100" s="42">
        <v>0</v>
      </c>
      <c r="AQ100" s="42">
        <v>55.93327930225027</v>
      </c>
      <c r="AR100" s="42">
        <v>4.2170770601738896</v>
      </c>
      <c r="AS100" s="244">
        <v>13.26351842855437</v>
      </c>
      <c r="AT100" s="42">
        <v>49.602630479540871</v>
      </c>
      <c r="AU100" s="42">
        <v>7.4936026227624097</v>
      </c>
      <c r="AV100" s="42">
        <v>0</v>
      </c>
      <c r="AW100" s="42">
        <v>0</v>
      </c>
      <c r="AX100" s="42">
        <v>57.09623310230328</v>
      </c>
      <c r="AY100" s="42">
        <v>9.7450236722617767</v>
      </c>
      <c r="AZ100" s="244">
        <v>5.8590143054061459</v>
      </c>
      <c r="BA100" s="42">
        <v>49.602630479540871</v>
      </c>
      <c r="BB100" s="42">
        <v>13.824251445471807</v>
      </c>
      <c r="BC100" s="42">
        <v>0</v>
      </c>
      <c r="BD100" s="42">
        <v>0</v>
      </c>
      <c r="BE100" s="42">
        <v>63.42688192501268</v>
      </c>
      <c r="BF100" s="42">
        <v>13.962100732435665</v>
      </c>
      <c r="BG100" s="42">
        <v>0.10642802675221108</v>
      </c>
      <c r="BH100" s="244">
        <v>4.5427893080347346</v>
      </c>
      <c r="BI100" s="42">
        <v>3.2558397657435858</v>
      </c>
      <c r="BJ100" s="42">
        <v>7.5237504882005117</v>
      </c>
      <c r="BK100" s="42">
        <v>0</v>
      </c>
      <c r="BL100" s="42">
        <v>30.813813180874916</v>
      </c>
      <c r="BM100" s="42">
        <v>41.59340343481901</v>
      </c>
      <c r="BN100" s="42">
        <v>49.602630479540871</v>
      </c>
      <c r="BO100" s="42">
        <v>30.535967699102141</v>
      </c>
      <c r="BP100" s="42">
        <v>13.824251445471807</v>
      </c>
      <c r="BQ100" s="42">
        <v>0</v>
      </c>
      <c r="BR100" s="42">
        <v>0</v>
      </c>
      <c r="BS100" s="42">
        <v>0</v>
      </c>
      <c r="BT100" s="42">
        <v>0</v>
      </c>
      <c r="BU100" s="42">
        <v>0</v>
      </c>
      <c r="BV100" s="42">
        <v>0</v>
      </c>
      <c r="BW100" s="42">
        <v>0</v>
      </c>
      <c r="BX100" s="42">
        <v>53.873224759104126</v>
      </c>
      <c r="BY100" s="42"/>
      <c r="BZ100" s="42">
        <v>0</v>
      </c>
      <c r="CA100" s="42">
        <v>0</v>
      </c>
      <c r="CB100" s="42">
        <v>93.962849624114824</v>
      </c>
      <c r="CC100" s="42">
        <v>53.873224759104126</v>
      </c>
      <c r="CD100" s="244">
        <v>1.7441474878155663</v>
      </c>
      <c r="CE100" s="42">
        <v>7.344618447700876</v>
      </c>
      <c r="CF100" s="42">
        <v>0.90541220263770728</v>
      </c>
      <c r="CG100" s="42">
        <v>0.54974588033586014</v>
      </c>
      <c r="CH100" s="42">
        <v>1.4551580829735675</v>
      </c>
      <c r="CI100" s="42">
        <v>4.5270181734982207E-2</v>
      </c>
      <c r="CJ100" s="42">
        <v>2.7487294016793021E-2</v>
      </c>
      <c r="CK100" s="42">
        <v>7.2757475751775227E-2</v>
      </c>
      <c r="CL100" s="42"/>
      <c r="CM100" s="42">
        <v>4.6521612306307754</v>
      </c>
      <c r="CN100" s="42" t="s">
        <v>785</v>
      </c>
      <c r="CO100" s="42">
        <v>0</v>
      </c>
      <c r="CP100" s="42">
        <v>0</v>
      </c>
      <c r="CQ100" s="42">
        <v>30.535967699102141</v>
      </c>
      <c r="CR100" s="42">
        <v>0</v>
      </c>
      <c r="CS100" s="42">
        <v>0</v>
      </c>
      <c r="CT100" s="42">
        <v>30.535967699102141</v>
      </c>
      <c r="CU100" s="42">
        <v>0</v>
      </c>
      <c r="CV100" s="42">
        <v>0</v>
      </c>
      <c r="CW100" s="244">
        <v>9999</v>
      </c>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row>
    <row r="101" spans="1:131">
      <c r="A101" s="18" t="s">
        <v>518</v>
      </c>
      <c r="B101" s="18" t="s">
        <v>801</v>
      </c>
      <c r="C101" s="42">
        <v>7</v>
      </c>
      <c r="D101" s="42">
        <v>0</v>
      </c>
      <c r="E101" s="42">
        <v>0</v>
      </c>
      <c r="F101" s="42">
        <v>0</v>
      </c>
      <c r="G101" s="42">
        <v>0</v>
      </c>
      <c r="H101" s="42">
        <v>0</v>
      </c>
      <c r="I101" s="42" t="s">
        <v>920</v>
      </c>
      <c r="J101" s="42"/>
      <c r="K101" s="42"/>
      <c r="L101" s="42">
        <v>0</v>
      </c>
      <c r="M101" s="42">
        <v>0</v>
      </c>
      <c r="N101" s="42">
        <v>0</v>
      </c>
      <c r="O101" s="42">
        <v>0</v>
      </c>
      <c r="P101" s="42">
        <v>0</v>
      </c>
      <c r="Q101" s="42">
        <v>0</v>
      </c>
      <c r="R101" s="42">
        <v>0</v>
      </c>
      <c r="S101" s="42">
        <v>0</v>
      </c>
      <c r="T101" s="42">
        <v>0</v>
      </c>
      <c r="U101" s="42">
        <v>0</v>
      </c>
      <c r="V101" s="42" t="s">
        <v>752</v>
      </c>
      <c r="W101" s="42" t="s">
        <v>752</v>
      </c>
      <c r="X101" s="42" t="s">
        <v>752</v>
      </c>
      <c r="Y101" s="42" t="s">
        <v>752</v>
      </c>
      <c r="Z101" s="42">
        <v>0</v>
      </c>
      <c r="AA101" s="42">
        <v>0</v>
      </c>
      <c r="AB101" s="42">
        <v>0</v>
      </c>
      <c r="AC101" s="42">
        <v>0</v>
      </c>
      <c r="AD101" s="42">
        <v>0</v>
      </c>
      <c r="AE101" s="42">
        <v>0</v>
      </c>
      <c r="AF101" s="42">
        <v>0</v>
      </c>
      <c r="AG101" s="42">
        <v>0</v>
      </c>
      <c r="AH101" s="42">
        <v>0</v>
      </c>
      <c r="AI101" s="42">
        <v>0</v>
      </c>
      <c r="AJ101" s="42">
        <v>0</v>
      </c>
      <c r="AK101" s="42">
        <v>0</v>
      </c>
      <c r="AL101" s="42">
        <v>0</v>
      </c>
      <c r="AM101" s="42">
        <v>0</v>
      </c>
      <c r="AN101" s="42">
        <v>0</v>
      </c>
      <c r="AO101" s="42">
        <v>0</v>
      </c>
      <c r="AP101" s="42">
        <v>0</v>
      </c>
      <c r="AQ101" s="42">
        <v>0</v>
      </c>
      <c r="AR101" s="42">
        <v>0</v>
      </c>
      <c r="AS101" s="244">
        <v>9999</v>
      </c>
      <c r="AT101" s="42">
        <v>0</v>
      </c>
      <c r="AU101" s="42">
        <v>0</v>
      </c>
      <c r="AV101" s="42">
        <v>0</v>
      </c>
      <c r="AW101" s="42">
        <v>0</v>
      </c>
      <c r="AX101" s="42">
        <v>0</v>
      </c>
      <c r="AY101" s="42">
        <v>0</v>
      </c>
      <c r="AZ101" s="244">
        <v>9999</v>
      </c>
      <c r="BA101" s="42">
        <v>0</v>
      </c>
      <c r="BB101" s="42">
        <v>0</v>
      </c>
      <c r="BC101" s="42">
        <v>0</v>
      </c>
      <c r="BD101" s="42">
        <v>0</v>
      </c>
      <c r="BE101" s="42">
        <v>0</v>
      </c>
      <c r="BF101" s="42">
        <v>0</v>
      </c>
      <c r="BG101" s="42">
        <v>9999</v>
      </c>
      <c r="BH101" s="244">
        <v>9999</v>
      </c>
      <c r="BI101" s="42">
        <v>9999</v>
      </c>
      <c r="BJ101" s="42">
        <v>9999</v>
      </c>
      <c r="BK101" s="42">
        <v>9999</v>
      </c>
      <c r="BL101" s="42">
        <v>9999</v>
      </c>
      <c r="BM101" s="42">
        <v>9999</v>
      </c>
      <c r="BN101" s="42">
        <v>0</v>
      </c>
      <c r="BO101" s="42">
        <v>0</v>
      </c>
      <c r="BP101" s="42">
        <v>0</v>
      </c>
      <c r="BQ101" s="42">
        <v>0</v>
      </c>
      <c r="BR101" s="42">
        <v>0</v>
      </c>
      <c r="BS101" s="42">
        <v>0</v>
      </c>
      <c r="BT101" s="42">
        <v>0</v>
      </c>
      <c r="BU101" s="42">
        <v>0</v>
      </c>
      <c r="BV101" s="42">
        <v>0</v>
      </c>
      <c r="BW101" s="42">
        <v>0</v>
      </c>
      <c r="BX101" s="42">
        <v>0</v>
      </c>
      <c r="BY101" s="42"/>
      <c r="BZ101" s="42">
        <v>0</v>
      </c>
      <c r="CA101" s="42">
        <v>0</v>
      </c>
      <c r="CB101" s="42">
        <v>0</v>
      </c>
      <c r="CC101" s="42">
        <v>0</v>
      </c>
      <c r="CD101" s="244">
        <v>9999</v>
      </c>
      <c r="CE101" s="42">
        <v>9999</v>
      </c>
      <c r="CF101" s="42">
        <v>0</v>
      </c>
      <c r="CG101" s="42">
        <v>0</v>
      </c>
      <c r="CH101" s="42">
        <v>0</v>
      </c>
      <c r="CI101" s="42">
        <v>0</v>
      </c>
      <c r="CJ101" s="42">
        <v>0</v>
      </c>
      <c r="CK101" s="42">
        <v>0</v>
      </c>
      <c r="CL101" s="42"/>
      <c r="CM101" s="42">
        <v>0</v>
      </c>
      <c r="CN101" s="42" t="s">
        <v>785</v>
      </c>
      <c r="CO101" s="42">
        <v>0</v>
      </c>
      <c r="CP101" s="42">
        <v>0</v>
      </c>
      <c r="CQ101" s="42">
        <v>0</v>
      </c>
      <c r="CR101" s="42">
        <v>0</v>
      </c>
      <c r="CS101" s="42">
        <v>0</v>
      </c>
      <c r="CT101" s="42">
        <v>0</v>
      </c>
      <c r="CU101" s="42">
        <v>0</v>
      </c>
      <c r="CV101" s="42">
        <v>9999</v>
      </c>
      <c r="CW101" s="244">
        <v>9999</v>
      </c>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row>
    <row r="102" spans="1:131">
      <c r="A102" s="18" t="s">
        <v>519</v>
      </c>
      <c r="B102" s="18" t="s">
        <v>802</v>
      </c>
      <c r="C102" s="42">
        <v>7</v>
      </c>
      <c r="D102" s="42">
        <v>38.763702811071383</v>
      </c>
      <c r="E102" s="42">
        <v>1.5303098205920076</v>
      </c>
      <c r="F102" s="42">
        <v>11.593929264862524</v>
      </c>
      <c r="G102" s="42">
        <v>0</v>
      </c>
      <c r="H102" s="42">
        <v>0</v>
      </c>
      <c r="I102" s="42" t="s">
        <v>920</v>
      </c>
      <c r="J102" s="42"/>
      <c r="K102" s="42"/>
      <c r="L102" s="42">
        <v>41.663045923867109</v>
      </c>
      <c r="M102" s="42">
        <v>7.83208475024973E-3</v>
      </c>
      <c r="N102" s="42">
        <v>7.7755562747705348E-3</v>
      </c>
      <c r="O102" s="42">
        <v>1.5456128842507868</v>
      </c>
      <c r="P102" s="42">
        <v>0</v>
      </c>
      <c r="Q102" s="42">
        <v>0</v>
      </c>
      <c r="R102" s="42">
        <v>2.3119843729428569</v>
      </c>
      <c r="S102" s="42">
        <v>5.3426442350328802</v>
      </c>
      <c r="T102" s="42">
        <v>0</v>
      </c>
      <c r="U102" s="42">
        <v>21.881007565092197</v>
      </c>
      <c r="V102" s="42" t="s">
        <v>752</v>
      </c>
      <c r="W102" s="42" t="s">
        <v>752</v>
      </c>
      <c r="X102" s="42" t="s">
        <v>752</v>
      </c>
      <c r="Y102" s="42" t="s">
        <v>752</v>
      </c>
      <c r="Z102" s="42">
        <v>0</v>
      </c>
      <c r="AA102" s="42">
        <v>0</v>
      </c>
      <c r="AB102" s="42">
        <v>0</v>
      </c>
      <c r="AC102" s="42">
        <v>0</v>
      </c>
      <c r="AD102" s="42">
        <v>0</v>
      </c>
      <c r="AE102" s="42">
        <v>0</v>
      </c>
      <c r="AF102" s="42">
        <v>0</v>
      </c>
      <c r="AG102" s="42">
        <v>0</v>
      </c>
      <c r="AH102" s="42">
        <v>2.3119843729428569</v>
      </c>
      <c r="AI102" s="42">
        <v>5.3426442350328802</v>
      </c>
      <c r="AJ102" s="42">
        <v>0</v>
      </c>
      <c r="AK102" s="42">
        <v>21.881007565092197</v>
      </c>
      <c r="AL102" s="42">
        <v>29.535636173067935</v>
      </c>
      <c r="AM102" s="42">
        <v>21.683885096002768</v>
      </c>
      <c r="AN102" s="42">
        <v>2.7674552806508026</v>
      </c>
      <c r="AO102" s="42">
        <v>0</v>
      </c>
      <c r="AP102" s="42">
        <v>0</v>
      </c>
      <c r="AQ102" s="42">
        <v>24.451340376653572</v>
      </c>
      <c r="AR102" s="42">
        <v>2.3119843729428569</v>
      </c>
      <c r="AS102" s="244">
        <v>10.575910746978874</v>
      </c>
      <c r="AT102" s="42">
        <v>21.683885096002768</v>
      </c>
      <c r="AU102" s="42">
        <v>3.2758427659215767</v>
      </c>
      <c r="AV102" s="42">
        <v>0</v>
      </c>
      <c r="AW102" s="42">
        <v>0</v>
      </c>
      <c r="AX102" s="42">
        <v>24.959727861924346</v>
      </c>
      <c r="AY102" s="42">
        <v>5.3426442350328802</v>
      </c>
      <c r="AZ102" s="244">
        <v>4.6717929856264773</v>
      </c>
      <c r="BA102" s="42">
        <v>21.683885096002768</v>
      </c>
      <c r="BB102" s="42">
        <v>6.0432980465723798</v>
      </c>
      <c r="BC102" s="42">
        <v>0</v>
      </c>
      <c r="BD102" s="42">
        <v>0</v>
      </c>
      <c r="BE102" s="42">
        <v>27.72718314257515</v>
      </c>
      <c r="BF102" s="42">
        <v>7.6546286079757371</v>
      </c>
      <c r="BG102" s="42">
        <v>2.8457958470614413</v>
      </c>
      <c r="BH102" s="244">
        <v>3.6222767377224314</v>
      </c>
      <c r="BI102" s="42">
        <v>4.0832313893813961</v>
      </c>
      <c r="BJ102" s="42">
        <v>9.4357266848719306</v>
      </c>
      <c r="BK102" s="42">
        <v>0</v>
      </c>
      <c r="BL102" s="42">
        <v>38.644386167433893</v>
      </c>
      <c r="BM102" s="42">
        <v>52.16334424168722</v>
      </c>
      <c r="BN102" s="42">
        <v>21.683885096002768</v>
      </c>
      <c r="BO102" s="42">
        <v>10.044684381001206</v>
      </c>
      <c r="BP102" s="42">
        <v>6.0432980465723798</v>
      </c>
      <c r="BQ102" s="42">
        <v>0</v>
      </c>
      <c r="BR102" s="42">
        <v>0</v>
      </c>
      <c r="BS102" s="42">
        <v>0</v>
      </c>
      <c r="BT102" s="42">
        <v>0</v>
      </c>
      <c r="BU102" s="42">
        <v>0</v>
      </c>
      <c r="BV102" s="42">
        <v>0</v>
      </c>
      <c r="BW102" s="42">
        <v>0</v>
      </c>
      <c r="BX102" s="42">
        <v>29.535636173067935</v>
      </c>
      <c r="BY102" s="42"/>
      <c r="BZ102" s="42">
        <v>0</v>
      </c>
      <c r="CA102" s="42">
        <v>0</v>
      </c>
      <c r="CB102" s="42">
        <v>37.771867523576354</v>
      </c>
      <c r="CC102" s="42">
        <v>29.535636173067935</v>
      </c>
      <c r="CD102" s="244">
        <v>1.278857421666733</v>
      </c>
      <c r="CE102" s="42">
        <v>23.750109442669658</v>
      </c>
      <c r="CF102" s="42">
        <v>0.39580268176730182</v>
      </c>
      <c r="CG102" s="42">
        <v>0.18083670745734212</v>
      </c>
      <c r="CH102" s="42">
        <v>0.57663938922464397</v>
      </c>
      <c r="CI102" s="42">
        <v>1.9789946813836872E-2</v>
      </c>
      <c r="CJ102" s="42">
        <v>9.0418353728671033E-3</v>
      </c>
      <c r="CK102" s="42">
        <v>2.8831782186703975E-2</v>
      </c>
      <c r="CL102" s="42"/>
      <c r="CM102" s="42">
        <v>1.5303098205920076</v>
      </c>
      <c r="CN102" s="42" t="s">
        <v>785</v>
      </c>
      <c r="CO102" s="42">
        <v>0</v>
      </c>
      <c r="CP102" s="42">
        <v>0</v>
      </c>
      <c r="CQ102" s="42">
        <v>10.044684381001206</v>
      </c>
      <c r="CR102" s="42">
        <v>0</v>
      </c>
      <c r="CS102" s="42">
        <v>0</v>
      </c>
      <c r="CT102" s="42">
        <v>10.044684381001206</v>
      </c>
      <c r="CU102" s="42">
        <v>0</v>
      </c>
      <c r="CV102" s="42">
        <v>0</v>
      </c>
      <c r="CW102" s="244">
        <v>9999</v>
      </c>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row>
    <row r="103" spans="1:131">
      <c r="A103" s="18" t="s">
        <v>520</v>
      </c>
      <c r="B103" s="18" t="s">
        <v>803</v>
      </c>
      <c r="C103" s="42">
        <v>7</v>
      </c>
      <c r="D103" s="42">
        <v>40.056570454329531</v>
      </c>
      <c r="E103" s="42">
        <v>1.8790153215572614</v>
      </c>
      <c r="F103" s="42">
        <v>10.676843227716512</v>
      </c>
      <c r="G103" s="42">
        <v>0</v>
      </c>
      <c r="H103" s="42">
        <v>0</v>
      </c>
      <c r="I103" s="42" t="s">
        <v>920</v>
      </c>
      <c r="J103" s="42"/>
      <c r="K103" s="42"/>
      <c r="L103" s="42">
        <v>43.052614001433774</v>
      </c>
      <c r="M103" s="42">
        <v>8.0933046084816773E-3</v>
      </c>
      <c r="N103" s="42">
        <v>8.0348907652081324E-3</v>
      </c>
      <c r="O103" s="42">
        <v>1.897805432353576</v>
      </c>
      <c r="P103" s="42">
        <v>0</v>
      </c>
      <c r="Q103" s="42">
        <v>0</v>
      </c>
      <c r="R103" s="42">
        <v>2.1291051662401226</v>
      </c>
      <c r="S103" s="42">
        <v>4.9200382041131823</v>
      </c>
      <c r="T103" s="42">
        <v>0</v>
      </c>
      <c r="U103" s="42">
        <v>20.150208104597972</v>
      </c>
      <c r="V103" s="42" t="s">
        <v>752</v>
      </c>
      <c r="W103" s="42" t="s">
        <v>752</v>
      </c>
      <c r="X103" s="42" t="s">
        <v>752</v>
      </c>
      <c r="Y103" s="42" t="s">
        <v>752</v>
      </c>
      <c r="Z103" s="42">
        <v>0</v>
      </c>
      <c r="AA103" s="42">
        <v>0</v>
      </c>
      <c r="AB103" s="42">
        <v>0</v>
      </c>
      <c r="AC103" s="42">
        <v>0</v>
      </c>
      <c r="AD103" s="42">
        <v>0</v>
      </c>
      <c r="AE103" s="42">
        <v>0</v>
      </c>
      <c r="AF103" s="42">
        <v>0</v>
      </c>
      <c r="AG103" s="42">
        <v>0</v>
      </c>
      <c r="AH103" s="42">
        <v>2.1291051662401226</v>
      </c>
      <c r="AI103" s="42">
        <v>4.9200382041131823</v>
      </c>
      <c r="AJ103" s="42">
        <v>0</v>
      </c>
      <c r="AK103" s="42">
        <v>20.150208104597972</v>
      </c>
      <c r="AL103" s="42">
        <v>27.199351474951278</v>
      </c>
      <c r="AM103" s="42">
        <v>22.407097570244087</v>
      </c>
      <c r="AN103" s="42">
        <v>2.8597569218009196</v>
      </c>
      <c r="AO103" s="42">
        <v>0</v>
      </c>
      <c r="AP103" s="42">
        <v>0</v>
      </c>
      <c r="AQ103" s="42">
        <v>25.266854492045006</v>
      </c>
      <c r="AR103" s="42">
        <v>2.1291051662401226</v>
      </c>
      <c r="AS103" s="244">
        <v>11.867358593969699</v>
      </c>
      <c r="AT103" s="42">
        <v>22.407097570244087</v>
      </c>
      <c r="AU103" s="42">
        <v>3.3851004170057144</v>
      </c>
      <c r="AV103" s="42">
        <v>0</v>
      </c>
      <c r="AW103" s="42">
        <v>0</v>
      </c>
      <c r="AX103" s="42">
        <v>25.7921979872498</v>
      </c>
      <c r="AY103" s="42">
        <v>4.9200382041131823</v>
      </c>
      <c r="AZ103" s="244">
        <v>5.2422759574686557</v>
      </c>
      <c r="BA103" s="42">
        <v>22.407097570244087</v>
      </c>
      <c r="BB103" s="42">
        <v>6.244857338806634</v>
      </c>
      <c r="BC103" s="42">
        <v>0</v>
      </c>
      <c r="BD103" s="42">
        <v>0</v>
      </c>
      <c r="BE103" s="42">
        <v>28.651954909050719</v>
      </c>
      <c r="BF103" s="42">
        <v>7.0491433703533044</v>
      </c>
      <c r="BG103" s="42">
        <v>1.3746151154515243</v>
      </c>
      <c r="BH103" s="244">
        <v>4.0646009598205515</v>
      </c>
      <c r="BI103" s="42">
        <v>3.6388797381840083</v>
      </c>
      <c r="BJ103" s="42">
        <v>8.4088976044593977</v>
      </c>
      <c r="BK103" s="42">
        <v>0</v>
      </c>
      <c r="BL103" s="42">
        <v>34.438967672742557</v>
      </c>
      <c r="BM103" s="42">
        <v>46.486745015385964</v>
      </c>
      <c r="BN103" s="42">
        <v>22.407097570244087</v>
      </c>
      <c r="BO103" s="42">
        <v>12.333525929283168</v>
      </c>
      <c r="BP103" s="42">
        <v>6.244857338806634</v>
      </c>
      <c r="BQ103" s="42">
        <v>0</v>
      </c>
      <c r="BR103" s="42">
        <v>0</v>
      </c>
      <c r="BS103" s="42">
        <v>0</v>
      </c>
      <c r="BT103" s="42">
        <v>0</v>
      </c>
      <c r="BU103" s="42">
        <v>0</v>
      </c>
      <c r="BV103" s="42">
        <v>0</v>
      </c>
      <c r="BW103" s="42">
        <v>0</v>
      </c>
      <c r="BX103" s="42">
        <v>27.199351474951278</v>
      </c>
      <c r="BY103" s="42"/>
      <c r="BZ103" s="42">
        <v>0</v>
      </c>
      <c r="CA103" s="42">
        <v>0</v>
      </c>
      <c r="CB103" s="42">
        <v>40.985480838333885</v>
      </c>
      <c r="CC103" s="42">
        <v>27.199351474951278</v>
      </c>
      <c r="CD103" s="244">
        <v>1.5068550761616017</v>
      </c>
      <c r="CE103" s="42">
        <v>14.734202438142384</v>
      </c>
      <c r="CF103" s="42">
        <v>0.40900370342578013</v>
      </c>
      <c r="CG103" s="42">
        <v>0.2220432355853682</v>
      </c>
      <c r="CH103" s="42">
        <v>0.63104693901114839</v>
      </c>
      <c r="CI103" s="42">
        <v>2.0449991650681044E-2</v>
      </c>
      <c r="CJ103" s="42">
        <v>1.1102161779268422E-2</v>
      </c>
      <c r="CK103" s="42">
        <v>3.1552153429949464E-2</v>
      </c>
      <c r="CL103" s="42"/>
      <c r="CM103" s="42">
        <v>1.8790153215572614</v>
      </c>
      <c r="CN103" s="42" t="s">
        <v>785</v>
      </c>
      <c r="CO103" s="42">
        <v>0</v>
      </c>
      <c r="CP103" s="42">
        <v>0</v>
      </c>
      <c r="CQ103" s="42">
        <v>12.333525929283168</v>
      </c>
      <c r="CR103" s="42">
        <v>0</v>
      </c>
      <c r="CS103" s="42">
        <v>0</v>
      </c>
      <c r="CT103" s="42">
        <v>12.333525929283168</v>
      </c>
      <c r="CU103" s="42">
        <v>0</v>
      </c>
      <c r="CV103" s="42">
        <v>0</v>
      </c>
      <c r="CW103" s="244">
        <v>9999</v>
      </c>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row>
    <row r="104" spans="1:131">
      <c r="A104" s="18" t="s">
        <v>521</v>
      </c>
      <c r="B104" s="18" t="s">
        <v>804</v>
      </c>
      <c r="C104" s="42">
        <v>7</v>
      </c>
      <c r="D104" s="42">
        <v>1075.3938250217043</v>
      </c>
      <c r="E104" s="42">
        <v>46.60743416867669</v>
      </c>
      <c r="F104" s="42">
        <v>176.55356049382607</v>
      </c>
      <c r="G104" s="42">
        <v>0</v>
      </c>
      <c r="H104" s="42">
        <v>0</v>
      </c>
      <c r="I104" s="42" t="s">
        <v>920</v>
      </c>
      <c r="J104" s="42"/>
      <c r="K104" s="42"/>
      <c r="L104" s="42">
        <v>1155.8282379908701</v>
      </c>
      <c r="M104" s="42">
        <v>0.21727995435615677</v>
      </c>
      <c r="N104" s="42">
        <v>0.21571172508341419</v>
      </c>
      <c r="O104" s="42">
        <v>47.073507458188551</v>
      </c>
      <c r="P104" s="42">
        <v>0</v>
      </c>
      <c r="Q104" s="42">
        <v>0</v>
      </c>
      <c r="R104" s="42">
        <v>35.207138453590296</v>
      </c>
      <c r="S104" s="42">
        <v>81.358341990717122</v>
      </c>
      <c r="T104" s="42">
        <v>0</v>
      </c>
      <c r="U104" s="42">
        <v>333.20625859926525</v>
      </c>
      <c r="V104" s="42" t="s">
        <v>752</v>
      </c>
      <c r="W104" s="42" t="s">
        <v>752</v>
      </c>
      <c r="X104" s="42" t="s">
        <v>752</v>
      </c>
      <c r="Y104" s="42" t="s">
        <v>752</v>
      </c>
      <c r="Z104" s="42">
        <v>0</v>
      </c>
      <c r="AA104" s="42">
        <v>0</v>
      </c>
      <c r="AB104" s="42">
        <v>0</v>
      </c>
      <c r="AC104" s="42">
        <v>0</v>
      </c>
      <c r="AD104" s="42">
        <v>0</v>
      </c>
      <c r="AE104" s="42">
        <v>0</v>
      </c>
      <c r="AF104" s="42">
        <v>0</v>
      </c>
      <c r="AG104" s="42">
        <v>0</v>
      </c>
      <c r="AH104" s="42">
        <v>35.207138453590296</v>
      </c>
      <c r="AI104" s="42">
        <v>81.358341990717122</v>
      </c>
      <c r="AJ104" s="42">
        <v>0</v>
      </c>
      <c r="AK104" s="42">
        <v>333.20625859926525</v>
      </c>
      <c r="AL104" s="42">
        <v>449.77173904357267</v>
      </c>
      <c r="AM104" s="42">
        <v>601.56059518806956</v>
      </c>
      <c r="AN104" s="42">
        <v>76.775542685916179</v>
      </c>
      <c r="AO104" s="42">
        <v>0</v>
      </c>
      <c r="AP104" s="42">
        <v>0</v>
      </c>
      <c r="AQ104" s="42">
        <v>678.33613787398576</v>
      </c>
      <c r="AR104" s="42">
        <v>35.207138453590296</v>
      </c>
      <c r="AS104" s="244">
        <v>19.267005717268439</v>
      </c>
      <c r="AT104" s="42">
        <v>601.56059518806956</v>
      </c>
      <c r="AU104" s="42">
        <v>90.879374949906065</v>
      </c>
      <c r="AV104" s="42">
        <v>0</v>
      </c>
      <c r="AW104" s="42">
        <v>0</v>
      </c>
      <c r="AX104" s="42">
        <v>692.43997013797559</v>
      </c>
      <c r="AY104" s="42">
        <v>81.358341990717122</v>
      </c>
      <c r="AZ104" s="244">
        <v>8.5109892015373436</v>
      </c>
      <c r="BA104" s="42">
        <v>601.56059518806956</v>
      </c>
      <c r="BB104" s="42">
        <v>167.65491763582224</v>
      </c>
      <c r="BC104" s="42">
        <v>0</v>
      </c>
      <c r="BD104" s="42">
        <v>0</v>
      </c>
      <c r="BE104" s="42">
        <v>769.2155128238918</v>
      </c>
      <c r="BF104" s="42">
        <v>116.56548044430741</v>
      </c>
      <c r="BG104" s="42">
        <v>-3.2524298059984824</v>
      </c>
      <c r="BH104" s="244">
        <v>6.5989992053557156</v>
      </c>
      <c r="BI104" s="42">
        <v>2.2413389691713106</v>
      </c>
      <c r="BJ104" s="42">
        <v>5.1793934520220946</v>
      </c>
      <c r="BK104" s="42">
        <v>0</v>
      </c>
      <c r="BL104" s="42">
        <v>21.212407624515347</v>
      </c>
      <c r="BM104" s="42">
        <v>28.633140045708753</v>
      </c>
      <c r="BN104" s="42">
        <v>601.56059518806956</v>
      </c>
      <c r="BO104" s="42">
        <v>305.92299659394473</v>
      </c>
      <c r="BP104" s="42">
        <v>167.65491763582224</v>
      </c>
      <c r="BQ104" s="42">
        <v>0</v>
      </c>
      <c r="BR104" s="42">
        <v>0</v>
      </c>
      <c r="BS104" s="42">
        <v>0</v>
      </c>
      <c r="BT104" s="42">
        <v>0</v>
      </c>
      <c r="BU104" s="42">
        <v>0</v>
      </c>
      <c r="BV104" s="42">
        <v>0</v>
      </c>
      <c r="BW104" s="42">
        <v>0</v>
      </c>
      <c r="BX104" s="42">
        <v>449.77173904357267</v>
      </c>
      <c r="BY104" s="42"/>
      <c r="BZ104" s="42">
        <v>0</v>
      </c>
      <c r="CA104" s="42">
        <v>0</v>
      </c>
      <c r="CB104" s="42">
        <v>1075.1385094178365</v>
      </c>
      <c r="CC104" s="42">
        <v>449.77173904357267</v>
      </c>
      <c r="CD104" s="244">
        <v>2.3904092144697424</v>
      </c>
      <c r="CE104" s="42">
        <v>-1.5155366353352457</v>
      </c>
      <c r="CF104" s="42">
        <v>10.9804721693929</v>
      </c>
      <c r="CG104" s="42">
        <v>5.5076003726080627</v>
      </c>
      <c r="CH104" s="42">
        <v>16.488072542000964</v>
      </c>
      <c r="CI104" s="42">
        <v>0.54901841304566323</v>
      </c>
      <c r="CJ104" s="42">
        <v>0.27538001863040296</v>
      </c>
      <c r="CK104" s="42">
        <v>0.82439843167606619</v>
      </c>
      <c r="CL104" s="42"/>
      <c r="CM104" s="42">
        <v>46.60743416867669</v>
      </c>
      <c r="CN104" s="42" t="s">
        <v>785</v>
      </c>
      <c r="CO104" s="42">
        <v>0</v>
      </c>
      <c r="CP104" s="42">
        <v>0</v>
      </c>
      <c r="CQ104" s="42">
        <v>305.92299659394473</v>
      </c>
      <c r="CR104" s="42">
        <v>0</v>
      </c>
      <c r="CS104" s="42">
        <v>0</v>
      </c>
      <c r="CT104" s="42">
        <v>305.92299659394473</v>
      </c>
      <c r="CU104" s="42">
        <v>0</v>
      </c>
      <c r="CV104" s="42">
        <v>0</v>
      </c>
      <c r="CW104" s="244">
        <v>9999</v>
      </c>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row>
    <row r="105" spans="1:131">
      <c r="A105" s="18" t="s">
        <v>522</v>
      </c>
      <c r="B105" s="18" t="s">
        <v>805</v>
      </c>
      <c r="C105" s="42">
        <v>7</v>
      </c>
      <c r="D105" s="42">
        <v>108.20506982814733</v>
      </c>
      <c r="E105" s="42">
        <v>5.5313162624342294</v>
      </c>
      <c r="F105" s="42">
        <v>20.95317190849541</v>
      </c>
      <c r="G105" s="42">
        <v>0</v>
      </c>
      <c r="H105" s="42">
        <v>0</v>
      </c>
      <c r="I105" s="42" t="s">
        <v>920</v>
      </c>
      <c r="J105" s="42"/>
      <c r="K105" s="42"/>
      <c r="L105" s="42">
        <v>116.29830141401679</v>
      </c>
      <c r="M105" s="42">
        <v>2.186249547498573E-2</v>
      </c>
      <c r="N105" s="42">
        <v>2.170470178674298E-2</v>
      </c>
      <c r="O105" s="42">
        <v>5.5866293001876732</v>
      </c>
      <c r="P105" s="42">
        <v>0</v>
      </c>
      <c r="Q105" s="42">
        <v>0</v>
      </c>
      <c r="R105" s="42">
        <v>4.1783423815464396</v>
      </c>
      <c r="S105" s="42">
        <v>9.6555137214651001</v>
      </c>
      <c r="T105" s="42">
        <v>0</v>
      </c>
      <c r="U105" s="42">
        <v>39.54453253669233</v>
      </c>
      <c r="V105" s="42" t="s">
        <v>752</v>
      </c>
      <c r="W105" s="42" t="s">
        <v>752</v>
      </c>
      <c r="X105" s="42" t="s">
        <v>752</v>
      </c>
      <c r="Y105" s="42" t="s">
        <v>752</v>
      </c>
      <c r="Z105" s="42">
        <v>0</v>
      </c>
      <c r="AA105" s="42">
        <v>0</v>
      </c>
      <c r="AB105" s="42">
        <v>0</v>
      </c>
      <c r="AC105" s="42">
        <v>0</v>
      </c>
      <c r="AD105" s="42">
        <v>0</v>
      </c>
      <c r="AE105" s="42">
        <v>0</v>
      </c>
      <c r="AF105" s="42">
        <v>0</v>
      </c>
      <c r="AG105" s="42">
        <v>0</v>
      </c>
      <c r="AH105" s="42">
        <v>4.1783423815464396</v>
      </c>
      <c r="AI105" s="42">
        <v>9.6555137214651001</v>
      </c>
      <c r="AJ105" s="42">
        <v>0</v>
      </c>
      <c r="AK105" s="42">
        <v>39.54453253669233</v>
      </c>
      <c r="AL105" s="42">
        <v>53.378388639703871</v>
      </c>
      <c r="AM105" s="42">
        <v>60.528435902887196</v>
      </c>
      <c r="AN105" s="42">
        <v>7.7250796537313171</v>
      </c>
      <c r="AO105" s="42">
        <v>0</v>
      </c>
      <c r="AP105" s="42">
        <v>0</v>
      </c>
      <c r="AQ105" s="42">
        <v>68.25351555661851</v>
      </c>
      <c r="AR105" s="42">
        <v>4.1783423815464396</v>
      </c>
      <c r="AS105" s="244">
        <v>16.335070064640636</v>
      </c>
      <c r="AT105" s="42">
        <v>60.528435902887196</v>
      </c>
      <c r="AU105" s="42">
        <v>9.1441933955632475</v>
      </c>
      <c r="AV105" s="42">
        <v>0</v>
      </c>
      <c r="AW105" s="42">
        <v>0</v>
      </c>
      <c r="AX105" s="42">
        <v>69.672629298450445</v>
      </c>
      <c r="AY105" s="42">
        <v>9.6555137214651001</v>
      </c>
      <c r="AZ105" s="244">
        <v>7.2158386708686191</v>
      </c>
      <c r="BA105" s="42">
        <v>60.528435902887196</v>
      </c>
      <c r="BB105" s="42">
        <v>16.869273049294563</v>
      </c>
      <c r="BC105" s="42">
        <v>0</v>
      </c>
      <c r="BD105" s="42">
        <v>0</v>
      </c>
      <c r="BE105" s="42">
        <v>77.397708952181759</v>
      </c>
      <c r="BF105" s="42">
        <v>13.83385610301154</v>
      </c>
      <c r="BG105" s="42">
        <v>-1.9205034739894058</v>
      </c>
      <c r="BH105" s="244">
        <v>5.5948036741059335</v>
      </c>
      <c r="BI105" s="42">
        <v>2.6436305790225698</v>
      </c>
      <c r="BJ105" s="42">
        <v>6.1090281741799028</v>
      </c>
      <c r="BK105" s="42">
        <v>0</v>
      </c>
      <c r="BL105" s="42">
        <v>25.019762839171939</v>
      </c>
      <c r="BM105" s="42">
        <v>33.772421592374414</v>
      </c>
      <c r="BN105" s="42">
        <v>60.528435902887196</v>
      </c>
      <c r="BO105" s="42">
        <v>36.306586627116694</v>
      </c>
      <c r="BP105" s="42">
        <v>16.869273049294563</v>
      </c>
      <c r="BQ105" s="42">
        <v>0</v>
      </c>
      <c r="BR105" s="42">
        <v>0</v>
      </c>
      <c r="BS105" s="42">
        <v>0</v>
      </c>
      <c r="BT105" s="42">
        <v>0</v>
      </c>
      <c r="BU105" s="42">
        <v>0</v>
      </c>
      <c r="BV105" s="42">
        <v>0</v>
      </c>
      <c r="BW105" s="42">
        <v>0</v>
      </c>
      <c r="BX105" s="42">
        <v>53.378388639703871</v>
      </c>
      <c r="BY105" s="42"/>
      <c r="BZ105" s="42">
        <v>0</v>
      </c>
      <c r="CA105" s="42">
        <v>0</v>
      </c>
      <c r="CB105" s="42">
        <v>113.70429557929845</v>
      </c>
      <c r="CC105" s="42">
        <v>53.378388639703871</v>
      </c>
      <c r="CD105" s="244">
        <v>2.1301560140150615</v>
      </c>
      <c r="CE105" s="42">
        <v>0.12813975294670657</v>
      </c>
      <c r="CF105" s="42">
        <v>1.104844318602267</v>
      </c>
      <c r="CG105" s="42">
        <v>0.65363562812195708</v>
      </c>
      <c r="CH105" s="42">
        <v>1.758479946724224</v>
      </c>
      <c r="CI105" s="42">
        <v>5.524169317165796E-2</v>
      </c>
      <c r="CJ105" s="42">
        <v>3.2681781406097885E-2</v>
      </c>
      <c r="CK105" s="42">
        <v>8.7923474577755845E-2</v>
      </c>
      <c r="CL105" s="42"/>
      <c r="CM105" s="42">
        <v>5.5313162624342294</v>
      </c>
      <c r="CN105" s="42" t="s">
        <v>785</v>
      </c>
      <c r="CO105" s="42">
        <v>0</v>
      </c>
      <c r="CP105" s="42">
        <v>0</v>
      </c>
      <c r="CQ105" s="42">
        <v>36.306586627116694</v>
      </c>
      <c r="CR105" s="42">
        <v>0</v>
      </c>
      <c r="CS105" s="42">
        <v>0</v>
      </c>
      <c r="CT105" s="42">
        <v>36.306586627116694</v>
      </c>
      <c r="CU105" s="42">
        <v>0</v>
      </c>
      <c r="CV105" s="42">
        <v>0</v>
      </c>
      <c r="CW105" s="244">
        <v>9999</v>
      </c>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row>
    <row r="106" spans="1:131">
      <c r="A106" s="18" t="s">
        <v>523</v>
      </c>
      <c r="B106" s="18" t="s">
        <v>806</v>
      </c>
      <c r="C106" s="42">
        <v>7</v>
      </c>
      <c r="D106" s="42">
        <v>141.09206251011418</v>
      </c>
      <c r="E106" s="42">
        <v>9.7838598097291349</v>
      </c>
      <c r="F106" s="42">
        <v>41.695004885801417</v>
      </c>
      <c r="G106" s="42">
        <v>0</v>
      </c>
      <c r="H106" s="42">
        <v>0</v>
      </c>
      <c r="I106" s="42" t="s">
        <v>920</v>
      </c>
      <c r="J106" s="42"/>
      <c r="K106" s="42"/>
      <c r="L106" s="42">
        <v>151.64508686133809</v>
      </c>
      <c r="M106" s="42">
        <v>2.8507209348719198E-2</v>
      </c>
      <c r="N106" s="42">
        <v>2.8301457095515101E-2</v>
      </c>
      <c r="O106" s="42">
        <v>9.8816981869532547</v>
      </c>
      <c r="P106" s="42">
        <v>0</v>
      </c>
      <c r="Q106" s="42">
        <v>0</v>
      </c>
      <c r="R106" s="42">
        <v>8.3145409570421407</v>
      </c>
      <c r="S106" s="42">
        <v>19.213639517183665</v>
      </c>
      <c r="T106" s="42">
        <v>0</v>
      </c>
      <c r="U106" s="42">
        <v>78.690209030147557</v>
      </c>
      <c r="V106" s="42" t="s">
        <v>752</v>
      </c>
      <c r="W106" s="42" t="s">
        <v>752</v>
      </c>
      <c r="X106" s="42" t="s">
        <v>752</v>
      </c>
      <c r="Y106" s="42" t="s">
        <v>752</v>
      </c>
      <c r="Z106" s="42">
        <v>0</v>
      </c>
      <c r="AA106" s="42">
        <v>0</v>
      </c>
      <c r="AB106" s="42">
        <v>0</v>
      </c>
      <c r="AC106" s="42">
        <v>0</v>
      </c>
      <c r="AD106" s="42">
        <v>0</v>
      </c>
      <c r="AE106" s="42">
        <v>0</v>
      </c>
      <c r="AF106" s="42">
        <v>0</v>
      </c>
      <c r="AG106" s="42">
        <v>0</v>
      </c>
      <c r="AH106" s="42">
        <v>8.3145409570421407</v>
      </c>
      <c r="AI106" s="42">
        <v>19.213639517183665</v>
      </c>
      <c r="AJ106" s="42">
        <v>0</v>
      </c>
      <c r="AK106" s="42">
        <v>78.690209030147557</v>
      </c>
      <c r="AL106" s="42">
        <v>106.21838950437336</v>
      </c>
      <c r="AM106" s="42">
        <v>78.924969741372294</v>
      </c>
      <c r="AN106" s="42">
        <v>10.072979234068596</v>
      </c>
      <c r="AO106" s="42">
        <v>0</v>
      </c>
      <c r="AP106" s="42">
        <v>0</v>
      </c>
      <c r="AQ106" s="42">
        <v>88.997948975440892</v>
      </c>
      <c r="AR106" s="42">
        <v>8.3145409570421407</v>
      </c>
      <c r="AS106" s="244">
        <v>10.703892065149137</v>
      </c>
      <c r="AT106" s="42">
        <v>78.924969741372294</v>
      </c>
      <c r="AU106" s="42">
        <v>11.923407176950699</v>
      </c>
      <c r="AV106" s="42">
        <v>0</v>
      </c>
      <c r="AW106" s="42">
        <v>0</v>
      </c>
      <c r="AX106" s="42">
        <v>90.848376918322998</v>
      </c>
      <c r="AY106" s="42">
        <v>19.213639517183665</v>
      </c>
      <c r="AZ106" s="244">
        <v>4.7283273341874139</v>
      </c>
      <c r="BA106" s="42">
        <v>78.924969741372294</v>
      </c>
      <c r="BB106" s="42">
        <v>21.996386411019294</v>
      </c>
      <c r="BC106" s="42">
        <v>0</v>
      </c>
      <c r="BD106" s="42">
        <v>0</v>
      </c>
      <c r="BE106" s="42">
        <v>100.9213561523916</v>
      </c>
      <c r="BF106" s="42">
        <v>27.528180474225806</v>
      </c>
      <c r="BG106" s="42">
        <v>2.6841561309562407</v>
      </c>
      <c r="BH106" s="244">
        <v>3.6661106696420651</v>
      </c>
      <c r="BI106" s="42">
        <v>4.0344101445083576</v>
      </c>
      <c r="BJ106" s="42">
        <v>9.3229082136397707</v>
      </c>
      <c r="BK106" s="42">
        <v>0</v>
      </c>
      <c r="BL106" s="42">
        <v>38.182333724127623</v>
      </c>
      <c r="BM106" s="42">
        <v>51.539652082275751</v>
      </c>
      <c r="BN106" s="42">
        <v>78.924969741372294</v>
      </c>
      <c r="BO106" s="42">
        <v>64.219534171631508</v>
      </c>
      <c r="BP106" s="42">
        <v>21.996386411019294</v>
      </c>
      <c r="BQ106" s="42">
        <v>0</v>
      </c>
      <c r="BR106" s="42">
        <v>0</v>
      </c>
      <c r="BS106" s="42">
        <v>0</v>
      </c>
      <c r="BT106" s="42">
        <v>0</v>
      </c>
      <c r="BU106" s="42">
        <v>0</v>
      </c>
      <c r="BV106" s="42">
        <v>0</v>
      </c>
      <c r="BW106" s="42">
        <v>0</v>
      </c>
      <c r="BX106" s="42">
        <v>106.21838950437336</v>
      </c>
      <c r="BY106" s="42"/>
      <c r="BZ106" s="42">
        <v>0</v>
      </c>
      <c r="CA106" s="42">
        <v>0</v>
      </c>
      <c r="CB106" s="42">
        <v>165.1408903240231</v>
      </c>
      <c r="CC106" s="42">
        <v>106.21838950437336</v>
      </c>
      <c r="CD106" s="244">
        <v>1.554729751548565</v>
      </c>
      <c r="CE106" s="42">
        <v>9.7056667289204892</v>
      </c>
      <c r="CF106" s="42">
        <v>1.4406419580131855</v>
      </c>
      <c r="CG106" s="42">
        <v>1.1561586878735308</v>
      </c>
      <c r="CH106" s="42">
        <v>2.5968006458867166</v>
      </c>
      <c r="CI106" s="42">
        <v>7.2031416259135617E-2</v>
      </c>
      <c r="CJ106" s="42">
        <v>5.7807934393676534E-2</v>
      </c>
      <c r="CK106" s="42">
        <v>0.12983935065281216</v>
      </c>
      <c r="CL106" s="42"/>
      <c r="CM106" s="42">
        <v>9.7838598097291349</v>
      </c>
      <c r="CN106" s="42" t="s">
        <v>785</v>
      </c>
      <c r="CO106" s="42">
        <v>0</v>
      </c>
      <c r="CP106" s="42">
        <v>0</v>
      </c>
      <c r="CQ106" s="42">
        <v>64.219534171631508</v>
      </c>
      <c r="CR106" s="42">
        <v>0</v>
      </c>
      <c r="CS106" s="42">
        <v>0</v>
      </c>
      <c r="CT106" s="42">
        <v>64.219534171631508</v>
      </c>
      <c r="CU106" s="42">
        <v>0</v>
      </c>
      <c r="CV106" s="42">
        <v>0</v>
      </c>
      <c r="CW106" s="244">
        <v>9999</v>
      </c>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row>
    <row r="107" spans="1:131">
      <c r="A107" s="18" t="s">
        <v>524</v>
      </c>
      <c r="B107" s="18" t="s">
        <v>807</v>
      </c>
      <c r="C107" s="42">
        <v>7</v>
      </c>
      <c r="D107" s="42">
        <v>115.51543266445805</v>
      </c>
      <c r="E107" s="42">
        <v>12.015418645201027</v>
      </c>
      <c r="F107" s="42">
        <v>34.136693756140801</v>
      </c>
      <c r="G107" s="42">
        <v>0</v>
      </c>
      <c r="H107" s="42">
        <v>0</v>
      </c>
      <c r="I107" s="42" t="s">
        <v>920</v>
      </c>
      <c r="J107" s="42"/>
      <c r="K107" s="42"/>
      <c r="L107" s="42">
        <v>124.15544509437632</v>
      </c>
      <c r="M107" s="42">
        <v>2.3339531390984672E-2</v>
      </c>
      <c r="N107" s="42">
        <v>2.317107711986751E-2</v>
      </c>
      <c r="O107" s="42">
        <v>12.135572560401847</v>
      </c>
      <c r="P107" s="42">
        <v>0</v>
      </c>
      <c r="Q107" s="42">
        <v>0</v>
      </c>
      <c r="R107" s="42">
        <v>6.8073127500721702</v>
      </c>
      <c r="S107" s="42">
        <v>15.730664378992238</v>
      </c>
      <c r="T107" s="42">
        <v>0</v>
      </c>
      <c r="U107" s="42">
        <v>64.42554868685491</v>
      </c>
      <c r="V107" s="42" t="s">
        <v>752</v>
      </c>
      <c r="W107" s="42" t="s">
        <v>752</v>
      </c>
      <c r="X107" s="42" t="s">
        <v>752</v>
      </c>
      <c r="Y107" s="42" t="s">
        <v>752</v>
      </c>
      <c r="Z107" s="42">
        <v>0</v>
      </c>
      <c r="AA107" s="42">
        <v>0</v>
      </c>
      <c r="AB107" s="42">
        <v>0</v>
      </c>
      <c r="AC107" s="42">
        <v>0</v>
      </c>
      <c r="AD107" s="42">
        <v>0</v>
      </c>
      <c r="AE107" s="42">
        <v>0</v>
      </c>
      <c r="AF107" s="42">
        <v>0</v>
      </c>
      <c r="AG107" s="42">
        <v>0</v>
      </c>
      <c r="AH107" s="42">
        <v>6.8073127500721702</v>
      </c>
      <c r="AI107" s="42">
        <v>15.730664378992238</v>
      </c>
      <c r="AJ107" s="42">
        <v>0</v>
      </c>
      <c r="AK107" s="42">
        <v>64.42554868685491</v>
      </c>
      <c r="AL107" s="42">
        <v>86.963525815919326</v>
      </c>
      <c r="AM107" s="42">
        <v>64.617752873591456</v>
      </c>
      <c r="AN107" s="42">
        <v>8.2469880568945779</v>
      </c>
      <c r="AO107" s="42">
        <v>0</v>
      </c>
      <c r="AP107" s="42">
        <v>0</v>
      </c>
      <c r="AQ107" s="42">
        <v>72.864740930486036</v>
      </c>
      <c r="AR107" s="42">
        <v>6.8073127500721702</v>
      </c>
      <c r="AS107" s="244">
        <v>10.703892065149134</v>
      </c>
      <c r="AT107" s="42">
        <v>64.617752873591456</v>
      </c>
      <c r="AU107" s="42">
        <v>9.761977494525814</v>
      </c>
      <c r="AV107" s="42">
        <v>0</v>
      </c>
      <c r="AW107" s="42">
        <v>0</v>
      </c>
      <c r="AX107" s="42">
        <v>74.379730368117265</v>
      </c>
      <c r="AY107" s="42">
        <v>15.730664378992238</v>
      </c>
      <c r="AZ107" s="244">
        <v>4.728327334187413</v>
      </c>
      <c r="BA107" s="42">
        <v>64.617752873591456</v>
      </c>
      <c r="BB107" s="42">
        <v>18.008965551420392</v>
      </c>
      <c r="BC107" s="42">
        <v>0</v>
      </c>
      <c r="BD107" s="42">
        <v>0</v>
      </c>
      <c r="BE107" s="42">
        <v>82.626718425011845</v>
      </c>
      <c r="BF107" s="42">
        <v>22.537977129064409</v>
      </c>
      <c r="BG107" s="42">
        <v>2.6841561309562461</v>
      </c>
      <c r="BH107" s="244">
        <v>3.6661106696420642</v>
      </c>
      <c r="BI107" s="42">
        <v>4.0344101445083576</v>
      </c>
      <c r="BJ107" s="42">
        <v>9.3229082136397672</v>
      </c>
      <c r="BK107" s="42">
        <v>0</v>
      </c>
      <c r="BL107" s="42">
        <v>38.182333724127623</v>
      </c>
      <c r="BM107" s="42">
        <v>51.539652082275751</v>
      </c>
      <c r="BN107" s="42">
        <v>64.617752873591456</v>
      </c>
      <c r="BO107" s="42">
        <v>78.867093690839411</v>
      </c>
      <c r="BP107" s="42">
        <v>18.008965551420392</v>
      </c>
      <c r="BQ107" s="42">
        <v>0</v>
      </c>
      <c r="BR107" s="42">
        <v>0</v>
      </c>
      <c r="BS107" s="42">
        <v>0</v>
      </c>
      <c r="BT107" s="42">
        <v>0</v>
      </c>
      <c r="BU107" s="42">
        <v>0</v>
      </c>
      <c r="BV107" s="42">
        <v>0</v>
      </c>
      <c r="BW107" s="42">
        <v>0</v>
      </c>
      <c r="BX107" s="42">
        <v>86.963525815919326</v>
      </c>
      <c r="BY107" s="42"/>
      <c r="BZ107" s="42">
        <v>0</v>
      </c>
      <c r="CA107" s="42">
        <v>0</v>
      </c>
      <c r="CB107" s="42">
        <v>161.49381211585126</v>
      </c>
      <c r="CC107" s="42">
        <v>86.963525815919326</v>
      </c>
      <c r="CD107" s="244">
        <v>1.8570292614135087</v>
      </c>
      <c r="CE107" s="42">
        <v>-5.8747448341612056</v>
      </c>
      <c r="CF107" s="42">
        <v>1.1794878899196426</v>
      </c>
      <c r="CG107" s="42">
        <v>1.4198619895670164</v>
      </c>
      <c r="CH107" s="42">
        <v>2.5993498794866587</v>
      </c>
      <c r="CI107" s="42">
        <v>5.8973836419828743E-2</v>
      </c>
      <c r="CJ107" s="42">
        <v>7.0993099478350807E-2</v>
      </c>
      <c r="CK107" s="42">
        <v>0.12996693589817954</v>
      </c>
      <c r="CL107" s="42"/>
      <c r="CM107" s="42">
        <v>12.015418645201027</v>
      </c>
      <c r="CN107" s="42" t="s">
        <v>785</v>
      </c>
      <c r="CO107" s="42">
        <v>0</v>
      </c>
      <c r="CP107" s="42">
        <v>0</v>
      </c>
      <c r="CQ107" s="42">
        <v>78.867093690839411</v>
      </c>
      <c r="CR107" s="42">
        <v>0</v>
      </c>
      <c r="CS107" s="42">
        <v>0</v>
      </c>
      <c r="CT107" s="42">
        <v>78.867093690839411</v>
      </c>
      <c r="CU107" s="42">
        <v>0</v>
      </c>
      <c r="CV107" s="42">
        <v>0</v>
      </c>
      <c r="CW107" s="244">
        <v>9999</v>
      </c>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row>
    <row r="108" spans="1:131">
      <c r="A108" s="18" t="s">
        <v>507</v>
      </c>
      <c r="B108" s="18" t="s">
        <v>808</v>
      </c>
      <c r="C108" s="42">
        <v>7</v>
      </c>
      <c r="D108" s="42">
        <v>104.20222537223454</v>
      </c>
      <c r="E108" s="42">
        <v>0</v>
      </c>
      <c r="F108" s="42">
        <v>20.007048038895668</v>
      </c>
      <c r="G108" s="42">
        <v>0</v>
      </c>
      <c r="H108" s="42">
        <v>0</v>
      </c>
      <c r="I108" s="42" t="s">
        <v>920</v>
      </c>
      <c r="J108" s="42"/>
      <c r="K108" s="42"/>
      <c r="L108" s="42">
        <v>111.99606297189459</v>
      </c>
      <c r="M108" s="42">
        <v>2.1053733289041459E-2</v>
      </c>
      <c r="N108" s="42">
        <v>2.0901776883572643E-2</v>
      </c>
      <c r="O108" s="42">
        <v>0</v>
      </c>
      <c r="P108" s="42">
        <v>0</v>
      </c>
      <c r="Q108" s="42">
        <v>0</v>
      </c>
      <c r="R108" s="42">
        <v>3.9896726431504841</v>
      </c>
      <c r="S108" s="42">
        <v>9.219526652537267</v>
      </c>
      <c r="T108" s="42">
        <v>0</v>
      </c>
      <c r="U108" s="42">
        <v>37.758930513833022</v>
      </c>
      <c r="V108" s="42" t="s">
        <v>752</v>
      </c>
      <c r="W108" s="42" t="s">
        <v>752</v>
      </c>
      <c r="X108" s="42" t="s">
        <v>752</v>
      </c>
      <c r="Y108" s="42" t="s">
        <v>752</v>
      </c>
      <c r="Z108" s="42">
        <v>0</v>
      </c>
      <c r="AA108" s="42">
        <v>0</v>
      </c>
      <c r="AB108" s="42">
        <v>0</v>
      </c>
      <c r="AC108" s="42">
        <v>0</v>
      </c>
      <c r="AD108" s="42">
        <v>0</v>
      </c>
      <c r="AE108" s="42">
        <v>0</v>
      </c>
      <c r="AF108" s="42">
        <v>0</v>
      </c>
      <c r="AG108" s="42">
        <v>0</v>
      </c>
      <c r="AH108" s="42">
        <v>3.9896726431504841</v>
      </c>
      <c r="AI108" s="42">
        <v>9.219526652537267</v>
      </c>
      <c r="AJ108" s="42">
        <v>0</v>
      </c>
      <c r="AK108" s="42">
        <v>37.758930513833022</v>
      </c>
      <c r="AL108" s="42">
        <v>50.968129809520775</v>
      </c>
      <c r="AM108" s="42">
        <v>58.28929946996643</v>
      </c>
      <c r="AN108" s="42">
        <v>7.4393047606275644</v>
      </c>
      <c r="AO108" s="42">
        <v>0</v>
      </c>
      <c r="AP108" s="42">
        <v>0</v>
      </c>
      <c r="AQ108" s="42">
        <v>65.728604230593987</v>
      </c>
      <c r="AR108" s="42">
        <v>3.9896726431504841</v>
      </c>
      <c r="AS108" s="244">
        <v>16.474686048099112</v>
      </c>
      <c r="AT108" s="42">
        <v>58.28929946996643</v>
      </c>
      <c r="AU108" s="42">
        <v>8.805921040161067</v>
      </c>
      <c r="AV108" s="42">
        <v>0</v>
      </c>
      <c r="AW108" s="42">
        <v>0</v>
      </c>
      <c r="AX108" s="42">
        <v>67.09522051012749</v>
      </c>
      <c r="AY108" s="42">
        <v>9.219526652537267</v>
      </c>
      <c r="AZ108" s="244">
        <v>7.2775125056623704</v>
      </c>
      <c r="BA108" s="42">
        <v>58.28929946996643</v>
      </c>
      <c r="BB108" s="42">
        <v>16.245225800788631</v>
      </c>
      <c r="BC108" s="42">
        <v>0</v>
      </c>
      <c r="BD108" s="42">
        <v>0</v>
      </c>
      <c r="BE108" s="42">
        <v>74.534525270755054</v>
      </c>
      <c r="BF108" s="42">
        <v>13.209199295687752</v>
      </c>
      <c r="BG108" s="42">
        <v>-1.9946785481690832</v>
      </c>
      <c r="BH108" s="244">
        <v>5.6426225089273538</v>
      </c>
      <c r="BI108" s="42">
        <v>2.6212269300478028</v>
      </c>
      <c r="BJ108" s="42">
        <v>6.0572567489749893</v>
      </c>
      <c r="BK108" s="42">
        <v>0</v>
      </c>
      <c r="BL108" s="42">
        <v>24.807730950704386</v>
      </c>
      <c r="BM108" s="42">
        <v>33.486214629727179</v>
      </c>
      <c r="BN108" s="42">
        <v>58.28929946996643</v>
      </c>
      <c r="BO108" s="42">
        <v>0</v>
      </c>
      <c r="BP108" s="42">
        <v>16.245225800788631</v>
      </c>
      <c r="BQ108" s="42">
        <v>0</v>
      </c>
      <c r="BR108" s="42">
        <v>0</v>
      </c>
      <c r="BS108" s="42">
        <v>0</v>
      </c>
      <c r="BT108" s="42">
        <v>0</v>
      </c>
      <c r="BU108" s="42">
        <v>0</v>
      </c>
      <c r="BV108" s="42">
        <v>0</v>
      </c>
      <c r="BW108" s="42">
        <v>0</v>
      </c>
      <c r="BX108" s="42">
        <v>50.968129809520775</v>
      </c>
      <c r="BY108" s="42"/>
      <c r="BZ108" s="42">
        <v>0</v>
      </c>
      <c r="CA108" s="42">
        <v>0</v>
      </c>
      <c r="CB108" s="42">
        <v>74.534525270755054</v>
      </c>
      <c r="CC108" s="42">
        <v>50.968129809520775</v>
      </c>
      <c r="CD108" s="244">
        <v>1.4623751263643994</v>
      </c>
      <c r="CE108" s="42">
        <v>22.813052402535302</v>
      </c>
      <c r="CF108" s="42">
        <v>1.0639726666326534</v>
      </c>
      <c r="CG108" s="42">
        <v>0</v>
      </c>
      <c r="CH108" s="42">
        <v>1.0639726666326534</v>
      </c>
      <c r="CI108" s="42">
        <v>5.3198129911649912E-2</v>
      </c>
      <c r="CJ108" s="42">
        <v>0</v>
      </c>
      <c r="CK108" s="42">
        <v>5.3198129911649912E-2</v>
      </c>
      <c r="CL108" s="42"/>
      <c r="CM108" s="42">
        <v>0</v>
      </c>
      <c r="CN108" s="42" t="s">
        <v>785</v>
      </c>
      <c r="CO108" s="42">
        <v>0</v>
      </c>
      <c r="CP108" s="42">
        <v>0</v>
      </c>
      <c r="CQ108" s="42">
        <v>0</v>
      </c>
      <c r="CR108" s="42">
        <v>0</v>
      </c>
      <c r="CS108" s="42">
        <v>0</v>
      </c>
      <c r="CT108" s="42">
        <v>0</v>
      </c>
      <c r="CU108" s="42">
        <v>0</v>
      </c>
      <c r="CV108" s="42">
        <v>9999</v>
      </c>
      <c r="CW108" s="244">
        <v>9999</v>
      </c>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row>
    <row r="109" spans="1:131">
      <c r="A109" s="18" t="s">
        <v>508</v>
      </c>
      <c r="B109" s="18" t="s">
        <v>809</v>
      </c>
      <c r="C109" s="42">
        <v>7</v>
      </c>
      <c r="D109" s="42">
        <v>15.433349470059474</v>
      </c>
      <c r="E109" s="42">
        <v>0</v>
      </c>
      <c r="F109" s="42">
        <v>5.0190692430292101</v>
      </c>
      <c r="G109" s="42">
        <v>0</v>
      </c>
      <c r="H109" s="42">
        <v>0</v>
      </c>
      <c r="I109" s="42" t="s">
        <v>920</v>
      </c>
      <c r="J109" s="42"/>
      <c r="K109" s="42"/>
      <c r="L109" s="42">
        <v>16.587691605832074</v>
      </c>
      <c r="M109" s="42">
        <v>3.1182599252413032E-3</v>
      </c>
      <c r="N109" s="42">
        <v>3.0957537234645493E-3</v>
      </c>
      <c r="O109" s="42">
        <v>0</v>
      </c>
      <c r="P109" s="42">
        <v>0</v>
      </c>
      <c r="Q109" s="42">
        <v>0</v>
      </c>
      <c r="R109" s="42">
        <v>1.0008694543074101</v>
      </c>
      <c r="S109" s="42">
        <v>2.3128570775197681</v>
      </c>
      <c r="T109" s="42">
        <v>0</v>
      </c>
      <c r="U109" s="42">
        <v>9.4723962487230118</v>
      </c>
      <c r="V109" s="42" t="s">
        <v>752</v>
      </c>
      <c r="W109" s="42" t="s">
        <v>752</v>
      </c>
      <c r="X109" s="42" t="s">
        <v>752</v>
      </c>
      <c r="Y109" s="42" t="s">
        <v>752</v>
      </c>
      <c r="Z109" s="42">
        <v>0</v>
      </c>
      <c r="AA109" s="42">
        <v>0</v>
      </c>
      <c r="AB109" s="42">
        <v>0</v>
      </c>
      <c r="AC109" s="42">
        <v>0</v>
      </c>
      <c r="AD109" s="42">
        <v>0</v>
      </c>
      <c r="AE109" s="42">
        <v>0</v>
      </c>
      <c r="AF109" s="42">
        <v>0</v>
      </c>
      <c r="AG109" s="42">
        <v>0</v>
      </c>
      <c r="AH109" s="42">
        <v>1.0008694543074101</v>
      </c>
      <c r="AI109" s="42">
        <v>2.3128570775197681</v>
      </c>
      <c r="AJ109" s="42">
        <v>0</v>
      </c>
      <c r="AK109" s="42">
        <v>9.4723962487230118</v>
      </c>
      <c r="AL109" s="42">
        <v>12.78612278055019</v>
      </c>
      <c r="AM109" s="42">
        <v>8.6332045776504955</v>
      </c>
      <c r="AN109" s="42">
        <v>1.1018324203240599</v>
      </c>
      <c r="AO109" s="42">
        <v>0</v>
      </c>
      <c r="AP109" s="42">
        <v>0</v>
      </c>
      <c r="AQ109" s="42">
        <v>9.7350369979745555</v>
      </c>
      <c r="AR109" s="42">
        <v>1.0008694543074101</v>
      </c>
      <c r="AS109" s="244">
        <v>9.7265801809398678</v>
      </c>
      <c r="AT109" s="42">
        <v>8.6332045776504955</v>
      </c>
      <c r="AU109" s="42">
        <v>1.3042414049514943</v>
      </c>
      <c r="AV109" s="42">
        <v>0</v>
      </c>
      <c r="AW109" s="42">
        <v>0</v>
      </c>
      <c r="AX109" s="42">
        <v>9.9374459826019894</v>
      </c>
      <c r="AY109" s="42">
        <v>2.3128570775197681</v>
      </c>
      <c r="AZ109" s="244">
        <v>4.2966104906311724</v>
      </c>
      <c r="BA109" s="42">
        <v>8.6332045776504955</v>
      </c>
      <c r="BB109" s="42">
        <v>2.4060738252755542</v>
      </c>
      <c r="BC109" s="42">
        <v>0</v>
      </c>
      <c r="BD109" s="42">
        <v>0</v>
      </c>
      <c r="BE109" s="42">
        <v>11.039278402926049</v>
      </c>
      <c r="BF109" s="42">
        <v>3.3137265318271782</v>
      </c>
      <c r="BG109" s="42">
        <v>4.0262790281864369</v>
      </c>
      <c r="BH109" s="244">
        <v>3.3313788258921373</v>
      </c>
      <c r="BI109" s="42">
        <v>4.4397814987412536</v>
      </c>
      <c r="BJ109" s="42">
        <v>10.259659756637062</v>
      </c>
      <c r="BK109" s="42">
        <v>0</v>
      </c>
      <c r="BL109" s="42">
        <v>42.018836155738512</v>
      </c>
      <c r="BM109" s="42">
        <v>56.718277411116837</v>
      </c>
      <c r="BN109" s="42">
        <v>8.6332045776504955</v>
      </c>
      <c r="BO109" s="42">
        <v>0</v>
      </c>
      <c r="BP109" s="42">
        <v>2.4060738252755542</v>
      </c>
      <c r="BQ109" s="42">
        <v>0</v>
      </c>
      <c r="BR109" s="42">
        <v>0</v>
      </c>
      <c r="BS109" s="42">
        <v>0</v>
      </c>
      <c r="BT109" s="42">
        <v>0</v>
      </c>
      <c r="BU109" s="42">
        <v>0</v>
      </c>
      <c r="BV109" s="42">
        <v>0</v>
      </c>
      <c r="BW109" s="42">
        <v>0</v>
      </c>
      <c r="BX109" s="42">
        <v>12.78612278055019</v>
      </c>
      <c r="BY109" s="42"/>
      <c r="BZ109" s="42">
        <v>0</v>
      </c>
      <c r="CA109" s="42">
        <v>0</v>
      </c>
      <c r="CB109" s="42">
        <v>11.039278402926049</v>
      </c>
      <c r="CC109" s="42">
        <v>12.78612278055019</v>
      </c>
      <c r="CD109" s="245">
        <v>0.86337966500045027</v>
      </c>
      <c r="CE109" s="42">
        <v>46.045115183924956</v>
      </c>
      <c r="CF109" s="42">
        <v>0.15758456148200653</v>
      </c>
      <c r="CG109" s="42">
        <v>0</v>
      </c>
      <c r="CH109" s="42">
        <v>0.15758456148200653</v>
      </c>
      <c r="CI109" s="42">
        <v>7.8791535127702341E-3</v>
      </c>
      <c r="CJ109" s="42">
        <v>0</v>
      </c>
      <c r="CK109" s="42">
        <v>7.8791535127702341E-3</v>
      </c>
      <c r="CL109" s="42"/>
      <c r="CM109" s="42">
        <v>0</v>
      </c>
      <c r="CN109" s="42" t="s">
        <v>785</v>
      </c>
      <c r="CO109" s="42">
        <v>0</v>
      </c>
      <c r="CP109" s="42">
        <v>0</v>
      </c>
      <c r="CQ109" s="42">
        <v>0</v>
      </c>
      <c r="CR109" s="42">
        <v>0</v>
      </c>
      <c r="CS109" s="42">
        <v>0</v>
      </c>
      <c r="CT109" s="42">
        <v>0</v>
      </c>
      <c r="CU109" s="42">
        <v>0</v>
      </c>
      <c r="CV109" s="42">
        <v>9999</v>
      </c>
      <c r="CW109" s="244">
        <v>9999</v>
      </c>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row>
    <row r="110" spans="1:131">
      <c r="A110" s="18" t="s">
        <v>509</v>
      </c>
      <c r="B110" s="18" t="s">
        <v>810</v>
      </c>
      <c r="C110" s="42">
        <v>7</v>
      </c>
      <c r="D110" s="42">
        <v>1.1500895896984369</v>
      </c>
      <c r="E110" s="42">
        <v>0</v>
      </c>
      <c r="F110" s="42">
        <v>1.0278783931599689</v>
      </c>
      <c r="G110" s="42">
        <v>0</v>
      </c>
      <c r="H110" s="42">
        <v>0</v>
      </c>
      <c r="I110" s="42" t="s">
        <v>920</v>
      </c>
      <c r="J110" s="42"/>
      <c r="K110" s="42"/>
      <c r="L110" s="42">
        <v>1.2361108954349427</v>
      </c>
      <c r="M110" s="42">
        <v>2.3237199967195642E-4</v>
      </c>
      <c r="N110" s="42">
        <v>2.306948427840552E-4</v>
      </c>
      <c r="O110" s="42">
        <v>0</v>
      </c>
      <c r="P110" s="42">
        <v>0</v>
      </c>
      <c r="Q110" s="42">
        <v>0</v>
      </c>
      <c r="R110" s="42">
        <v>0.20497268251184558</v>
      </c>
      <c r="S110" s="42">
        <v>0.47366069311585413</v>
      </c>
      <c r="T110" s="42">
        <v>0</v>
      </c>
      <c r="U110" s="42">
        <v>1.9398958181408896</v>
      </c>
      <c r="V110" s="42" t="s">
        <v>752</v>
      </c>
      <c r="W110" s="42" t="s">
        <v>752</v>
      </c>
      <c r="X110" s="42" t="s">
        <v>752</v>
      </c>
      <c r="Y110" s="42" t="s">
        <v>752</v>
      </c>
      <c r="Z110" s="42">
        <v>0</v>
      </c>
      <c r="AA110" s="42">
        <v>0</v>
      </c>
      <c r="AB110" s="42">
        <v>0</v>
      </c>
      <c r="AC110" s="42">
        <v>0</v>
      </c>
      <c r="AD110" s="42">
        <v>0</v>
      </c>
      <c r="AE110" s="42">
        <v>0</v>
      </c>
      <c r="AF110" s="42">
        <v>0</v>
      </c>
      <c r="AG110" s="42">
        <v>0</v>
      </c>
      <c r="AH110" s="42">
        <v>0.20497268251184558</v>
      </c>
      <c r="AI110" s="42">
        <v>0.47366069311585413</v>
      </c>
      <c r="AJ110" s="42">
        <v>0</v>
      </c>
      <c r="AK110" s="42">
        <v>1.9398958181408896</v>
      </c>
      <c r="AL110" s="42">
        <v>2.6185291937685893</v>
      </c>
      <c r="AM110" s="42">
        <v>0.64334438416980055</v>
      </c>
      <c r="AN110" s="42">
        <v>8.2108294033339912E-2</v>
      </c>
      <c r="AO110" s="42">
        <v>0</v>
      </c>
      <c r="AP110" s="42">
        <v>0</v>
      </c>
      <c r="AQ110" s="42">
        <v>0.72545267820314052</v>
      </c>
      <c r="AR110" s="42">
        <v>0.20497268251184558</v>
      </c>
      <c r="AS110" s="244">
        <v>3.5392651806721407</v>
      </c>
      <c r="AT110" s="42">
        <v>0.64334438416980055</v>
      </c>
      <c r="AU110" s="42">
        <v>9.7191764185626014E-2</v>
      </c>
      <c r="AV110" s="42">
        <v>0</v>
      </c>
      <c r="AW110" s="42">
        <v>0</v>
      </c>
      <c r="AX110" s="42">
        <v>0.74053614835542658</v>
      </c>
      <c r="AY110" s="42">
        <v>0.47366069311585413</v>
      </c>
      <c r="AZ110" s="244">
        <v>1.5634317120215346</v>
      </c>
      <c r="BA110" s="42">
        <v>0.64334438416980055</v>
      </c>
      <c r="BB110" s="42">
        <v>0.17930005821896594</v>
      </c>
      <c r="BC110" s="42">
        <v>0</v>
      </c>
      <c r="BD110" s="42">
        <v>0</v>
      </c>
      <c r="BE110" s="42">
        <v>0.82264444238876644</v>
      </c>
      <c r="BF110" s="42">
        <v>0.67863337562769965</v>
      </c>
      <c r="BG110" s="42">
        <v>29.723724326050302</v>
      </c>
      <c r="BH110" s="244">
        <v>1.2122074627229529</v>
      </c>
      <c r="BI110" s="42">
        <v>12.201371903181093</v>
      </c>
      <c r="BJ110" s="42">
        <v>28.195514650061096</v>
      </c>
      <c r="BK110" s="42">
        <v>0</v>
      </c>
      <c r="BL110" s="42">
        <v>115.47582848848586</v>
      </c>
      <c r="BM110" s="42">
        <v>155.87271504172804</v>
      </c>
      <c r="BN110" s="42">
        <v>0.64334438416980055</v>
      </c>
      <c r="BO110" s="42">
        <v>0</v>
      </c>
      <c r="BP110" s="42">
        <v>0.17930005821896594</v>
      </c>
      <c r="BQ110" s="42">
        <v>0</v>
      </c>
      <c r="BR110" s="42">
        <v>0</v>
      </c>
      <c r="BS110" s="42">
        <v>0</v>
      </c>
      <c r="BT110" s="42">
        <v>0</v>
      </c>
      <c r="BU110" s="42">
        <v>0</v>
      </c>
      <c r="BV110" s="42">
        <v>0</v>
      </c>
      <c r="BW110" s="42">
        <v>0</v>
      </c>
      <c r="BX110" s="42">
        <v>2.6185291937685893</v>
      </c>
      <c r="BY110" s="42"/>
      <c r="BZ110" s="42">
        <v>0</v>
      </c>
      <c r="CA110" s="42">
        <v>0</v>
      </c>
      <c r="CB110" s="42">
        <v>0.82264444238876655</v>
      </c>
      <c r="CC110" s="42">
        <v>2.6185291937685893</v>
      </c>
      <c r="CD110" s="245">
        <v>0.31416279197743679</v>
      </c>
      <c r="CE110" s="42">
        <v>145.19955281453616</v>
      </c>
      <c r="CF110" s="42">
        <v>1.1743164632489225E-2</v>
      </c>
      <c r="CG110" s="42">
        <v>0</v>
      </c>
      <c r="CH110" s="42">
        <v>1.1743164632489225E-2</v>
      </c>
      <c r="CI110" s="42">
        <v>5.8715267533159779E-4</v>
      </c>
      <c r="CJ110" s="42">
        <v>0</v>
      </c>
      <c r="CK110" s="42">
        <v>5.8715267533159779E-4</v>
      </c>
      <c r="CL110" s="42"/>
      <c r="CM110" s="42">
        <v>0</v>
      </c>
      <c r="CN110" s="42" t="s">
        <v>785</v>
      </c>
      <c r="CO110" s="42">
        <v>0</v>
      </c>
      <c r="CP110" s="42">
        <v>0</v>
      </c>
      <c r="CQ110" s="42">
        <v>0</v>
      </c>
      <c r="CR110" s="42">
        <v>0</v>
      </c>
      <c r="CS110" s="42">
        <v>0</v>
      </c>
      <c r="CT110" s="42">
        <v>0</v>
      </c>
      <c r="CU110" s="42">
        <v>0</v>
      </c>
      <c r="CV110" s="42">
        <v>9999</v>
      </c>
      <c r="CW110" s="244">
        <v>9999</v>
      </c>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row>
    <row r="111" spans="1:131">
      <c r="A111" s="18" t="s">
        <v>510</v>
      </c>
      <c r="B111" s="18" t="s">
        <v>811</v>
      </c>
      <c r="C111" s="42">
        <v>7</v>
      </c>
      <c r="D111" s="42">
        <v>15.75055020199755</v>
      </c>
      <c r="E111" s="42">
        <v>0</v>
      </c>
      <c r="F111" s="42">
        <v>5.1222258805838328</v>
      </c>
      <c r="G111" s="42">
        <v>0</v>
      </c>
      <c r="H111" s="42">
        <v>0</v>
      </c>
      <c r="I111" s="42" t="s">
        <v>920</v>
      </c>
      <c r="J111" s="42"/>
      <c r="K111" s="42"/>
      <c r="L111" s="42">
        <v>16.928617464391845</v>
      </c>
      <c r="M111" s="42">
        <v>3.1823493396991682E-3</v>
      </c>
      <c r="N111" s="42">
        <v>3.1593805692693437E-3</v>
      </c>
      <c r="O111" s="42">
        <v>0</v>
      </c>
      <c r="P111" s="42">
        <v>0</v>
      </c>
      <c r="Q111" s="42">
        <v>0</v>
      </c>
      <c r="R111" s="42">
        <v>1.0214402658539687</v>
      </c>
      <c r="S111" s="42">
        <v>2.3603930942010907</v>
      </c>
      <c r="T111" s="42">
        <v>0</v>
      </c>
      <c r="U111" s="42">
        <v>9.6670818566094532</v>
      </c>
      <c r="V111" s="42" t="s">
        <v>752</v>
      </c>
      <c r="W111" s="42" t="s">
        <v>752</v>
      </c>
      <c r="X111" s="42" t="s">
        <v>752</v>
      </c>
      <c r="Y111" s="42" t="s">
        <v>752</v>
      </c>
      <c r="Z111" s="42">
        <v>0</v>
      </c>
      <c r="AA111" s="42">
        <v>0</v>
      </c>
      <c r="AB111" s="42">
        <v>0</v>
      </c>
      <c r="AC111" s="42">
        <v>0</v>
      </c>
      <c r="AD111" s="42">
        <v>0</v>
      </c>
      <c r="AE111" s="42">
        <v>0</v>
      </c>
      <c r="AF111" s="42">
        <v>0</v>
      </c>
      <c r="AG111" s="42">
        <v>0</v>
      </c>
      <c r="AH111" s="42">
        <v>1.0214402658539687</v>
      </c>
      <c r="AI111" s="42">
        <v>2.3603930942010907</v>
      </c>
      <c r="AJ111" s="42">
        <v>0</v>
      </c>
      <c r="AK111" s="42">
        <v>9.6670818566094532</v>
      </c>
      <c r="AL111" s="42">
        <v>13.048915216664513</v>
      </c>
      <c r="AM111" s="42">
        <v>8.8106423280438406</v>
      </c>
      <c r="AN111" s="42">
        <v>1.124478317825307</v>
      </c>
      <c r="AO111" s="42">
        <v>0</v>
      </c>
      <c r="AP111" s="42">
        <v>0</v>
      </c>
      <c r="AQ111" s="42">
        <v>9.9351206458691479</v>
      </c>
      <c r="AR111" s="42">
        <v>1.0214402658539687</v>
      </c>
      <c r="AS111" s="244">
        <v>9.7265801809398535</v>
      </c>
      <c r="AT111" s="42">
        <v>8.8106423280438406</v>
      </c>
      <c r="AU111" s="42">
        <v>1.3310474025139252</v>
      </c>
      <c r="AV111" s="42">
        <v>0</v>
      </c>
      <c r="AW111" s="42">
        <v>0</v>
      </c>
      <c r="AX111" s="42">
        <v>10.141689730557765</v>
      </c>
      <c r="AY111" s="42">
        <v>2.3603930942010907</v>
      </c>
      <c r="AZ111" s="244">
        <v>4.2966104906311662</v>
      </c>
      <c r="BA111" s="42">
        <v>8.8106423280438406</v>
      </c>
      <c r="BB111" s="42">
        <v>2.4555257203392324</v>
      </c>
      <c r="BC111" s="42">
        <v>0</v>
      </c>
      <c r="BD111" s="42">
        <v>0</v>
      </c>
      <c r="BE111" s="42">
        <v>11.266168048383072</v>
      </c>
      <c r="BF111" s="42">
        <v>3.3818333600550594</v>
      </c>
      <c r="BG111" s="42">
        <v>4.0262790281864378</v>
      </c>
      <c r="BH111" s="244">
        <v>3.3313788258921333</v>
      </c>
      <c r="BI111" s="42">
        <v>4.4397814987412545</v>
      </c>
      <c r="BJ111" s="42">
        <v>10.259659756637062</v>
      </c>
      <c r="BK111" s="42">
        <v>0</v>
      </c>
      <c r="BL111" s="42">
        <v>42.018836155738512</v>
      </c>
      <c r="BM111" s="42">
        <v>56.71827741111683</v>
      </c>
      <c r="BN111" s="42">
        <v>8.8106423280438406</v>
      </c>
      <c r="BO111" s="42">
        <v>0</v>
      </c>
      <c r="BP111" s="42">
        <v>2.4555257203392324</v>
      </c>
      <c r="BQ111" s="42">
        <v>0</v>
      </c>
      <c r="BR111" s="42">
        <v>0</v>
      </c>
      <c r="BS111" s="42">
        <v>0</v>
      </c>
      <c r="BT111" s="42">
        <v>0</v>
      </c>
      <c r="BU111" s="42">
        <v>0</v>
      </c>
      <c r="BV111" s="42">
        <v>0</v>
      </c>
      <c r="BW111" s="42">
        <v>0</v>
      </c>
      <c r="BX111" s="42">
        <v>13.048915216664513</v>
      </c>
      <c r="BY111" s="42"/>
      <c r="BZ111" s="42">
        <v>0</v>
      </c>
      <c r="CA111" s="42">
        <v>0</v>
      </c>
      <c r="CB111" s="42">
        <v>11.266168048383072</v>
      </c>
      <c r="CC111" s="42">
        <v>13.048915216664513</v>
      </c>
      <c r="CD111" s="245">
        <v>0.86337966500044927</v>
      </c>
      <c r="CE111" s="42">
        <v>46.045115183924956</v>
      </c>
      <c r="CF111" s="42">
        <v>0.16082338778741814</v>
      </c>
      <c r="CG111" s="42">
        <v>0</v>
      </c>
      <c r="CH111" s="42">
        <v>0.16082338778741814</v>
      </c>
      <c r="CI111" s="42">
        <v>8.0410932955861259E-3</v>
      </c>
      <c r="CJ111" s="42">
        <v>0</v>
      </c>
      <c r="CK111" s="42">
        <v>8.0410932955861259E-3</v>
      </c>
      <c r="CL111" s="42"/>
      <c r="CM111" s="42">
        <v>0</v>
      </c>
      <c r="CN111" s="42" t="s">
        <v>785</v>
      </c>
      <c r="CO111" s="42">
        <v>0</v>
      </c>
      <c r="CP111" s="42">
        <v>0</v>
      </c>
      <c r="CQ111" s="42">
        <v>0</v>
      </c>
      <c r="CR111" s="42">
        <v>0</v>
      </c>
      <c r="CS111" s="42">
        <v>0</v>
      </c>
      <c r="CT111" s="42">
        <v>0</v>
      </c>
      <c r="CU111" s="42">
        <v>0</v>
      </c>
      <c r="CV111" s="42">
        <v>9999</v>
      </c>
      <c r="CW111" s="244">
        <v>9999</v>
      </c>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row>
    <row r="112" spans="1:131">
      <c r="A112" s="18" t="s">
        <v>511</v>
      </c>
      <c r="B112" s="18" t="s">
        <v>812</v>
      </c>
      <c r="C112" s="42">
        <v>7</v>
      </c>
      <c r="D112" s="42">
        <v>140.30503277268519</v>
      </c>
      <c r="E112" s="42">
        <v>0</v>
      </c>
      <c r="F112" s="42">
        <v>92.138721703076811</v>
      </c>
      <c r="G112" s="42">
        <v>0</v>
      </c>
      <c r="H112" s="42">
        <v>0</v>
      </c>
      <c r="I112" s="42" t="s">
        <v>920</v>
      </c>
      <c r="J112" s="42"/>
      <c r="K112" s="42"/>
      <c r="L112" s="42">
        <v>150.79919099184991</v>
      </c>
      <c r="M112" s="42">
        <v>2.8348192455143438E-2</v>
      </c>
      <c r="N112" s="42">
        <v>2.8143587914567066E-2</v>
      </c>
      <c r="O112" s="42">
        <v>0</v>
      </c>
      <c r="P112" s="42">
        <v>0</v>
      </c>
      <c r="Q112" s="42">
        <v>0</v>
      </c>
      <c r="R112" s="42">
        <v>18.373691942907534</v>
      </c>
      <c r="S112" s="42">
        <v>42.458807457290391</v>
      </c>
      <c r="T112" s="42">
        <v>0</v>
      </c>
      <c r="U112" s="42">
        <v>173.89169974782095</v>
      </c>
      <c r="V112" s="42" t="s">
        <v>752</v>
      </c>
      <c r="W112" s="42" t="s">
        <v>752</v>
      </c>
      <c r="X112" s="42" t="s">
        <v>752</v>
      </c>
      <c r="Y112" s="42" t="s">
        <v>752</v>
      </c>
      <c r="Z112" s="42">
        <v>0</v>
      </c>
      <c r="AA112" s="42">
        <v>0</v>
      </c>
      <c r="AB112" s="42">
        <v>0</v>
      </c>
      <c r="AC112" s="42">
        <v>0</v>
      </c>
      <c r="AD112" s="42">
        <v>0</v>
      </c>
      <c r="AE112" s="42">
        <v>0</v>
      </c>
      <c r="AF112" s="42">
        <v>0</v>
      </c>
      <c r="AG112" s="42">
        <v>0</v>
      </c>
      <c r="AH112" s="42">
        <v>18.373691942907534</v>
      </c>
      <c r="AI112" s="42">
        <v>42.458807457290391</v>
      </c>
      <c r="AJ112" s="42">
        <v>0</v>
      </c>
      <c r="AK112" s="42">
        <v>173.89169974782095</v>
      </c>
      <c r="AL112" s="42">
        <v>234.72419914801887</v>
      </c>
      <c r="AM112" s="42">
        <v>78.484716072193024</v>
      </c>
      <c r="AN112" s="42">
        <v>10.016790855639101</v>
      </c>
      <c r="AO112" s="42">
        <v>0</v>
      </c>
      <c r="AP112" s="42">
        <v>0</v>
      </c>
      <c r="AQ112" s="42">
        <v>88.501506927832125</v>
      </c>
      <c r="AR112" s="42">
        <v>18.373691942907534</v>
      </c>
      <c r="AS112" s="244">
        <v>4.8167514293171099</v>
      </c>
      <c r="AT112" s="42">
        <v>78.484716072193024</v>
      </c>
      <c r="AU112" s="42">
        <v>11.856896872594906</v>
      </c>
      <c r="AV112" s="42">
        <v>0</v>
      </c>
      <c r="AW112" s="42">
        <v>0</v>
      </c>
      <c r="AX112" s="42">
        <v>90.341612944787926</v>
      </c>
      <c r="AY112" s="42">
        <v>42.458807457290391</v>
      </c>
      <c r="AZ112" s="244">
        <v>2.1277473003843355</v>
      </c>
      <c r="BA112" s="42">
        <v>78.484716072193024</v>
      </c>
      <c r="BB112" s="42">
        <v>21.873687728234007</v>
      </c>
      <c r="BC112" s="42">
        <v>0</v>
      </c>
      <c r="BD112" s="42">
        <v>0</v>
      </c>
      <c r="BE112" s="42">
        <v>100.35840380042703</v>
      </c>
      <c r="BF112" s="42">
        <v>60.832499400197925</v>
      </c>
      <c r="BG112" s="42">
        <v>19.009767457581731</v>
      </c>
      <c r="BH112" s="244">
        <v>1.6497498013389287</v>
      </c>
      <c r="BI112" s="42">
        <v>8.9653558766852406</v>
      </c>
      <c r="BJ112" s="42">
        <v>20.717573808088375</v>
      </c>
      <c r="BK112" s="42">
        <v>0</v>
      </c>
      <c r="BL112" s="42">
        <v>84.849630498061373</v>
      </c>
      <c r="BM112" s="42">
        <v>114.532560182835</v>
      </c>
      <c r="BN112" s="42">
        <v>78.484716072193024</v>
      </c>
      <c r="BO112" s="42">
        <v>0</v>
      </c>
      <c r="BP112" s="42">
        <v>21.873687728234007</v>
      </c>
      <c r="BQ112" s="42">
        <v>0</v>
      </c>
      <c r="BR112" s="42">
        <v>0</v>
      </c>
      <c r="BS112" s="42">
        <v>0</v>
      </c>
      <c r="BT112" s="42">
        <v>0</v>
      </c>
      <c r="BU112" s="42">
        <v>0</v>
      </c>
      <c r="BV112" s="42">
        <v>0</v>
      </c>
      <c r="BW112" s="42">
        <v>0</v>
      </c>
      <c r="BX112" s="42">
        <v>234.72419914801887</v>
      </c>
      <c r="BY112" s="42"/>
      <c r="BZ112" s="42">
        <v>0</v>
      </c>
      <c r="CA112" s="42">
        <v>0</v>
      </c>
      <c r="CB112" s="42">
        <v>100.35840380042703</v>
      </c>
      <c r="CC112" s="42">
        <v>234.72419914801887</v>
      </c>
      <c r="CD112" s="245">
        <v>0.42755882931840467</v>
      </c>
      <c r="CE112" s="42">
        <v>103.85939795564312</v>
      </c>
      <c r="CF112" s="42">
        <v>1.4326058712073577</v>
      </c>
      <c r="CG112" s="42">
        <v>0</v>
      </c>
      <c r="CH112" s="42">
        <v>1.4326058712073577</v>
      </c>
      <c r="CI112" s="42">
        <v>7.1629615721128706E-2</v>
      </c>
      <c r="CJ112" s="42">
        <v>0</v>
      </c>
      <c r="CK112" s="42">
        <v>7.1629615721128706E-2</v>
      </c>
      <c r="CL112" s="42"/>
      <c r="CM112" s="42">
        <v>0</v>
      </c>
      <c r="CN112" s="42" t="s">
        <v>785</v>
      </c>
      <c r="CO112" s="42">
        <v>0</v>
      </c>
      <c r="CP112" s="42">
        <v>0</v>
      </c>
      <c r="CQ112" s="42">
        <v>0</v>
      </c>
      <c r="CR112" s="42">
        <v>0</v>
      </c>
      <c r="CS112" s="42">
        <v>0</v>
      </c>
      <c r="CT112" s="42">
        <v>0</v>
      </c>
      <c r="CU112" s="42">
        <v>0</v>
      </c>
      <c r="CV112" s="42">
        <v>9999</v>
      </c>
      <c r="CW112" s="244">
        <v>9999</v>
      </c>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row>
    <row r="113" spans="1:131">
      <c r="A113" s="18" t="s">
        <v>512</v>
      </c>
      <c r="B113" s="18" t="s">
        <v>813</v>
      </c>
      <c r="C113" s="42">
        <v>7</v>
      </c>
      <c r="D113" s="42">
        <v>18.297133556701819</v>
      </c>
      <c r="E113" s="42">
        <v>0</v>
      </c>
      <c r="F113" s="42">
        <v>8.6363423363338665</v>
      </c>
      <c r="G113" s="42">
        <v>0</v>
      </c>
      <c r="H113" s="42">
        <v>0</v>
      </c>
      <c r="I113" s="42" t="s">
        <v>920</v>
      </c>
      <c r="J113" s="42"/>
      <c r="K113" s="42"/>
      <c r="L113" s="42">
        <v>19.665673306892437</v>
      </c>
      <c r="M113" s="42">
        <v>3.6968785309590534E-3</v>
      </c>
      <c r="N113" s="42">
        <v>3.6701961195640268E-3</v>
      </c>
      <c r="O113" s="42">
        <v>0</v>
      </c>
      <c r="P113" s="42">
        <v>0</v>
      </c>
      <c r="Q113" s="42">
        <v>0</v>
      </c>
      <c r="R113" s="42">
        <v>1.7222020304628332</v>
      </c>
      <c r="S113" s="42">
        <v>3.9797469469494513</v>
      </c>
      <c r="T113" s="42">
        <v>0</v>
      </c>
      <c r="U113" s="42">
        <v>16.299208635743575</v>
      </c>
      <c r="V113" s="42" t="s">
        <v>752</v>
      </c>
      <c r="W113" s="42" t="s">
        <v>752</v>
      </c>
      <c r="X113" s="42" t="s">
        <v>752</v>
      </c>
      <c r="Y113" s="42" t="s">
        <v>752</v>
      </c>
      <c r="Z113" s="42">
        <v>0</v>
      </c>
      <c r="AA113" s="42">
        <v>0</v>
      </c>
      <c r="AB113" s="42">
        <v>0</v>
      </c>
      <c r="AC113" s="42">
        <v>0</v>
      </c>
      <c r="AD113" s="42">
        <v>0</v>
      </c>
      <c r="AE113" s="42">
        <v>0</v>
      </c>
      <c r="AF113" s="42">
        <v>0</v>
      </c>
      <c r="AG113" s="42">
        <v>0</v>
      </c>
      <c r="AH113" s="42">
        <v>1.7222020304628332</v>
      </c>
      <c r="AI113" s="42">
        <v>3.9797469469494513</v>
      </c>
      <c r="AJ113" s="42">
        <v>0</v>
      </c>
      <c r="AK113" s="42">
        <v>16.299208635743575</v>
      </c>
      <c r="AL113" s="42">
        <v>22.001157613155861</v>
      </c>
      <c r="AM113" s="42">
        <v>10.235166221437991</v>
      </c>
      <c r="AN113" s="42">
        <v>1.3062864280293947</v>
      </c>
      <c r="AO113" s="42">
        <v>0</v>
      </c>
      <c r="AP113" s="42">
        <v>0</v>
      </c>
      <c r="AQ113" s="42">
        <v>11.541452649467386</v>
      </c>
      <c r="AR113" s="42">
        <v>1.7222020304628332</v>
      </c>
      <c r="AS113" s="244">
        <v>6.7015672060064162</v>
      </c>
      <c r="AT113" s="42">
        <v>10.235166221437991</v>
      </c>
      <c r="AU113" s="42">
        <v>1.5462540534621838</v>
      </c>
      <c r="AV113" s="42">
        <v>0</v>
      </c>
      <c r="AW113" s="42">
        <v>0</v>
      </c>
      <c r="AX113" s="42">
        <v>11.781420274900174</v>
      </c>
      <c r="AY113" s="42">
        <v>3.9797469469494513</v>
      </c>
      <c r="AZ113" s="244">
        <v>2.9603440700999464</v>
      </c>
      <c r="BA113" s="42">
        <v>10.235166221437991</v>
      </c>
      <c r="BB113" s="42">
        <v>2.8525404814915785</v>
      </c>
      <c r="BC113" s="42">
        <v>0</v>
      </c>
      <c r="BD113" s="42">
        <v>0</v>
      </c>
      <c r="BE113" s="42">
        <v>13.08770670292957</v>
      </c>
      <c r="BF113" s="42">
        <v>5.7019489774122842</v>
      </c>
      <c r="BG113" s="42">
        <v>10.661443483739145</v>
      </c>
      <c r="BH113" s="244">
        <v>2.2953040714280757</v>
      </c>
      <c r="BI113" s="42">
        <v>6.443849536367515</v>
      </c>
      <c r="BJ113" s="42">
        <v>14.890756174563514</v>
      </c>
      <c r="BK113" s="42">
        <v>0</v>
      </c>
      <c r="BL113" s="42">
        <v>60.985671920481614</v>
      </c>
      <c r="BM113" s="42">
        <v>82.320277631412651</v>
      </c>
      <c r="BN113" s="42">
        <v>10.235166221437991</v>
      </c>
      <c r="BO113" s="42">
        <v>0</v>
      </c>
      <c r="BP113" s="42">
        <v>2.8525404814915785</v>
      </c>
      <c r="BQ113" s="42">
        <v>0</v>
      </c>
      <c r="BR113" s="42">
        <v>0</v>
      </c>
      <c r="BS113" s="42">
        <v>0</v>
      </c>
      <c r="BT113" s="42">
        <v>0</v>
      </c>
      <c r="BU113" s="42">
        <v>0</v>
      </c>
      <c r="BV113" s="42">
        <v>0</v>
      </c>
      <c r="BW113" s="42">
        <v>0</v>
      </c>
      <c r="BX113" s="42">
        <v>22.001157613155861</v>
      </c>
      <c r="BY113" s="42"/>
      <c r="BZ113" s="42">
        <v>0</v>
      </c>
      <c r="CA113" s="42">
        <v>0</v>
      </c>
      <c r="CB113" s="42">
        <v>13.08770670292957</v>
      </c>
      <c r="CC113" s="42">
        <v>22.001157613155861</v>
      </c>
      <c r="CD113" s="245">
        <v>0.5948644581821283</v>
      </c>
      <c r="CE113" s="42">
        <v>71.647115404220756</v>
      </c>
      <c r="CF113" s="42">
        <v>0.18682566435135961</v>
      </c>
      <c r="CG113" s="42">
        <v>0</v>
      </c>
      <c r="CH113" s="42">
        <v>0.18682566435135961</v>
      </c>
      <c r="CI113" s="42">
        <v>9.3411948207739043E-3</v>
      </c>
      <c r="CJ113" s="42">
        <v>0</v>
      </c>
      <c r="CK113" s="42">
        <v>9.3411948207739043E-3</v>
      </c>
      <c r="CL113" s="42"/>
      <c r="CM113" s="42">
        <v>0</v>
      </c>
      <c r="CN113" s="42" t="s">
        <v>785</v>
      </c>
      <c r="CO113" s="42">
        <v>0</v>
      </c>
      <c r="CP113" s="42">
        <v>0</v>
      </c>
      <c r="CQ113" s="42">
        <v>0</v>
      </c>
      <c r="CR113" s="42">
        <v>0</v>
      </c>
      <c r="CS113" s="42">
        <v>0</v>
      </c>
      <c r="CT113" s="42">
        <v>0</v>
      </c>
      <c r="CU113" s="42">
        <v>0</v>
      </c>
      <c r="CV113" s="42">
        <v>9999</v>
      </c>
      <c r="CW113" s="244">
        <v>9999</v>
      </c>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row>
    <row r="114" spans="1:131">
      <c r="A114" s="18" t="s">
        <v>513</v>
      </c>
      <c r="B114" s="18" t="s">
        <v>814</v>
      </c>
      <c r="C114" s="42">
        <v>7</v>
      </c>
      <c r="D114" s="42">
        <v>25.041305312414298</v>
      </c>
      <c r="E114" s="42">
        <v>0</v>
      </c>
      <c r="F114" s="42">
        <v>5.0806752849348058</v>
      </c>
      <c r="G114" s="42">
        <v>0</v>
      </c>
      <c r="H114" s="42">
        <v>0</v>
      </c>
      <c r="I114" s="42" t="s">
        <v>920</v>
      </c>
      <c r="J114" s="42"/>
      <c r="K114" s="42"/>
      <c r="L114" s="42">
        <v>26.914277470074815</v>
      </c>
      <c r="M114" s="42">
        <v>5.0595173123577789E-3</v>
      </c>
      <c r="N114" s="42">
        <v>5.0229999853052265E-3</v>
      </c>
      <c r="O114" s="42">
        <v>0</v>
      </c>
      <c r="P114" s="42">
        <v>0</v>
      </c>
      <c r="Q114" s="42">
        <v>0</v>
      </c>
      <c r="R114" s="42">
        <v>1.0131545220278304</v>
      </c>
      <c r="S114" s="42">
        <v>2.3412460004734075</v>
      </c>
      <c r="T114" s="42">
        <v>0</v>
      </c>
      <c r="U114" s="42">
        <v>9.5886641884522188</v>
      </c>
      <c r="V114" s="42" t="s">
        <v>752</v>
      </c>
      <c r="W114" s="42" t="s">
        <v>752</v>
      </c>
      <c r="X114" s="42" t="s">
        <v>752</v>
      </c>
      <c r="Y114" s="42" t="s">
        <v>752</v>
      </c>
      <c r="Z114" s="42">
        <v>0</v>
      </c>
      <c r="AA114" s="42">
        <v>0</v>
      </c>
      <c r="AB114" s="42">
        <v>0</v>
      </c>
      <c r="AC114" s="42">
        <v>0</v>
      </c>
      <c r="AD114" s="42">
        <v>0</v>
      </c>
      <c r="AE114" s="42">
        <v>0</v>
      </c>
      <c r="AF114" s="42">
        <v>0</v>
      </c>
      <c r="AG114" s="42">
        <v>0</v>
      </c>
      <c r="AH114" s="42">
        <v>1.0131545220278304</v>
      </c>
      <c r="AI114" s="42">
        <v>2.3412460004734075</v>
      </c>
      <c r="AJ114" s="42">
        <v>0</v>
      </c>
      <c r="AK114" s="42">
        <v>9.5886641884522188</v>
      </c>
      <c r="AL114" s="42">
        <v>12.943064710953458</v>
      </c>
      <c r="AM114" s="42">
        <v>14.007763646697612</v>
      </c>
      <c r="AN114" s="42">
        <v>1.7877727769968563</v>
      </c>
      <c r="AO114" s="42">
        <v>0</v>
      </c>
      <c r="AP114" s="42">
        <v>0</v>
      </c>
      <c r="AQ114" s="42">
        <v>15.795536423694468</v>
      </c>
      <c r="AR114" s="42">
        <v>1.0131545220278304</v>
      </c>
      <c r="AS114" s="244">
        <v>15.590451486195489</v>
      </c>
      <c r="AT114" s="42">
        <v>14.007763646697612</v>
      </c>
      <c r="AU114" s="42">
        <v>2.1161904799630427</v>
      </c>
      <c r="AV114" s="42">
        <v>0</v>
      </c>
      <c r="AW114" s="42">
        <v>0</v>
      </c>
      <c r="AX114" s="42">
        <v>16.123954126660653</v>
      </c>
      <c r="AY114" s="42">
        <v>2.3412460004734075</v>
      </c>
      <c r="AZ114" s="244">
        <v>6.8869115519686259</v>
      </c>
      <c r="BA114" s="42">
        <v>14.007763646697612</v>
      </c>
      <c r="BB114" s="42">
        <v>3.9039632569598988</v>
      </c>
      <c r="BC114" s="42">
        <v>0</v>
      </c>
      <c r="BD114" s="42">
        <v>0</v>
      </c>
      <c r="BE114" s="42">
        <v>17.91172690365751</v>
      </c>
      <c r="BF114" s="42">
        <v>3.3544005225012379</v>
      </c>
      <c r="BG114" s="42">
        <v>-1.5024660410006292</v>
      </c>
      <c r="BH114" s="244">
        <v>5.3397698883917046</v>
      </c>
      <c r="BI114" s="42">
        <v>2.769893532050514</v>
      </c>
      <c r="BJ114" s="42">
        <v>6.4008026541407368</v>
      </c>
      <c r="BK114" s="42">
        <v>0</v>
      </c>
      <c r="BL114" s="42">
        <v>26.214736586714491</v>
      </c>
      <c r="BM114" s="42">
        <v>35.385432772905745</v>
      </c>
      <c r="BN114" s="42">
        <v>14.007763646697612</v>
      </c>
      <c r="BO114" s="42">
        <v>0</v>
      </c>
      <c r="BP114" s="42">
        <v>3.9039632569598988</v>
      </c>
      <c r="BQ114" s="42">
        <v>0</v>
      </c>
      <c r="BR114" s="42">
        <v>0</v>
      </c>
      <c r="BS114" s="42">
        <v>0</v>
      </c>
      <c r="BT114" s="42">
        <v>0</v>
      </c>
      <c r="BU114" s="42">
        <v>0</v>
      </c>
      <c r="BV114" s="42">
        <v>0</v>
      </c>
      <c r="BW114" s="42">
        <v>0</v>
      </c>
      <c r="BX114" s="42">
        <v>12.943064710953458</v>
      </c>
      <c r="BY114" s="42"/>
      <c r="BZ114" s="42">
        <v>0</v>
      </c>
      <c r="CA114" s="42">
        <v>0</v>
      </c>
      <c r="CB114" s="42">
        <v>17.91172690365751</v>
      </c>
      <c r="CC114" s="42">
        <v>12.943064710953458</v>
      </c>
      <c r="CD114" s="244">
        <v>1.3838860659098129</v>
      </c>
      <c r="CE114" s="42">
        <v>24.712270545713864</v>
      </c>
      <c r="CF114" s="42">
        <v>0.25568805554810287</v>
      </c>
      <c r="CG114" s="42">
        <v>0</v>
      </c>
      <c r="CH114" s="42">
        <v>0.25568805554810287</v>
      </c>
      <c r="CI114" s="42">
        <v>1.2784281798285536E-2</v>
      </c>
      <c r="CJ114" s="42">
        <v>0</v>
      </c>
      <c r="CK114" s="42">
        <v>1.2784281798285536E-2</v>
      </c>
      <c r="CL114" s="42"/>
      <c r="CM114" s="42">
        <v>0</v>
      </c>
      <c r="CN114" s="42" t="s">
        <v>785</v>
      </c>
      <c r="CO114" s="42">
        <v>0</v>
      </c>
      <c r="CP114" s="42">
        <v>0</v>
      </c>
      <c r="CQ114" s="42">
        <v>0</v>
      </c>
      <c r="CR114" s="42">
        <v>0</v>
      </c>
      <c r="CS114" s="42">
        <v>0</v>
      </c>
      <c r="CT114" s="42">
        <v>0</v>
      </c>
      <c r="CU114" s="42">
        <v>0</v>
      </c>
      <c r="CV114" s="42">
        <v>9999</v>
      </c>
      <c r="CW114" s="244">
        <v>9999</v>
      </c>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row>
    <row r="115" spans="1:131">
      <c r="A115" s="18" t="s">
        <v>514</v>
      </c>
      <c r="B115" s="18" t="s">
        <v>815</v>
      </c>
      <c r="C115" s="42">
        <v>7</v>
      </c>
      <c r="D115" s="42">
        <v>37.645961112850877</v>
      </c>
      <c r="E115" s="42">
        <v>0</v>
      </c>
      <c r="F115" s="42">
        <v>18.342286160495224</v>
      </c>
      <c r="G115" s="42">
        <v>0</v>
      </c>
      <c r="H115" s="42">
        <v>0</v>
      </c>
      <c r="I115" s="42" t="s">
        <v>920</v>
      </c>
      <c r="J115" s="42"/>
      <c r="K115" s="42"/>
      <c r="L115" s="42">
        <v>40.461702390434546</v>
      </c>
      <c r="M115" s="42">
        <v>7.6062485407416237E-3</v>
      </c>
      <c r="N115" s="42">
        <v>7.5513500497478613E-3</v>
      </c>
      <c r="O115" s="42">
        <v>0</v>
      </c>
      <c r="P115" s="42">
        <v>0</v>
      </c>
      <c r="Q115" s="42">
        <v>0</v>
      </c>
      <c r="R115" s="42">
        <v>3.6576968858722663</v>
      </c>
      <c r="S115" s="42">
        <v>8.4523811706949541</v>
      </c>
      <c r="T115" s="42">
        <v>0</v>
      </c>
      <c r="U115" s="42">
        <v>34.61705631198199</v>
      </c>
      <c r="V115" s="42" t="s">
        <v>752</v>
      </c>
      <c r="W115" s="42" t="s">
        <v>752</v>
      </c>
      <c r="X115" s="42" t="s">
        <v>752</v>
      </c>
      <c r="Y115" s="42" t="s">
        <v>752</v>
      </c>
      <c r="Z115" s="42">
        <v>0</v>
      </c>
      <c r="AA115" s="42">
        <v>0</v>
      </c>
      <c r="AB115" s="42">
        <v>0</v>
      </c>
      <c r="AC115" s="42">
        <v>0</v>
      </c>
      <c r="AD115" s="42">
        <v>0</v>
      </c>
      <c r="AE115" s="42">
        <v>0</v>
      </c>
      <c r="AF115" s="42">
        <v>0</v>
      </c>
      <c r="AG115" s="42">
        <v>0</v>
      </c>
      <c r="AH115" s="42">
        <v>3.6576968858722663</v>
      </c>
      <c r="AI115" s="42">
        <v>8.4523811706949541</v>
      </c>
      <c r="AJ115" s="42">
        <v>0</v>
      </c>
      <c r="AK115" s="42">
        <v>34.61705631198199</v>
      </c>
      <c r="AL115" s="42">
        <v>46.727134368549208</v>
      </c>
      <c r="AM115" s="42">
        <v>21.058635679832406</v>
      </c>
      <c r="AN115" s="42">
        <v>2.6876563981699353</v>
      </c>
      <c r="AO115" s="42">
        <v>0</v>
      </c>
      <c r="AP115" s="42">
        <v>0</v>
      </c>
      <c r="AQ115" s="42">
        <v>23.746292078002341</v>
      </c>
      <c r="AR115" s="42">
        <v>3.6576968858722663</v>
      </c>
      <c r="AS115" s="244">
        <v>6.4921432308187184</v>
      </c>
      <c r="AT115" s="42">
        <v>21.058635679832406</v>
      </c>
      <c r="AU115" s="42">
        <v>3.1813846571560034</v>
      </c>
      <c r="AV115" s="42">
        <v>0</v>
      </c>
      <c r="AW115" s="42">
        <v>0</v>
      </c>
      <c r="AX115" s="42">
        <v>24.240020336988408</v>
      </c>
      <c r="AY115" s="42">
        <v>8.4523811706949541</v>
      </c>
      <c r="AZ115" s="244">
        <v>2.8678333179093243</v>
      </c>
      <c r="BA115" s="42">
        <v>21.058635679832406</v>
      </c>
      <c r="BB115" s="42">
        <v>5.8690410553259387</v>
      </c>
      <c r="BC115" s="42">
        <v>0</v>
      </c>
      <c r="BD115" s="42">
        <v>0</v>
      </c>
      <c r="BE115" s="42">
        <v>26.927676735158343</v>
      </c>
      <c r="BF115" s="42">
        <v>12.11007805656722</v>
      </c>
      <c r="BG115" s="42">
        <v>11.349656571188543</v>
      </c>
      <c r="BH115" s="244">
        <v>2.2235758191959492</v>
      </c>
      <c r="BI115" s="42">
        <v>6.6517156504438884</v>
      </c>
      <c r="BJ115" s="42">
        <v>15.371103147936537</v>
      </c>
      <c r="BK115" s="42">
        <v>0</v>
      </c>
      <c r="BL115" s="42">
        <v>62.952951659852005</v>
      </c>
      <c r="BM115" s="42">
        <v>84.975770458232432</v>
      </c>
      <c r="BN115" s="42">
        <v>21.058635679832406</v>
      </c>
      <c r="BO115" s="42">
        <v>0</v>
      </c>
      <c r="BP115" s="42">
        <v>5.8690410553259387</v>
      </c>
      <c r="BQ115" s="42">
        <v>0</v>
      </c>
      <c r="BR115" s="42">
        <v>0</v>
      </c>
      <c r="BS115" s="42">
        <v>0</v>
      </c>
      <c r="BT115" s="42">
        <v>0</v>
      </c>
      <c r="BU115" s="42">
        <v>0</v>
      </c>
      <c r="BV115" s="42">
        <v>0</v>
      </c>
      <c r="BW115" s="42">
        <v>0</v>
      </c>
      <c r="BX115" s="42">
        <v>46.727134368549208</v>
      </c>
      <c r="BY115" s="42"/>
      <c r="BZ115" s="42">
        <v>0</v>
      </c>
      <c r="CA115" s="42">
        <v>0</v>
      </c>
      <c r="CB115" s="42">
        <v>26.927676735158343</v>
      </c>
      <c r="CC115" s="42">
        <v>46.727134368549208</v>
      </c>
      <c r="CD115" s="245">
        <v>0.57627494386393718</v>
      </c>
      <c r="CE115" s="42">
        <v>74.302608231040551</v>
      </c>
      <c r="CF115" s="42">
        <v>0.38438981019940704</v>
      </c>
      <c r="CG115" s="42">
        <v>0</v>
      </c>
      <c r="CH115" s="42">
        <v>0.38438981019940704</v>
      </c>
      <c r="CI115" s="42">
        <v>1.9219308635456404E-2</v>
      </c>
      <c r="CJ115" s="42">
        <v>0</v>
      </c>
      <c r="CK115" s="42">
        <v>1.9219308635456404E-2</v>
      </c>
      <c r="CL115" s="42"/>
      <c r="CM115" s="42">
        <v>0</v>
      </c>
      <c r="CN115" s="42" t="s">
        <v>785</v>
      </c>
      <c r="CO115" s="42">
        <v>0</v>
      </c>
      <c r="CP115" s="42">
        <v>0</v>
      </c>
      <c r="CQ115" s="42">
        <v>0</v>
      </c>
      <c r="CR115" s="42">
        <v>0</v>
      </c>
      <c r="CS115" s="42">
        <v>0</v>
      </c>
      <c r="CT115" s="42">
        <v>0</v>
      </c>
      <c r="CU115" s="42">
        <v>0</v>
      </c>
      <c r="CV115" s="42">
        <v>9999</v>
      </c>
      <c r="CW115" s="244">
        <v>9999</v>
      </c>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row>
    <row r="116" spans="1:131">
      <c r="A116" s="18" t="s">
        <v>515</v>
      </c>
      <c r="B116" s="18" t="s">
        <v>816</v>
      </c>
      <c r="C116" s="42">
        <v>7</v>
      </c>
      <c r="D116" s="42">
        <v>116.30039148317452</v>
      </c>
      <c r="E116" s="42">
        <v>0</v>
      </c>
      <c r="F116" s="42">
        <v>34.443539144322521</v>
      </c>
      <c r="G116" s="42">
        <v>0</v>
      </c>
      <c r="H116" s="42">
        <v>0</v>
      </c>
      <c r="I116" s="42" t="s">
        <v>920</v>
      </c>
      <c r="J116" s="42"/>
      <c r="K116" s="42"/>
      <c r="L116" s="42">
        <v>124.99911515014789</v>
      </c>
      <c r="M116" s="42">
        <v>2.3498129861920413E-2</v>
      </c>
      <c r="N116" s="42">
        <v>2.3328530898162499E-2</v>
      </c>
      <c r="O116" s="42">
        <v>0</v>
      </c>
      <c r="P116" s="42">
        <v>0</v>
      </c>
      <c r="Q116" s="42">
        <v>0</v>
      </c>
      <c r="R116" s="42">
        <v>6.8685018194703895</v>
      </c>
      <c r="S116" s="42">
        <v>15.872063011566604</v>
      </c>
      <c r="T116" s="42">
        <v>0</v>
      </c>
      <c r="U116" s="42">
        <v>65.004652294159655</v>
      </c>
      <c r="V116" s="42" t="s">
        <v>752</v>
      </c>
      <c r="W116" s="42" t="s">
        <v>752</v>
      </c>
      <c r="X116" s="42" t="s">
        <v>752</v>
      </c>
      <c r="Y116" s="42" t="s">
        <v>752</v>
      </c>
      <c r="Z116" s="42">
        <v>0</v>
      </c>
      <c r="AA116" s="42">
        <v>0</v>
      </c>
      <c r="AB116" s="42">
        <v>0</v>
      </c>
      <c r="AC116" s="42">
        <v>0</v>
      </c>
      <c r="AD116" s="42">
        <v>0</v>
      </c>
      <c r="AE116" s="42">
        <v>0</v>
      </c>
      <c r="AF116" s="42">
        <v>0</v>
      </c>
      <c r="AG116" s="42">
        <v>0</v>
      </c>
      <c r="AH116" s="42">
        <v>6.8685018194703895</v>
      </c>
      <c r="AI116" s="42">
        <v>15.872063011566604</v>
      </c>
      <c r="AJ116" s="42">
        <v>0</v>
      </c>
      <c r="AK116" s="42">
        <v>65.004652294159655</v>
      </c>
      <c r="AL116" s="42">
        <v>87.745217125196646</v>
      </c>
      <c r="AM116" s="42">
        <v>65.056848099171404</v>
      </c>
      <c r="AN116" s="42">
        <v>8.3030285863181508</v>
      </c>
      <c r="AO116" s="42">
        <v>0</v>
      </c>
      <c r="AP116" s="42">
        <v>0</v>
      </c>
      <c r="AQ116" s="42">
        <v>73.359876685489553</v>
      </c>
      <c r="AR116" s="42">
        <v>6.8685018194703895</v>
      </c>
      <c r="AS116" s="244">
        <v>10.680622734572722</v>
      </c>
      <c r="AT116" s="42">
        <v>65.056848099171404</v>
      </c>
      <c r="AU116" s="42">
        <v>9.8283127896954063</v>
      </c>
      <c r="AV116" s="42">
        <v>0</v>
      </c>
      <c r="AW116" s="42">
        <v>0</v>
      </c>
      <c r="AX116" s="42">
        <v>74.885160888866807</v>
      </c>
      <c r="AY116" s="42">
        <v>15.872063011566604</v>
      </c>
      <c r="AZ116" s="244">
        <v>4.7180483617217881</v>
      </c>
      <c r="BA116" s="42">
        <v>65.056848099171404</v>
      </c>
      <c r="BB116" s="42">
        <v>18.131341376013559</v>
      </c>
      <c r="BC116" s="42">
        <v>0</v>
      </c>
      <c r="BD116" s="42">
        <v>0</v>
      </c>
      <c r="BE116" s="42">
        <v>83.188189475184956</v>
      </c>
      <c r="BF116" s="42">
        <v>22.740564831036995</v>
      </c>
      <c r="BG116" s="42">
        <v>2.7132570424118998</v>
      </c>
      <c r="BH116" s="244">
        <v>3.6581408638384945</v>
      </c>
      <c r="BI116" s="42">
        <v>4.0431997090933427</v>
      </c>
      <c r="BJ116" s="42">
        <v>9.3432195605104411</v>
      </c>
      <c r="BK116" s="42">
        <v>0</v>
      </c>
      <c r="BL116" s="42">
        <v>38.265519636380617</v>
      </c>
      <c r="BM116" s="42">
        <v>51.651938905984402</v>
      </c>
      <c r="BN116" s="42">
        <v>65.056848099171404</v>
      </c>
      <c r="BO116" s="42">
        <v>0</v>
      </c>
      <c r="BP116" s="42">
        <v>18.131341376013559</v>
      </c>
      <c r="BQ116" s="42">
        <v>0</v>
      </c>
      <c r="BR116" s="42">
        <v>0</v>
      </c>
      <c r="BS116" s="42">
        <v>0</v>
      </c>
      <c r="BT116" s="42">
        <v>0</v>
      </c>
      <c r="BU116" s="42">
        <v>0</v>
      </c>
      <c r="BV116" s="42">
        <v>0</v>
      </c>
      <c r="BW116" s="42">
        <v>0</v>
      </c>
      <c r="BX116" s="42">
        <v>87.745217125196646</v>
      </c>
      <c r="BY116" s="42"/>
      <c r="BZ116" s="42">
        <v>0</v>
      </c>
      <c r="CA116" s="42">
        <v>0</v>
      </c>
      <c r="CB116" s="42">
        <v>83.188189475184956</v>
      </c>
      <c r="CC116" s="42">
        <v>87.745217125196646</v>
      </c>
      <c r="CD116" s="245">
        <v>0.9480652302277669</v>
      </c>
      <c r="CE116" s="42">
        <v>40.978776678792514</v>
      </c>
      <c r="CF116" s="42">
        <v>1.1875028312950595</v>
      </c>
      <c r="CG116" s="42">
        <v>0</v>
      </c>
      <c r="CH116" s="42">
        <v>1.1875028312950595</v>
      </c>
      <c r="CI116" s="42">
        <v>5.9374579696320241E-2</v>
      </c>
      <c r="CJ116" s="42">
        <v>0</v>
      </c>
      <c r="CK116" s="42">
        <v>5.9374579696320241E-2</v>
      </c>
      <c r="CL116" s="42"/>
      <c r="CM116" s="42">
        <v>0</v>
      </c>
      <c r="CN116" s="42" t="s">
        <v>785</v>
      </c>
      <c r="CO116" s="42">
        <v>0</v>
      </c>
      <c r="CP116" s="42">
        <v>0</v>
      </c>
      <c r="CQ116" s="42">
        <v>0</v>
      </c>
      <c r="CR116" s="42">
        <v>0</v>
      </c>
      <c r="CS116" s="42">
        <v>0</v>
      </c>
      <c r="CT116" s="42">
        <v>0</v>
      </c>
      <c r="CU116" s="42">
        <v>0</v>
      </c>
      <c r="CV116" s="42">
        <v>9999</v>
      </c>
      <c r="CW116" s="244">
        <v>9999</v>
      </c>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row>
    <row r="117" spans="1:131">
      <c r="A117" s="18" t="s">
        <v>516</v>
      </c>
      <c r="B117" s="18" t="s">
        <v>817</v>
      </c>
      <c r="C117" s="42">
        <v>7</v>
      </c>
      <c r="D117" s="42">
        <v>13.846101212434363</v>
      </c>
      <c r="E117" s="42">
        <v>0</v>
      </c>
      <c r="F117" s="42">
        <v>7.6048661962234201</v>
      </c>
      <c r="G117" s="42">
        <v>0</v>
      </c>
      <c r="H117" s="42">
        <v>0</v>
      </c>
      <c r="I117" s="42" t="s">
        <v>920</v>
      </c>
      <c r="J117" s="42"/>
      <c r="K117" s="42"/>
      <c r="L117" s="42">
        <v>14.881724625011923</v>
      </c>
      <c r="M117" s="42">
        <v>2.7975613858371804E-3</v>
      </c>
      <c r="N117" s="42">
        <v>2.7773698423026448E-3</v>
      </c>
      <c r="O117" s="42">
        <v>0</v>
      </c>
      <c r="P117" s="42">
        <v>0</v>
      </c>
      <c r="Q117" s="42">
        <v>0</v>
      </c>
      <c r="R117" s="42">
        <v>1.5165119091485517</v>
      </c>
      <c r="S117" s="42">
        <v>3.5044283618829946</v>
      </c>
      <c r="T117" s="42">
        <v>0</v>
      </c>
      <c r="U117" s="42">
        <v>14.352522856542691</v>
      </c>
      <c r="V117" s="42" t="s">
        <v>752</v>
      </c>
      <c r="W117" s="42" t="s">
        <v>752</v>
      </c>
      <c r="X117" s="42" t="s">
        <v>752</v>
      </c>
      <c r="Y117" s="42" t="s">
        <v>752</v>
      </c>
      <c r="Z117" s="42">
        <v>0</v>
      </c>
      <c r="AA117" s="42">
        <v>0</v>
      </c>
      <c r="AB117" s="42">
        <v>0</v>
      </c>
      <c r="AC117" s="42">
        <v>0</v>
      </c>
      <c r="AD117" s="42">
        <v>0</v>
      </c>
      <c r="AE117" s="42">
        <v>0</v>
      </c>
      <c r="AF117" s="42">
        <v>0</v>
      </c>
      <c r="AG117" s="42">
        <v>0</v>
      </c>
      <c r="AH117" s="42">
        <v>1.5165119091485517</v>
      </c>
      <c r="AI117" s="42">
        <v>3.5044283618829946</v>
      </c>
      <c r="AJ117" s="42">
        <v>0</v>
      </c>
      <c r="AK117" s="42">
        <v>14.352522856542691</v>
      </c>
      <c r="AL117" s="42">
        <v>19.373463127574237</v>
      </c>
      <c r="AM117" s="42">
        <v>7.7453196146241128</v>
      </c>
      <c r="AN117" s="42">
        <v>0.98851407729379082</v>
      </c>
      <c r="AO117" s="42">
        <v>0</v>
      </c>
      <c r="AP117" s="42">
        <v>0</v>
      </c>
      <c r="AQ117" s="42">
        <v>8.7338336919179032</v>
      </c>
      <c r="AR117" s="42">
        <v>1.5165119091485517</v>
      </c>
      <c r="AS117" s="244">
        <v>5.7591593176617577</v>
      </c>
      <c r="AT117" s="42">
        <v>7.7453196146241128</v>
      </c>
      <c r="AU117" s="42">
        <v>1.1701062386644956</v>
      </c>
      <c r="AV117" s="42">
        <v>0</v>
      </c>
      <c r="AW117" s="42">
        <v>0</v>
      </c>
      <c r="AX117" s="42">
        <v>8.9154258532886086</v>
      </c>
      <c r="AY117" s="42">
        <v>3.5044283618829946</v>
      </c>
      <c r="AZ117" s="244">
        <v>2.5440456852421387</v>
      </c>
      <c r="BA117" s="42">
        <v>7.7453196146241128</v>
      </c>
      <c r="BB117" s="42">
        <v>2.1586203159582862</v>
      </c>
      <c r="BC117" s="42">
        <v>0</v>
      </c>
      <c r="BD117" s="42">
        <v>0</v>
      </c>
      <c r="BE117" s="42">
        <v>9.9039399305823999</v>
      </c>
      <c r="BF117" s="42">
        <v>5.0209402710315461</v>
      </c>
      <c r="BG117" s="42">
        <v>14.152560781891495</v>
      </c>
      <c r="BH117" s="244">
        <v>1.9725269363835007</v>
      </c>
      <c r="BI117" s="42">
        <v>7.4982976423185619</v>
      </c>
      <c r="BJ117" s="42">
        <v>17.327425366764817</v>
      </c>
      <c r="BK117" s="42">
        <v>0</v>
      </c>
      <c r="BL117" s="42">
        <v>70.965145507469501</v>
      </c>
      <c r="BM117" s="42">
        <v>95.790868516552877</v>
      </c>
      <c r="BN117" s="42">
        <v>7.7453196146241128</v>
      </c>
      <c r="BO117" s="42">
        <v>0</v>
      </c>
      <c r="BP117" s="42">
        <v>2.1586203159582862</v>
      </c>
      <c r="BQ117" s="42">
        <v>0</v>
      </c>
      <c r="BR117" s="42">
        <v>0</v>
      </c>
      <c r="BS117" s="42">
        <v>0</v>
      </c>
      <c r="BT117" s="42">
        <v>0</v>
      </c>
      <c r="BU117" s="42">
        <v>0</v>
      </c>
      <c r="BV117" s="42">
        <v>0</v>
      </c>
      <c r="BW117" s="42">
        <v>0</v>
      </c>
      <c r="BX117" s="42">
        <v>19.373463127574237</v>
      </c>
      <c r="BY117" s="42"/>
      <c r="BZ117" s="42">
        <v>0</v>
      </c>
      <c r="CA117" s="42">
        <v>0</v>
      </c>
      <c r="CB117" s="42">
        <v>9.9039399305823981</v>
      </c>
      <c r="CC117" s="42">
        <v>19.373463127574237</v>
      </c>
      <c r="CD117" s="245">
        <v>0.51121164375026618</v>
      </c>
      <c r="CE117" s="42">
        <v>85.11770628936101</v>
      </c>
      <c r="CF117" s="42">
        <v>0.14137772179849042</v>
      </c>
      <c r="CG117" s="42">
        <v>0</v>
      </c>
      <c r="CH117" s="42">
        <v>0.14137772179849042</v>
      </c>
      <c r="CI117" s="42">
        <v>7.068819196880665E-3</v>
      </c>
      <c r="CJ117" s="42">
        <v>0</v>
      </c>
      <c r="CK117" s="42">
        <v>7.068819196880665E-3</v>
      </c>
      <c r="CL117" s="42"/>
      <c r="CM117" s="42">
        <v>0</v>
      </c>
      <c r="CN117" s="42" t="s">
        <v>785</v>
      </c>
      <c r="CO117" s="42">
        <v>0</v>
      </c>
      <c r="CP117" s="42">
        <v>0</v>
      </c>
      <c r="CQ117" s="42">
        <v>0</v>
      </c>
      <c r="CR117" s="42">
        <v>0</v>
      </c>
      <c r="CS117" s="42">
        <v>0</v>
      </c>
      <c r="CT117" s="42">
        <v>0</v>
      </c>
      <c r="CU117" s="42">
        <v>0</v>
      </c>
      <c r="CV117" s="42">
        <v>9999</v>
      </c>
      <c r="CW117" s="244">
        <v>9999</v>
      </c>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row>
    <row r="118" spans="1:131">
      <c r="A118" s="18" t="s">
        <v>517</v>
      </c>
      <c r="B118" s="18" t="s">
        <v>818</v>
      </c>
      <c r="C118" s="42">
        <v>7</v>
      </c>
      <c r="D118" s="42">
        <v>1.5415616769331226</v>
      </c>
      <c r="E118" s="42">
        <v>0</v>
      </c>
      <c r="F118" s="42">
        <v>0.36764217624227424</v>
      </c>
      <c r="G118" s="42">
        <v>0</v>
      </c>
      <c r="H118" s="42">
        <v>0</v>
      </c>
      <c r="I118" s="42" t="s">
        <v>920</v>
      </c>
      <c r="J118" s="42"/>
      <c r="K118" s="42"/>
      <c r="L118" s="42">
        <v>1.6568632582281204</v>
      </c>
      <c r="M118" s="42">
        <v>3.1146770885956052E-4</v>
      </c>
      <c r="N118" s="42">
        <v>3.0921967461270598E-4</v>
      </c>
      <c r="O118" s="42">
        <v>0</v>
      </c>
      <c r="P118" s="42">
        <v>0</v>
      </c>
      <c r="Q118" s="42">
        <v>0</v>
      </c>
      <c r="R118" s="42">
        <v>7.3312761091519421E-2</v>
      </c>
      <c r="S118" s="42">
        <v>0.16941464007448548</v>
      </c>
      <c r="T118" s="42">
        <v>0</v>
      </c>
      <c r="U118" s="42">
        <v>0.69384425726868093</v>
      </c>
      <c r="V118" s="42" t="s">
        <v>752</v>
      </c>
      <c r="W118" s="42" t="s">
        <v>752</v>
      </c>
      <c r="X118" s="42" t="s">
        <v>752</v>
      </c>
      <c r="Y118" s="42" t="s">
        <v>752</v>
      </c>
      <c r="Z118" s="42">
        <v>0</v>
      </c>
      <c r="AA118" s="42">
        <v>0</v>
      </c>
      <c r="AB118" s="42">
        <v>0</v>
      </c>
      <c r="AC118" s="42">
        <v>0</v>
      </c>
      <c r="AD118" s="42">
        <v>0</v>
      </c>
      <c r="AE118" s="42">
        <v>0</v>
      </c>
      <c r="AF118" s="42">
        <v>0</v>
      </c>
      <c r="AG118" s="42">
        <v>0</v>
      </c>
      <c r="AH118" s="42">
        <v>7.3312761091519421E-2</v>
      </c>
      <c r="AI118" s="42">
        <v>0.16941464007448548</v>
      </c>
      <c r="AJ118" s="42">
        <v>0</v>
      </c>
      <c r="AK118" s="42">
        <v>0.69384425726868093</v>
      </c>
      <c r="AL118" s="42">
        <v>0.93657165843468582</v>
      </c>
      <c r="AM118" s="42">
        <v>0.86232851474322947</v>
      </c>
      <c r="AN118" s="42">
        <v>0.11005664304234104</v>
      </c>
      <c r="AO118" s="42">
        <v>0</v>
      </c>
      <c r="AP118" s="42">
        <v>0</v>
      </c>
      <c r="AQ118" s="42">
        <v>0.97238515778557055</v>
      </c>
      <c r="AR118" s="42">
        <v>7.3312761091519421E-2</v>
      </c>
      <c r="AS118" s="244">
        <v>13.263518428554356</v>
      </c>
      <c r="AT118" s="42">
        <v>0.86232851474322947</v>
      </c>
      <c r="AU118" s="42">
        <v>0.1302742849984132</v>
      </c>
      <c r="AV118" s="42">
        <v>0</v>
      </c>
      <c r="AW118" s="42">
        <v>0</v>
      </c>
      <c r="AX118" s="42">
        <v>0.99260279974164267</v>
      </c>
      <c r="AY118" s="42">
        <v>0.16941464007448548</v>
      </c>
      <c r="AZ118" s="244">
        <v>5.8590143054061397</v>
      </c>
      <c r="BA118" s="42">
        <v>0.86232851474322947</v>
      </c>
      <c r="BB118" s="42">
        <v>0.24033092804075423</v>
      </c>
      <c r="BC118" s="42">
        <v>0</v>
      </c>
      <c r="BD118" s="42">
        <v>0</v>
      </c>
      <c r="BE118" s="42">
        <v>1.1026594427839838</v>
      </c>
      <c r="BF118" s="42">
        <v>0.24272740116600489</v>
      </c>
      <c r="BG118" s="42">
        <v>0.10642802675221129</v>
      </c>
      <c r="BH118" s="244">
        <v>4.5427893080347301</v>
      </c>
      <c r="BI118" s="42">
        <v>3.2558397657435854</v>
      </c>
      <c r="BJ118" s="42">
        <v>7.5237504882005108</v>
      </c>
      <c r="BK118" s="42">
        <v>0</v>
      </c>
      <c r="BL118" s="42">
        <v>30.813813180874909</v>
      </c>
      <c r="BM118" s="42">
        <v>41.593403434819002</v>
      </c>
      <c r="BN118" s="42">
        <v>0.86232851474322947</v>
      </c>
      <c r="BO118" s="42">
        <v>0</v>
      </c>
      <c r="BP118" s="42">
        <v>0.24033092804075423</v>
      </c>
      <c r="BQ118" s="42">
        <v>0</v>
      </c>
      <c r="BR118" s="42">
        <v>0</v>
      </c>
      <c r="BS118" s="42">
        <v>0</v>
      </c>
      <c r="BT118" s="42">
        <v>0</v>
      </c>
      <c r="BU118" s="42">
        <v>0</v>
      </c>
      <c r="BV118" s="42">
        <v>0</v>
      </c>
      <c r="BW118" s="42">
        <v>0</v>
      </c>
      <c r="BX118" s="42">
        <v>0.93657165843468582</v>
      </c>
      <c r="BY118" s="42"/>
      <c r="BZ118" s="42">
        <v>0</v>
      </c>
      <c r="CA118" s="42">
        <v>0</v>
      </c>
      <c r="CB118" s="42">
        <v>1.1026594427839838</v>
      </c>
      <c r="CC118" s="42">
        <v>0.93657165843468582</v>
      </c>
      <c r="CD118" s="244">
        <v>1.1773359068187952</v>
      </c>
      <c r="CE118" s="42">
        <v>30.920241207627114</v>
      </c>
      <c r="CF118" s="42">
        <v>1.5740349904487513E-2</v>
      </c>
      <c r="CG118" s="42">
        <v>0</v>
      </c>
      <c r="CH118" s="42">
        <v>1.5740349904487513E-2</v>
      </c>
      <c r="CI118" s="42">
        <v>7.8701004765835696E-4</v>
      </c>
      <c r="CJ118" s="42">
        <v>0</v>
      </c>
      <c r="CK118" s="42">
        <v>7.8701004765835696E-4</v>
      </c>
      <c r="CL118" s="42"/>
      <c r="CM118" s="42">
        <v>0</v>
      </c>
      <c r="CN118" s="42" t="s">
        <v>785</v>
      </c>
      <c r="CO118" s="42">
        <v>0</v>
      </c>
      <c r="CP118" s="42">
        <v>0</v>
      </c>
      <c r="CQ118" s="42">
        <v>0</v>
      </c>
      <c r="CR118" s="42">
        <v>0</v>
      </c>
      <c r="CS118" s="42">
        <v>0</v>
      </c>
      <c r="CT118" s="42">
        <v>0</v>
      </c>
      <c r="CU118" s="42">
        <v>0</v>
      </c>
      <c r="CV118" s="42">
        <v>9999</v>
      </c>
      <c r="CW118" s="244">
        <v>9999</v>
      </c>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row>
    <row r="119" spans="1:131">
      <c r="A119" s="18" t="s">
        <v>518</v>
      </c>
      <c r="B119" s="18" t="s">
        <v>819</v>
      </c>
      <c r="C119" s="42">
        <v>7</v>
      </c>
      <c r="D119" s="42">
        <v>0</v>
      </c>
      <c r="E119" s="42">
        <v>0</v>
      </c>
      <c r="F119" s="42">
        <v>0</v>
      </c>
      <c r="G119" s="42">
        <v>0</v>
      </c>
      <c r="H119" s="42">
        <v>0</v>
      </c>
      <c r="I119" s="42" t="s">
        <v>920</v>
      </c>
      <c r="J119" s="42"/>
      <c r="K119" s="42"/>
      <c r="L119" s="42">
        <v>0</v>
      </c>
      <c r="M119" s="42">
        <v>0</v>
      </c>
      <c r="N119" s="42">
        <v>0</v>
      </c>
      <c r="O119" s="42">
        <v>0</v>
      </c>
      <c r="P119" s="42">
        <v>0</v>
      </c>
      <c r="Q119" s="42">
        <v>0</v>
      </c>
      <c r="R119" s="42">
        <v>0</v>
      </c>
      <c r="S119" s="42">
        <v>0</v>
      </c>
      <c r="T119" s="42">
        <v>0</v>
      </c>
      <c r="U119" s="42">
        <v>0</v>
      </c>
      <c r="V119" s="42" t="s">
        <v>752</v>
      </c>
      <c r="W119" s="42" t="s">
        <v>752</v>
      </c>
      <c r="X119" s="42" t="s">
        <v>752</v>
      </c>
      <c r="Y119" s="42" t="s">
        <v>752</v>
      </c>
      <c r="Z119" s="42">
        <v>0</v>
      </c>
      <c r="AA119" s="42">
        <v>0</v>
      </c>
      <c r="AB119" s="42">
        <v>0</v>
      </c>
      <c r="AC119" s="42">
        <v>0</v>
      </c>
      <c r="AD119" s="42">
        <v>0</v>
      </c>
      <c r="AE119" s="42">
        <v>0</v>
      </c>
      <c r="AF119" s="42">
        <v>0</v>
      </c>
      <c r="AG119" s="42">
        <v>0</v>
      </c>
      <c r="AH119" s="42">
        <v>0</v>
      </c>
      <c r="AI119" s="42">
        <v>0</v>
      </c>
      <c r="AJ119" s="42">
        <v>0</v>
      </c>
      <c r="AK119" s="42">
        <v>0</v>
      </c>
      <c r="AL119" s="42">
        <v>0</v>
      </c>
      <c r="AM119" s="42">
        <v>0</v>
      </c>
      <c r="AN119" s="42">
        <v>0</v>
      </c>
      <c r="AO119" s="42">
        <v>0</v>
      </c>
      <c r="AP119" s="42">
        <v>0</v>
      </c>
      <c r="AQ119" s="42">
        <v>0</v>
      </c>
      <c r="AR119" s="42">
        <v>0</v>
      </c>
      <c r="AS119" s="244">
        <v>9999</v>
      </c>
      <c r="AT119" s="42">
        <v>0</v>
      </c>
      <c r="AU119" s="42">
        <v>0</v>
      </c>
      <c r="AV119" s="42">
        <v>0</v>
      </c>
      <c r="AW119" s="42">
        <v>0</v>
      </c>
      <c r="AX119" s="42">
        <v>0</v>
      </c>
      <c r="AY119" s="42">
        <v>0</v>
      </c>
      <c r="AZ119" s="244">
        <v>9999</v>
      </c>
      <c r="BA119" s="42">
        <v>0</v>
      </c>
      <c r="BB119" s="42">
        <v>0</v>
      </c>
      <c r="BC119" s="42">
        <v>0</v>
      </c>
      <c r="BD119" s="42">
        <v>0</v>
      </c>
      <c r="BE119" s="42">
        <v>0</v>
      </c>
      <c r="BF119" s="42">
        <v>0</v>
      </c>
      <c r="BG119" s="42">
        <v>9999</v>
      </c>
      <c r="BH119" s="244">
        <v>9999</v>
      </c>
      <c r="BI119" s="42">
        <v>9999</v>
      </c>
      <c r="BJ119" s="42">
        <v>9999</v>
      </c>
      <c r="BK119" s="42">
        <v>9999</v>
      </c>
      <c r="BL119" s="42">
        <v>9999</v>
      </c>
      <c r="BM119" s="42">
        <v>9999</v>
      </c>
      <c r="BN119" s="42">
        <v>0</v>
      </c>
      <c r="BO119" s="42">
        <v>0</v>
      </c>
      <c r="BP119" s="42">
        <v>0</v>
      </c>
      <c r="BQ119" s="42">
        <v>0</v>
      </c>
      <c r="BR119" s="42">
        <v>0</v>
      </c>
      <c r="BS119" s="42">
        <v>0</v>
      </c>
      <c r="BT119" s="42">
        <v>0</v>
      </c>
      <c r="BU119" s="42">
        <v>0</v>
      </c>
      <c r="BV119" s="42">
        <v>0</v>
      </c>
      <c r="BW119" s="42">
        <v>0</v>
      </c>
      <c r="BX119" s="42">
        <v>0</v>
      </c>
      <c r="BY119" s="42"/>
      <c r="BZ119" s="42">
        <v>0</v>
      </c>
      <c r="CA119" s="42">
        <v>0</v>
      </c>
      <c r="CB119" s="42">
        <v>0</v>
      </c>
      <c r="CC119" s="42">
        <v>0</v>
      </c>
      <c r="CD119" s="244">
        <v>9999</v>
      </c>
      <c r="CE119" s="42">
        <v>9999</v>
      </c>
      <c r="CF119" s="42">
        <v>0</v>
      </c>
      <c r="CG119" s="42">
        <v>0</v>
      </c>
      <c r="CH119" s="42">
        <v>0</v>
      </c>
      <c r="CI119" s="42">
        <v>0</v>
      </c>
      <c r="CJ119" s="42">
        <v>0</v>
      </c>
      <c r="CK119" s="42">
        <v>0</v>
      </c>
      <c r="CL119" s="42"/>
      <c r="CM119" s="42">
        <v>0</v>
      </c>
      <c r="CN119" s="42" t="s">
        <v>785</v>
      </c>
      <c r="CO119" s="42">
        <v>0</v>
      </c>
      <c r="CP119" s="42">
        <v>0</v>
      </c>
      <c r="CQ119" s="42">
        <v>0</v>
      </c>
      <c r="CR119" s="42">
        <v>0</v>
      </c>
      <c r="CS119" s="42">
        <v>0</v>
      </c>
      <c r="CT119" s="42">
        <v>0</v>
      </c>
      <c r="CU119" s="42">
        <v>0</v>
      </c>
      <c r="CV119" s="42">
        <v>9999</v>
      </c>
      <c r="CW119" s="244">
        <v>9999</v>
      </c>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row>
    <row r="120" spans="1:131">
      <c r="A120" s="18" t="s">
        <v>519</v>
      </c>
      <c r="B120" s="18" t="s">
        <v>820</v>
      </c>
      <c r="C120" s="42">
        <v>7</v>
      </c>
      <c r="D120" s="42">
        <v>2.4219877183927041</v>
      </c>
      <c r="E120" s="42">
        <v>0</v>
      </c>
      <c r="F120" s="42">
        <v>0.72439814184600282</v>
      </c>
      <c r="G120" s="42">
        <v>0</v>
      </c>
      <c r="H120" s="42">
        <v>0</v>
      </c>
      <c r="I120" s="42" t="s">
        <v>920</v>
      </c>
      <c r="J120" s="42"/>
      <c r="K120" s="42"/>
      <c r="L120" s="42">
        <v>2.6031410371255084</v>
      </c>
      <c r="M120" s="42">
        <v>4.8935503315998487E-4</v>
      </c>
      <c r="N120" s="42">
        <v>4.8582308797875804E-4</v>
      </c>
      <c r="O120" s="42">
        <v>0</v>
      </c>
      <c r="P120" s="42">
        <v>0</v>
      </c>
      <c r="Q120" s="42">
        <v>0</v>
      </c>
      <c r="R120" s="42">
        <v>0.14445466635824439</v>
      </c>
      <c r="S120" s="42">
        <v>0.33381276252317804</v>
      </c>
      <c r="T120" s="42">
        <v>0</v>
      </c>
      <c r="U120" s="42">
        <v>1.3671431712033193</v>
      </c>
      <c r="V120" s="42" t="s">
        <v>752</v>
      </c>
      <c r="W120" s="42" t="s">
        <v>752</v>
      </c>
      <c r="X120" s="42" t="s">
        <v>752</v>
      </c>
      <c r="Y120" s="42" t="s">
        <v>752</v>
      </c>
      <c r="Z120" s="42">
        <v>0</v>
      </c>
      <c r="AA120" s="42">
        <v>0</v>
      </c>
      <c r="AB120" s="42">
        <v>0</v>
      </c>
      <c r="AC120" s="42">
        <v>0</v>
      </c>
      <c r="AD120" s="42">
        <v>0</v>
      </c>
      <c r="AE120" s="42">
        <v>0</v>
      </c>
      <c r="AF120" s="42">
        <v>0</v>
      </c>
      <c r="AG120" s="42">
        <v>0</v>
      </c>
      <c r="AH120" s="42">
        <v>0.14445466635824439</v>
      </c>
      <c r="AI120" s="42">
        <v>0.33381276252317804</v>
      </c>
      <c r="AJ120" s="42">
        <v>0</v>
      </c>
      <c r="AK120" s="42">
        <v>1.3671431712033193</v>
      </c>
      <c r="AL120" s="42">
        <v>1.8454106000847417</v>
      </c>
      <c r="AM120" s="42">
        <v>1.3548267988102916</v>
      </c>
      <c r="AN120" s="42">
        <v>0.17291285957911359</v>
      </c>
      <c r="AO120" s="42">
        <v>0</v>
      </c>
      <c r="AP120" s="42">
        <v>0</v>
      </c>
      <c r="AQ120" s="42">
        <v>1.5277396583894052</v>
      </c>
      <c r="AR120" s="42">
        <v>0.14445466635824439</v>
      </c>
      <c r="AS120" s="244">
        <v>10.575910746978879</v>
      </c>
      <c r="AT120" s="42">
        <v>1.3548267988102916</v>
      </c>
      <c r="AU120" s="42">
        <v>0.20467732365808933</v>
      </c>
      <c r="AV120" s="42">
        <v>0</v>
      </c>
      <c r="AW120" s="42">
        <v>0</v>
      </c>
      <c r="AX120" s="42">
        <v>1.5595041224683808</v>
      </c>
      <c r="AY120" s="42">
        <v>0.33381276252317804</v>
      </c>
      <c r="AZ120" s="244">
        <v>4.671792985626479</v>
      </c>
      <c r="BA120" s="42">
        <v>1.3548267988102916</v>
      </c>
      <c r="BB120" s="42">
        <v>0.37759018323720295</v>
      </c>
      <c r="BC120" s="42">
        <v>0</v>
      </c>
      <c r="BD120" s="42">
        <v>0</v>
      </c>
      <c r="BE120" s="42">
        <v>1.7324169820474944</v>
      </c>
      <c r="BF120" s="42">
        <v>0.47826742888142243</v>
      </c>
      <c r="BG120" s="42">
        <v>2.8457958470614462</v>
      </c>
      <c r="BH120" s="244">
        <v>3.6222767377224327</v>
      </c>
      <c r="BI120" s="42">
        <v>4.083231389381397</v>
      </c>
      <c r="BJ120" s="42">
        <v>9.4357266848719323</v>
      </c>
      <c r="BK120" s="42">
        <v>0</v>
      </c>
      <c r="BL120" s="42">
        <v>38.644386167433893</v>
      </c>
      <c r="BM120" s="42">
        <v>52.16334424168722</v>
      </c>
      <c r="BN120" s="42">
        <v>1.3548267988102916</v>
      </c>
      <c r="BO120" s="42">
        <v>0</v>
      </c>
      <c r="BP120" s="42">
        <v>0.37759018323720295</v>
      </c>
      <c r="BQ120" s="42">
        <v>0</v>
      </c>
      <c r="BR120" s="42">
        <v>0</v>
      </c>
      <c r="BS120" s="42">
        <v>0</v>
      </c>
      <c r="BT120" s="42">
        <v>0</v>
      </c>
      <c r="BU120" s="42">
        <v>0</v>
      </c>
      <c r="BV120" s="42">
        <v>0</v>
      </c>
      <c r="BW120" s="42">
        <v>0</v>
      </c>
      <c r="BX120" s="42">
        <v>1.8454106000847417</v>
      </c>
      <c r="BY120" s="42"/>
      <c r="BZ120" s="42">
        <v>0</v>
      </c>
      <c r="CA120" s="42">
        <v>0</v>
      </c>
      <c r="CB120" s="42">
        <v>1.7324169820474946</v>
      </c>
      <c r="CC120" s="42">
        <v>1.8454106000847417</v>
      </c>
      <c r="CD120" s="245">
        <v>0.9387704730686719</v>
      </c>
      <c r="CE120" s="42">
        <v>41.490182014495332</v>
      </c>
      <c r="CF120" s="42">
        <v>2.473007387399289E-2</v>
      </c>
      <c r="CG120" s="42">
        <v>0</v>
      </c>
      <c r="CH120" s="42">
        <v>2.473007387399289E-2</v>
      </c>
      <c r="CI120" s="42">
        <v>1.2364919926346166E-3</v>
      </c>
      <c r="CJ120" s="42">
        <v>0</v>
      </c>
      <c r="CK120" s="42">
        <v>1.2364919926346166E-3</v>
      </c>
      <c r="CL120" s="42"/>
      <c r="CM120" s="42">
        <v>0</v>
      </c>
      <c r="CN120" s="42" t="s">
        <v>785</v>
      </c>
      <c r="CO120" s="42">
        <v>0</v>
      </c>
      <c r="CP120" s="42">
        <v>0</v>
      </c>
      <c r="CQ120" s="42">
        <v>0</v>
      </c>
      <c r="CR120" s="42">
        <v>0</v>
      </c>
      <c r="CS120" s="42">
        <v>0</v>
      </c>
      <c r="CT120" s="42">
        <v>0</v>
      </c>
      <c r="CU120" s="42">
        <v>0</v>
      </c>
      <c r="CV120" s="42">
        <v>9999</v>
      </c>
      <c r="CW120" s="244">
        <v>9999</v>
      </c>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row>
    <row r="121" spans="1:131">
      <c r="A121" s="18" t="s">
        <v>520</v>
      </c>
      <c r="B121" s="18" t="s">
        <v>821</v>
      </c>
      <c r="C121" s="42">
        <v>7</v>
      </c>
      <c r="D121" s="42">
        <v>45.275888692644699</v>
      </c>
      <c r="E121" s="42">
        <v>0</v>
      </c>
      <c r="F121" s="42">
        <v>6.8385456879515418</v>
      </c>
      <c r="G121" s="42">
        <v>0</v>
      </c>
      <c r="H121" s="42">
        <v>0</v>
      </c>
      <c r="I121" s="42" t="s">
        <v>920</v>
      </c>
      <c r="J121" s="42"/>
      <c r="K121" s="42"/>
      <c r="L121" s="42">
        <v>48.662312757871845</v>
      </c>
      <c r="M121" s="42">
        <v>9.1478515123273353E-3</v>
      </c>
      <c r="N121" s="42">
        <v>9.0818264224066178E-3</v>
      </c>
      <c r="O121" s="42">
        <v>0</v>
      </c>
      <c r="P121" s="42">
        <v>0</v>
      </c>
      <c r="Q121" s="42">
        <v>0</v>
      </c>
      <c r="R121" s="42">
        <v>1.3636973629049649</v>
      </c>
      <c r="S121" s="42">
        <v>3.1512971884753429</v>
      </c>
      <c r="T121" s="42">
        <v>0</v>
      </c>
      <c r="U121" s="42">
        <v>12.906260381093556</v>
      </c>
      <c r="V121" s="42" t="s">
        <v>752</v>
      </c>
      <c r="W121" s="42" t="s">
        <v>752</v>
      </c>
      <c r="X121" s="42" t="s">
        <v>752</v>
      </c>
      <c r="Y121" s="42" t="s">
        <v>752</v>
      </c>
      <c r="Z121" s="42">
        <v>0</v>
      </c>
      <c r="AA121" s="42">
        <v>0</v>
      </c>
      <c r="AB121" s="42">
        <v>0</v>
      </c>
      <c r="AC121" s="42">
        <v>0</v>
      </c>
      <c r="AD121" s="42">
        <v>0</v>
      </c>
      <c r="AE121" s="42">
        <v>0</v>
      </c>
      <c r="AF121" s="42">
        <v>0</v>
      </c>
      <c r="AG121" s="42">
        <v>0</v>
      </c>
      <c r="AH121" s="42">
        <v>1.3636973629049649</v>
      </c>
      <c r="AI121" s="42">
        <v>3.1512971884753429</v>
      </c>
      <c r="AJ121" s="42">
        <v>0</v>
      </c>
      <c r="AK121" s="42">
        <v>12.906260381093556</v>
      </c>
      <c r="AL121" s="42">
        <v>17.421254932473865</v>
      </c>
      <c r="AM121" s="42">
        <v>25.326712796650487</v>
      </c>
      <c r="AN121" s="42">
        <v>3.2323794726037014</v>
      </c>
      <c r="AO121" s="42">
        <v>0</v>
      </c>
      <c r="AP121" s="42">
        <v>0</v>
      </c>
      <c r="AQ121" s="42">
        <v>28.559092269254187</v>
      </c>
      <c r="AR121" s="42">
        <v>1.3636973629049649</v>
      </c>
      <c r="AS121" s="244">
        <v>20.942397518770044</v>
      </c>
      <c r="AT121" s="42">
        <v>25.326712796650487</v>
      </c>
      <c r="AU121" s="42">
        <v>3.8261745315545435</v>
      </c>
      <c r="AV121" s="42">
        <v>0</v>
      </c>
      <c r="AW121" s="42">
        <v>0</v>
      </c>
      <c r="AX121" s="42">
        <v>29.152887328205029</v>
      </c>
      <c r="AY121" s="42">
        <v>3.1512971884753429</v>
      </c>
      <c r="AZ121" s="244">
        <v>9.2510752190623275</v>
      </c>
      <c r="BA121" s="42">
        <v>25.326712796650487</v>
      </c>
      <c r="BB121" s="42">
        <v>7.0585540041582444</v>
      </c>
      <c r="BC121" s="42">
        <v>0</v>
      </c>
      <c r="BD121" s="42">
        <v>0</v>
      </c>
      <c r="BE121" s="42">
        <v>32.385266800808729</v>
      </c>
      <c r="BF121" s="42">
        <v>4.5149945513803083</v>
      </c>
      <c r="BG121" s="42">
        <v>-3.8460883996939494</v>
      </c>
      <c r="BH121" s="244">
        <v>7.1728252232127323</v>
      </c>
      <c r="BI121" s="42">
        <v>2.0620318516376042</v>
      </c>
      <c r="BJ121" s="42">
        <v>4.7650419758603242</v>
      </c>
      <c r="BK121" s="42">
        <v>0</v>
      </c>
      <c r="BL121" s="42">
        <v>19.515415014554112</v>
      </c>
      <c r="BM121" s="42">
        <v>26.342488842052042</v>
      </c>
      <c r="BN121" s="42">
        <v>25.326712796650487</v>
      </c>
      <c r="BO121" s="42">
        <v>0</v>
      </c>
      <c r="BP121" s="42">
        <v>7.0585540041582444</v>
      </c>
      <c r="BQ121" s="42">
        <v>0</v>
      </c>
      <c r="BR121" s="42">
        <v>0</v>
      </c>
      <c r="BS121" s="42">
        <v>0</v>
      </c>
      <c r="BT121" s="42">
        <v>0</v>
      </c>
      <c r="BU121" s="42">
        <v>0</v>
      </c>
      <c r="BV121" s="42">
        <v>0</v>
      </c>
      <c r="BW121" s="42">
        <v>0</v>
      </c>
      <c r="BX121" s="42">
        <v>17.421254932473865</v>
      </c>
      <c r="BY121" s="42"/>
      <c r="BZ121" s="42">
        <v>0</v>
      </c>
      <c r="CA121" s="42">
        <v>0</v>
      </c>
      <c r="CB121" s="42">
        <v>32.385266800808729</v>
      </c>
      <c r="CC121" s="42">
        <v>17.421254932473865</v>
      </c>
      <c r="CD121" s="244">
        <v>1.8589514318191505</v>
      </c>
      <c r="CE121" s="42">
        <v>15.669326614860161</v>
      </c>
      <c r="CF121" s="42">
        <v>0.46229634592153501</v>
      </c>
      <c r="CG121" s="42">
        <v>0</v>
      </c>
      <c r="CH121" s="42">
        <v>0.46229634592153501</v>
      </c>
      <c r="CI121" s="42">
        <v>2.3114598559989125E-2</v>
      </c>
      <c r="CJ121" s="42">
        <v>0</v>
      </c>
      <c r="CK121" s="42">
        <v>2.3114598559989125E-2</v>
      </c>
      <c r="CL121" s="42"/>
      <c r="CM121" s="42">
        <v>0</v>
      </c>
      <c r="CN121" s="42" t="s">
        <v>785</v>
      </c>
      <c r="CO121" s="42">
        <v>0</v>
      </c>
      <c r="CP121" s="42">
        <v>0</v>
      </c>
      <c r="CQ121" s="42">
        <v>0</v>
      </c>
      <c r="CR121" s="42">
        <v>0</v>
      </c>
      <c r="CS121" s="42">
        <v>0</v>
      </c>
      <c r="CT121" s="42">
        <v>0</v>
      </c>
      <c r="CU121" s="42">
        <v>0</v>
      </c>
      <c r="CV121" s="42">
        <v>9999</v>
      </c>
      <c r="CW121" s="244">
        <v>9999</v>
      </c>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row>
    <row r="122" spans="1:131">
      <c r="A122" s="18" t="s">
        <v>521</v>
      </c>
      <c r="B122" s="18" t="s">
        <v>822</v>
      </c>
      <c r="C122" s="42">
        <v>7</v>
      </c>
      <c r="D122" s="42">
        <v>149.46050611354116</v>
      </c>
      <c r="E122" s="42">
        <v>0</v>
      </c>
      <c r="F122" s="42">
        <v>24.537786895905203</v>
      </c>
      <c r="G122" s="42">
        <v>0</v>
      </c>
      <c r="H122" s="42">
        <v>0</v>
      </c>
      <c r="I122" s="42" t="s">
        <v>920</v>
      </c>
      <c r="J122" s="42"/>
      <c r="K122" s="42"/>
      <c r="L122" s="42">
        <v>160.63945078627486</v>
      </c>
      <c r="M122" s="42">
        <v>3.0198027169946681E-2</v>
      </c>
      <c r="N122" s="42">
        <v>2.9980071351945355E-2</v>
      </c>
      <c r="O122" s="42">
        <v>0</v>
      </c>
      <c r="P122" s="42">
        <v>0</v>
      </c>
      <c r="Q122" s="42">
        <v>0</v>
      </c>
      <c r="R122" s="42">
        <v>4.8931624951230477</v>
      </c>
      <c r="S122" s="42">
        <v>11.307354280415112</v>
      </c>
      <c r="T122" s="42">
        <v>0</v>
      </c>
      <c r="U122" s="42">
        <v>46.309709886460006</v>
      </c>
      <c r="V122" s="42" t="s">
        <v>752</v>
      </c>
      <c r="W122" s="42" t="s">
        <v>752</v>
      </c>
      <c r="X122" s="42" t="s">
        <v>752</v>
      </c>
      <c r="Y122" s="42" t="s">
        <v>752</v>
      </c>
      <c r="Z122" s="42">
        <v>0</v>
      </c>
      <c r="AA122" s="42">
        <v>0</v>
      </c>
      <c r="AB122" s="42">
        <v>0</v>
      </c>
      <c r="AC122" s="42">
        <v>0</v>
      </c>
      <c r="AD122" s="42">
        <v>0</v>
      </c>
      <c r="AE122" s="42">
        <v>0</v>
      </c>
      <c r="AF122" s="42">
        <v>0</v>
      </c>
      <c r="AG122" s="42">
        <v>0</v>
      </c>
      <c r="AH122" s="42">
        <v>4.8931624951230477</v>
      </c>
      <c r="AI122" s="42">
        <v>11.307354280415112</v>
      </c>
      <c r="AJ122" s="42">
        <v>0</v>
      </c>
      <c r="AK122" s="42">
        <v>46.309709886460006</v>
      </c>
      <c r="AL122" s="42">
        <v>62.510226661998161</v>
      </c>
      <c r="AM122" s="42">
        <v>83.606162619501077</v>
      </c>
      <c r="AN122" s="42">
        <v>10.670427149558183</v>
      </c>
      <c r="AO122" s="42">
        <v>0</v>
      </c>
      <c r="AP122" s="42">
        <v>0</v>
      </c>
      <c r="AQ122" s="42">
        <v>94.276589769059257</v>
      </c>
      <c r="AR122" s="42">
        <v>4.8931624951230477</v>
      </c>
      <c r="AS122" s="244">
        <v>19.267005717268439</v>
      </c>
      <c r="AT122" s="42">
        <v>83.606162619501077</v>
      </c>
      <c r="AU122" s="42">
        <v>12.630607559068972</v>
      </c>
      <c r="AV122" s="42">
        <v>0</v>
      </c>
      <c r="AW122" s="42">
        <v>0</v>
      </c>
      <c r="AX122" s="42">
        <v>96.236770178570055</v>
      </c>
      <c r="AY122" s="42">
        <v>11.307354280415112</v>
      </c>
      <c r="AZ122" s="244">
        <v>8.5109892015373418</v>
      </c>
      <c r="BA122" s="42">
        <v>83.606162619501077</v>
      </c>
      <c r="BB122" s="42">
        <v>23.301034708627157</v>
      </c>
      <c r="BC122" s="42">
        <v>0</v>
      </c>
      <c r="BD122" s="42">
        <v>0</v>
      </c>
      <c r="BE122" s="42">
        <v>106.90719732812823</v>
      </c>
      <c r="BF122" s="42">
        <v>16.200516775538158</v>
      </c>
      <c r="BG122" s="42">
        <v>-3.2524298059984784</v>
      </c>
      <c r="BH122" s="244">
        <v>6.5989992053557147</v>
      </c>
      <c r="BI122" s="42">
        <v>2.2413389691713097</v>
      </c>
      <c r="BJ122" s="42">
        <v>5.1793934520220928</v>
      </c>
      <c r="BK122" s="42">
        <v>0</v>
      </c>
      <c r="BL122" s="42">
        <v>21.212407624515347</v>
      </c>
      <c r="BM122" s="42">
        <v>28.633140045708746</v>
      </c>
      <c r="BN122" s="42">
        <v>83.606162619501077</v>
      </c>
      <c r="BO122" s="42">
        <v>0</v>
      </c>
      <c r="BP122" s="42">
        <v>23.301034708627157</v>
      </c>
      <c r="BQ122" s="42">
        <v>0</v>
      </c>
      <c r="BR122" s="42">
        <v>0</v>
      </c>
      <c r="BS122" s="42">
        <v>0</v>
      </c>
      <c r="BT122" s="42">
        <v>0</v>
      </c>
      <c r="BU122" s="42">
        <v>0</v>
      </c>
      <c r="BV122" s="42">
        <v>0</v>
      </c>
      <c r="BW122" s="42">
        <v>0</v>
      </c>
      <c r="BX122" s="42">
        <v>62.510226661998161</v>
      </c>
      <c r="BY122" s="42"/>
      <c r="BZ122" s="42">
        <v>0</v>
      </c>
      <c r="CA122" s="42">
        <v>0</v>
      </c>
      <c r="CB122" s="42">
        <v>106.90719732812823</v>
      </c>
      <c r="CC122" s="42">
        <v>62.510226661998161</v>
      </c>
      <c r="CD122" s="244">
        <v>1.7102353172736187</v>
      </c>
      <c r="CE122" s="42">
        <v>17.959977818516865</v>
      </c>
      <c r="CF122" s="42">
        <v>1.5260892238896708</v>
      </c>
      <c r="CG122" s="42">
        <v>0</v>
      </c>
      <c r="CH122" s="42">
        <v>1.5260892238896708</v>
      </c>
      <c r="CI122" s="42">
        <v>7.6303739123480555E-2</v>
      </c>
      <c r="CJ122" s="42">
        <v>0</v>
      </c>
      <c r="CK122" s="42">
        <v>7.6303739123480555E-2</v>
      </c>
      <c r="CL122" s="42"/>
      <c r="CM122" s="42">
        <v>0</v>
      </c>
      <c r="CN122" s="42" t="s">
        <v>785</v>
      </c>
      <c r="CO122" s="42">
        <v>0</v>
      </c>
      <c r="CP122" s="42">
        <v>0</v>
      </c>
      <c r="CQ122" s="42">
        <v>0</v>
      </c>
      <c r="CR122" s="42">
        <v>0</v>
      </c>
      <c r="CS122" s="42">
        <v>0</v>
      </c>
      <c r="CT122" s="42">
        <v>0</v>
      </c>
      <c r="CU122" s="42">
        <v>0</v>
      </c>
      <c r="CV122" s="42">
        <v>9999</v>
      </c>
      <c r="CW122" s="244">
        <v>9999</v>
      </c>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row>
    <row r="123" spans="1:131">
      <c r="A123" s="18" t="s">
        <v>522</v>
      </c>
      <c r="B123" s="18" t="s">
        <v>823</v>
      </c>
      <c r="C123" s="42">
        <v>7</v>
      </c>
      <c r="D123" s="42">
        <v>0.61562132915667167</v>
      </c>
      <c r="E123" s="42">
        <v>0</v>
      </c>
      <c r="F123" s="42">
        <v>0.11921086101457987</v>
      </c>
      <c r="G123" s="42">
        <v>0</v>
      </c>
      <c r="H123" s="42">
        <v>0</v>
      </c>
      <c r="I123" s="42" t="s">
        <v>920</v>
      </c>
      <c r="J123" s="42"/>
      <c r="K123" s="42"/>
      <c r="L123" s="42">
        <v>0.66166691642886477</v>
      </c>
      <c r="M123" s="42">
        <v>1.2438436151252636E-4</v>
      </c>
      <c r="N123" s="42">
        <v>1.2348661097049706E-4</v>
      </c>
      <c r="O123" s="42">
        <v>0</v>
      </c>
      <c r="P123" s="42">
        <v>0</v>
      </c>
      <c r="Q123" s="42">
        <v>0</v>
      </c>
      <c r="R123" s="42">
        <v>2.3772238164853042E-2</v>
      </c>
      <c r="S123" s="42">
        <v>5.4934026661961281E-2</v>
      </c>
      <c r="T123" s="42">
        <v>0</v>
      </c>
      <c r="U123" s="42">
        <v>0.22498444592089778</v>
      </c>
      <c r="V123" s="42" t="s">
        <v>752</v>
      </c>
      <c r="W123" s="42" t="s">
        <v>752</v>
      </c>
      <c r="X123" s="42" t="s">
        <v>752</v>
      </c>
      <c r="Y123" s="42" t="s">
        <v>752</v>
      </c>
      <c r="Z123" s="42">
        <v>0</v>
      </c>
      <c r="AA123" s="42">
        <v>0</v>
      </c>
      <c r="AB123" s="42">
        <v>0</v>
      </c>
      <c r="AC123" s="42">
        <v>0</v>
      </c>
      <c r="AD123" s="42">
        <v>0</v>
      </c>
      <c r="AE123" s="42">
        <v>0</v>
      </c>
      <c r="AF123" s="42">
        <v>0</v>
      </c>
      <c r="AG123" s="42">
        <v>0</v>
      </c>
      <c r="AH123" s="42">
        <v>2.3772238164853042E-2</v>
      </c>
      <c r="AI123" s="42">
        <v>5.4934026661961281E-2</v>
      </c>
      <c r="AJ123" s="42">
        <v>0</v>
      </c>
      <c r="AK123" s="42">
        <v>0.22498444592089778</v>
      </c>
      <c r="AL123" s="42">
        <v>0.30369071074771209</v>
      </c>
      <c r="AM123" s="42">
        <v>0.34437015032189111</v>
      </c>
      <c r="AN123" s="42">
        <v>4.395102569430747E-2</v>
      </c>
      <c r="AO123" s="42">
        <v>0</v>
      </c>
      <c r="AP123" s="42">
        <v>0</v>
      </c>
      <c r="AQ123" s="42">
        <v>0.38832117601619859</v>
      </c>
      <c r="AR123" s="42">
        <v>2.3772238164853042E-2</v>
      </c>
      <c r="AS123" s="244">
        <v>16.335070064640636</v>
      </c>
      <c r="AT123" s="42">
        <v>0.34437015032189111</v>
      </c>
      <c r="AU123" s="42">
        <v>5.2024923612016771E-2</v>
      </c>
      <c r="AV123" s="42">
        <v>0</v>
      </c>
      <c r="AW123" s="42">
        <v>0</v>
      </c>
      <c r="AX123" s="42">
        <v>0.39639507393390788</v>
      </c>
      <c r="AY123" s="42">
        <v>5.4934026661961281E-2</v>
      </c>
      <c r="AZ123" s="244">
        <v>7.2158386708686173</v>
      </c>
      <c r="BA123" s="42">
        <v>0.34437015032189111</v>
      </c>
      <c r="BB123" s="42">
        <v>9.5975949306324249E-2</v>
      </c>
      <c r="BC123" s="42">
        <v>0</v>
      </c>
      <c r="BD123" s="42">
        <v>0</v>
      </c>
      <c r="BE123" s="42">
        <v>0.44034609962821536</v>
      </c>
      <c r="BF123" s="42">
        <v>7.8706264826814323E-2</v>
      </c>
      <c r="BG123" s="42">
        <v>-1.9205034739894125</v>
      </c>
      <c r="BH123" s="244">
        <v>5.5948036741059335</v>
      </c>
      <c r="BI123" s="42">
        <v>2.6436305790225707</v>
      </c>
      <c r="BJ123" s="42">
        <v>6.1090281741799046</v>
      </c>
      <c r="BK123" s="42">
        <v>0</v>
      </c>
      <c r="BL123" s="42">
        <v>25.019762839171943</v>
      </c>
      <c r="BM123" s="42">
        <v>33.772421592374421</v>
      </c>
      <c r="BN123" s="42">
        <v>0.34437015032189111</v>
      </c>
      <c r="BO123" s="42">
        <v>0</v>
      </c>
      <c r="BP123" s="42">
        <v>9.5975949306324249E-2</v>
      </c>
      <c r="BQ123" s="42">
        <v>0</v>
      </c>
      <c r="BR123" s="42">
        <v>0</v>
      </c>
      <c r="BS123" s="42">
        <v>0</v>
      </c>
      <c r="BT123" s="42">
        <v>0</v>
      </c>
      <c r="BU123" s="42">
        <v>0</v>
      </c>
      <c r="BV123" s="42">
        <v>0</v>
      </c>
      <c r="BW123" s="42">
        <v>0</v>
      </c>
      <c r="BX123" s="42">
        <v>0.30369071074771209</v>
      </c>
      <c r="BY123" s="42"/>
      <c r="BZ123" s="42">
        <v>0</v>
      </c>
      <c r="CA123" s="42">
        <v>0</v>
      </c>
      <c r="CB123" s="42">
        <v>0.44034609962821536</v>
      </c>
      <c r="CC123" s="42">
        <v>0.30369071074771209</v>
      </c>
      <c r="CD123" s="244">
        <v>1.449982116818938</v>
      </c>
      <c r="CE123" s="42">
        <v>23.099259365182533</v>
      </c>
      <c r="CF123" s="42">
        <v>6.2858951896558315E-3</v>
      </c>
      <c r="CG123" s="42">
        <v>0</v>
      </c>
      <c r="CH123" s="42">
        <v>6.2858951896558315E-3</v>
      </c>
      <c r="CI123" s="42">
        <v>3.1429178530371075E-4</v>
      </c>
      <c r="CJ123" s="42">
        <v>0</v>
      </c>
      <c r="CK123" s="42">
        <v>3.1429178530371075E-4</v>
      </c>
      <c r="CL123" s="42"/>
      <c r="CM123" s="42">
        <v>0</v>
      </c>
      <c r="CN123" s="42" t="s">
        <v>785</v>
      </c>
      <c r="CO123" s="42">
        <v>0</v>
      </c>
      <c r="CP123" s="42">
        <v>0</v>
      </c>
      <c r="CQ123" s="42">
        <v>0</v>
      </c>
      <c r="CR123" s="42">
        <v>0</v>
      </c>
      <c r="CS123" s="42">
        <v>0</v>
      </c>
      <c r="CT123" s="42">
        <v>0</v>
      </c>
      <c r="CU123" s="42">
        <v>0</v>
      </c>
      <c r="CV123" s="42">
        <v>9999</v>
      </c>
      <c r="CW123" s="244">
        <v>9999</v>
      </c>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row>
    <row r="124" spans="1:131">
      <c r="A124" s="18" t="s">
        <v>523</v>
      </c>
      <c r="B124" s="18" t="s">
        <v>824</v>
      </c>
      <c r="C124" s="42">
        <v>7</v>
      </c>
      <c r="D124" s="42">
        <v>0.80272840444429938</v>
      </c>
      <c r="E124" s="42">
        <v>0</v>
      </c>
      <c r="F124" s="42">
        <v>0.23721933147640642</v>
      </c>
      <c r="G124" s="42">
        <v>0</v>
      </c>
      <c r="H124" s="42">
        <v>0</v>
      </c>
      <c r="I124" s="42" t="s">
        <v>920</v>
      </c>
      <c r="J124" s="42"/>
      <c r="K124" s="42"/>
      <c r="L124" s="42">
        <v>0.86276872314693764</v>
      </c>
      <c r="M124" s="42">
        <v>1.6218876008008295E-4</v>
      </c>
      <c r="N124" s="42">
        <v>1.610181543423328E-4</v>
      </c>
      <c r="O124" s="42">
        <v>0</v>
      </c>
      <c r="P124" s="42">
        <v>0</v>
      </c>
      <c r="Q124" s="42">
        <v>0</v>
      </c>
      <c r="R124" s="42">
        <v>4.7304703591350264E-2</v>
      </c>
      <c r="S124" s="42">
        <v>0.1093139749948099</v>
      </c>
      <c r="T124" s="42">
        <v>0</v>
      </c>
      <c r="U124" s="42">
        <v>0.44769964246309468</v>
      </c>
      <c r="V124" s="42" t="s">
        <v>752</v>
      </c>
      <c r="W124" s="42" t="s">
        <v>752</v>
      </c>
      <c r="X124" s="42" t="s">
        <v>752</v>
      </c>
      <c r="Y124" s="42" t="s">
        <v>752</v>
      </c>
      <c r="Z124" s="42">
        <v>0</v>
      </c>
      <c r="AA124" s="42">
        <v>0</v>
      </c>
      <c r="AB124" s="42">
        <v>0</v>
      </c>
      <c r="AC124" s="42">
        <v>0</v>
      </c>
      <c r="AD124" s="42">
        <v>0</v>
      </c>
      <c r="AE124" s="42">
        <v>0</v>
      </c>
      <c r="AF124" s="42">
        <v>0</v>
      </c>
      <c r="AG124" s="42">
        <v>0</v>
      </c>
      <c r="AH124" s="42">
        <v>4.7304703591350264E-2</v>
      </c>
      <c r="AI124" s="42">
        <v>0.1093139749948099</v>
      </c>
      <c r="AJ124" s="42">
        <v>0</v>
      </c>
      <c r="AK124" s="42">
        <v>0.44769964246309468</v>
      </c>
      <c r="AL124" s="42">
        <v>0.60431832104925487</v>
      </c>
      <c r="AM124" s="42">
        <v>0.44903528876236171</v>
      </c>
      <c r="AN124" s="42">
        <v>5.7309152653323855E-2</v>
      </c>
      <c r="AO124" s="42">
        <v>0</v>
      </c>
      <c r="AP124" s="42">
        <v>0</v>
      </c>
      <c r="AQ124" s="42">
        <v>0.50634444141568558</v>
      </c>
      <c r="AR124" s="42">
        <v>4.7304703591350264E-2</v>
      </c>
      <c r="AS124" s="244">
        <v>10.703892065149128</v>
      </c>
      <c r="AT124" s="42">
        <v>0.44903528876236171</v>
      </c>
      <c r="AU124" s="42">
        <v>6.7836967214277011E-2</v>
      </c>
      <c r="AV124" s="42">
        <v>0</v>
      </c>
      <c r="AW124" s="42">
        <v>0</v>
      </c>
      <c r="AX124" s="42">
        <v>0.51687225597663877</v>
      </c>
      <c r="AY124" s="42">
        <v>0.1093139749948099</v>
      </c>
      <c r="AZ124" s="244">
        <v>4.7283273341874112</v>
      </c>
      <c r="BA124" s="42">
        <v>0.44903528876236171</v>
      </c>
      <c r="BB124" s="42">
        <v>0.12514611986760088</v>
      </c>
      <c r="BC124" s="42">
        <v>0</v>
      </c>
      <c r="BD124" s="42">
        <v>0</v>
      </c>
      <c r="BE124" s="42">
        <v>0.57418140862996259</v>
      </c>
      <c r="BF124" s="42">
        <v>0.15661867858616016</v>
      </c>
      <c r="BG124" s="42">
        <v>2.6841561309562425</v>
      </c>
      <c r="BH124" s="244">
        <v>3.6661106696420624</v>
      </c>
      <c r="BI124" s="42">
        <v>4.0344101445083567</v>
      </c>
      <c r="BJ124" s="42">
        <v>9.3229082136397654</v>
      </c>
      <c r="BK124" s="42">
        <v>0</v>
      </c>
      <c r="BL124" s="42">
        <v>38.182333724127609</v>
      </c>
      <c r="BM124" s="42">
        <v>51.539652082275737</v>
      </c>
      <c r="BN124" s="42">
        <v>0.44903528876236171</v>
      </c>
      <c r="BO124" s="42">
        <v>0</v>
      </c>
      <c r="BP124" s="42">
        <v>0.12514611986760088</v>
      </c>
      <c r="BQ124" s="42">
        <v>0</v>
      </c>
      <c r="BR124" s="42">
        <v>0</v>
      </c>
      <c r="BS124" s="42">
        <v>0</v>
      </c>
      <c r="BT124" s="42">
        <v>0</v>
      </c>
      <c r="BU124" s="42">
        <v>0</v>
      </c>
      <c r="BV124" s="42">
        <v>0</v>
      </c>
      <c r="BW124" s="42">
        <v>0</v>
      </c>
      <c r="BX124" s="42">
        <v>0.60431832104925487</v>
      </c>
      <c r="BY124" s="42"/>
      <c r="BZ124" s="42">
        <v>0</v>
      </c>
      <c r="CA124" s="42">
        <v>0</v>
      </c>
      <c r="CB124" s="42">
        <v>0.57418140862996259</v>
      </c>
      <c r="CC124" s="42">
        <v>0.60431832104925487</v>
      </c>
      <c r="CD124" s="245">
        <v>0.9501307318186768</v>
      </c>
      <c r="CE124" s="42">
        <v>40.866489855083849</v>
      </c>
      <c r="CF124" s="42">
        <v>8.1963804324466146E-3</v>
      </c>
      <c r="CG124" s="42">
        <v>0</v>
      </c>
      <c r="CH124" s="42">
        <v>8.1963804324466146E-3</v>
      </c>
      <c r="CI124" s="42">
        <v>4.0981514349479532E-4</v>
      </c>
      <c r="CJ124" s="42">
        <v>0</v>
      </c>
      <c r="CK124" s="42">
        <v>4.0981514349479532E-4</v>
      </c>
      <c r="CL124" s="42"/>
      <c r="CM124" s="42">
        <v>0</v>
      </c>
      <c r="CN124" s="42" t="s">
        <v>785</v>
      </c>
      <c r="CO124" s="42">
        <v>0</v>
      </c>
      <c r="CP124" s="42">
        <v>0</v>
      </c>
      <c r="CQ124" s="42">
        <v>0</v>
      </c>
      <c r="CR124" s="42">
        <v>0</v>
      </c>
      <c r="CS124" s="42">
        <v>0</v>
      </c>
      <c r="CT124" s="42">
        <v>0</v>
      </c>
      <c r="CU124" s="42">
        <v>0</v>
      </c>
      <c r="CV124" s="42">
        <v>9999</v>
      </c>
      <c r="CW124" s="244">
        <v>9999</v>
      </c>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row>
    <row r="125" spans="1:131">
      <c r="A125" s="18" t="s">
        <v>524</v>
      </c>
      <c r="B125" s="18" t="s">
        <v>825</v>
      </c>
      <c r="C125" s="42">
        <v>7</v>
      </c>
      <c r="D125" s="42">
        <v>40.921313429450663</v>
      </c>
      <c r="E125" s="42">
        <v>0</v>
      </c>
      <c r="F125" s="42">
        <v>12.092915313730328</v>
      </c>
      <c r="G125" s="42">
        <v>0</v>
      </c>
      <c r="H125" s="42">
        <v>0</v>
      </c>
      <c r="I125" s="42" t="s">
        <v>920</v>
      </c>
      <c r="J125" s="42"/>
      <c r="K125" s="42"/>
      <c r="L125" s="42">
        <v>43.982035694206715</v>
      </c>
      <c r="M125" s="42">
        <v>8.2680232183456829E-3</v>
      </c>
      <c r="N125" s="42">
        <v>8.2083483344975779E-3</v>
      </c>
      <c r="O125" s="42">
        <v>0</v>
      </c>
      <c r="P125" s="42">
        <v>0</v>
      </c>
      <c r="Q125" s="42">
        <v>0</v>
      </c>
      <c r="R125" s="42">
        <v>2.4114888567933144</v>
      </c>
      <c r="S125" s="42">
        <v>5.5725839626647291</v>
      </c>
      <c r="T125" s="42">
        <v>0</v>
      </c>
      <c r="U125" s="42">
        <v>22.822734675955449</v>
      </c>
      <c r="V125" s="42" t="s">
        <v>752</v>
      </c>
      <c r="W125" s="42" t="s">
        <v>752</v>
      </c>
      <c r="X125" s="42" t="s">
        <v>752</v>
      </c>
      <c r="Y125" s="42" t="s">
        <v>752</v>
      </c>
      <c r="Z125" s="42">
        <v>0</v>
      </c>
      <c r="AA125" s="42">
        <v>0</v>
      </c>
      <c r="AB125" s="42">
        <v>0</v>
      </c>
      <c r="AC125" s="42">
        <v>0</v>
      </c>
      <c r="AD125" s="42">
        <v>0</v>
      </c>
      <c r="AE125" s="42">
        <v>0</v>
      </c>
      <c r="AF125" s="42">
        <v>0</v>
      </c>
      <c r="AG125" s="42">
        <v>0</v>
      </c>
      <c r="AH125" s="42">
        <v>2.4114888567933144</v>
      </c>
      <c r="AI125" s="42">
        <v>5.5725839626647291</v>
      </c>
      <c r="AJ125" s="42">
        <v>0</v>
      </c>
      <c r="AK125" s="42">
        <v>22.822734675955449</v>
      </c>
      <c r="AL125" s="42">
        <v>30.806807495413494</v>
      </c>
      <c r="AM125" s="42">
        <v>22.890822961533217</v>
      </c>
      <c r="AN125" s="42">
        <v>2.921493477892283</v>
      </c>
      <c r="AO125" s="42">
        <v>0</v>
      </c>
      <c r="AP125" s="42">
        <v>0</v>
      </c>
      <c r="AQ125" s="42">
        <v>25.812316439425501</v>
      </c>
      <c r="AR125" s="42">
        <v>2.4114888567933144</v>
      </c>
      <c r="AS125" s="244">
        <v>10.703892065149128</v>
      </c>
      <c r="AT125" s="42">
        <v>22.890822961533217</v>
      </c>
      <c r="AU125" s="42">
        <v>3.4581781111888152</v>
      </c>
      <c r="AV125" s="42">
        <v>0</v>
      </c>
      <c r="AW125" s="42">
        <v>0</v>
      </c>
      <c r="AX125" s="42">
        <v>26.349001072722032</v>
      </c>
      <c r="AY125" s="42">
        <v>5.5725839626647291</v>
      </c>
      <c r="AZ125" s="244">
        <v>4.7283273341874104</v>
      </c>
      <c r="BA125" s="42">
        <v>22.890822961533217</v>
      </c>
      <c r="BB125" s="42">
        <v>6.3796715890810987</v>
      </c>
      <c r="BC125" s="42">
        <v>0</v>
      </c>
      <c r="BD125" s="42">
        <v>0</v>
      </c>
      <c r="BE125" s="42">
        <v>29.270494550614316</v>
      </c>
      <c r="BF125" s="42">
        <v>7.9840728194580439</v>
      </c>
      <c r="BG125" s="42">
        <v>2.6841561309562407</v>
      </c>
      <c r="BH125" s="244">
        <v>3.666110669642062</v>
      </c>
      <c r="BI125" s="42">
        <v>4.0344101445083576</v>
      </c>
      <c r="BJ125" s="42">
        <v>9.322908213639769</v>
      </c>
      <c r="BK125" s="42">
        <v>0</v>
      </c>
      <c r="BL125" s="42">
        <v>38.182333724127623</v>
      </c>
      <c r="BM125" s="42">
        <v>51.539652082275751</v>
      </c>
      <c r="BN125" s="42">
        <v>22.890822961533217</v>
      </c>
      <c r="BO125" s="42">
        <v>0</v>
      </c>
      <c r="BP125" s="42">
        <v>6.3796715890810987</v>
      </c>
      <c r="BQ125" s="42">
        <v>0</v>
      </c>
      <c r="BR125" s="42">
        <v>0</v>
      </c>
      <c r="BS125" s="42">
        <v>0</v>
      </c>
      <c r="BT125" s="42">
        <v>0</v>
      </c>
      <c r="BU125" s="42">
        <v>0</v>
      </c>
      <c r="BV125" s="42">
        <v>0</v>
      </c>
      <c r="BW125" s="42">
        <v>0</v>
      </c>
      <c r="BX125" s="42">
        <v>30.806807495413494</v>
      </c>
      <c r="BY125" s="42"/>
      <c r="BZ125" s="42">
        <v>0</v>
      </c>
      <c r="CA125" s="42">
        <v>0</v>
      </c>
      <c r="CB125" s="42">
        <v>29.270494550614316</v>
      </c>
      <c r="CC125" s="42">
        <v>30.806807495413494</v>
      </c>
      <c r="CD125" s="245">
        <v>0.95013073181867669</v>
      </c>
      <c r="CE125" s="42">
        <v>40.866489855083863</v>
      </c>
      <c r="CF125" s="42">
        <v>0.41783329306174793</v>
      </c>
      <c r="CG125" s="42">
        <v>0</v>
      </c>
      <c r="CH125" s="42">
        <v>0.41783329306174793</v>
      </c>
      <c r="CI125" s="42">
        <v>2.0891466954748191E-2</v>
      </c>
      <c r="CJ125" s="42">
        <v>0</v>
      </c>
      <c r="CK125" s="42">
        <v>2.0891466954748191E-2</v>
      </c>
      <c r="CL125" s="42"/>
      <c r="CM125" s="42">
        <v>0</v>
      </c>
      <c r="CN125" s="42" t="s">
        <v>785</v>
      </c>
      <c r="CO125" s="42">
        <v>0</v>
      </c>
      <c r="CP125" s="42">
        <v>0</v>
      </c>
      <c r="CQ125" s="42">
        <v>0</v>
      </c>
      <c r="CR125" s="42">
        <v>0</v>
      </c>
      <c r="CS125" s="42">
        <v>0</v>
      </c>
      <c r="CT125" s="42">
        <v>0</v>
      </c>
      <c r="CU125" s="42">
        <v>0</v>
      </c>
      <c r="CV125" s="42">
        <v>9999</v>
      </c>
      <c r="CW125" s="244">
        <v>9999</v>
      </c>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row>
    <row r="126" spans="1:131">
      <c r="A126" s="18" t="s">
        <v>507</v>
      </c>
      <c r="B126" s="18" t="s">
        <v>561</v>
      </c>
      <c r="C126" s="42">
        <v>7</v>
      </c>
      <c r="D126" s="42">
        <v>93.006897915549672</v>
      </c>
      <c r="E126" s="42">
        <v>0</v>
      </c>
      <c r="F126" s="42">
        <v>20.794613791768153</v>
      </c>
      <c r="G126" s="42">
        <v>0</v>
      </c>
      <c r="H126" s="42">
        <v>0</v>
      </c>
      <c r="I126" s="42" t="s">
        <v>920</v>
      </c>
      <c r="J126" s="42"/>
      <c r="K126" s="42"/>
      <c r="L126" s="42">
        <v>99.963377543623963</v>
      </c>
      <c r="M126" s="42">
        <v>1.8791752438684965E-2</v>
      </c>
      <c r="N126" s="42">
        <v>1.8656121996623237E-2</v>
      </c>
      <c r="O126" s="42">
        <v>0</v>
      </c>
      <c r="P126" s="42">
        <v>0</v>
      </c>
      <c r="Q126" s="42">
        <v>0</v>
      </c>
      <c r="R126" s="42">
        <v>4.1467237749720773</v>
      </c>
      <c r="S126" s="42">
        <v>9.5824479308346646</v>
      </c>
      <c r="T126" s="42">
        <v>0</v>
      </c>
      <c r="U126" s="42">
        <v>39.245288745190983</v>
      </c>
      <c r="V126" s="42" t="s">
        <v>752</v>
      </c>
      <c r="W126" s="42" t="s">
        <v>752</v>
      </c>
      <c r="X126" s="42" t="s">
        <v>752</v>
      </c>
      <c r="Y126" s="42" t="s">
        <v>752</v>
      </c>
      <c r="Z126" s="42">
        <v>0</v>
      </c>
      <c r="AA126" s="42">
        <v>0</v>
      </c>
      <c r="AB126" s="42">
        <v>0</v>
      </c>
      <c r="AC126" s="42">
        <v>0</v>
      </c>
      <c r="AD126" s="42">
        <v>0</v>
      </c>
      <c r="AE126" s="42">
        <v>0</v>
      </c>
      <c r="AF126" s="42">
        <v>0</v>
      </c>
      <c r="AG126" s="42">
        <v>0</v>
      </c>
      <c r="AH126" s="42">
        <v>4.1467237749720773</v>
      </c>
      <c r="AI126" s="42">
        <v>9.5824479308346646</v>
      </c>
      <c r="AJ126" s="42">
        <v>0</v>
      </c>
      <c r="AK126" s="42">
        <v>39.245288745190983</v>
      </c>
      <c r="AL126" s="42">
        <v>52.974460450997725</v>
      </c>
      <c r="AM126" s="42">
        <v>52.026786433839582</v>
      </c>
      <c r="AN126" s="42">
        <v>6.6400372541248451</v>
      </c>
      <c r="AO126" s="42">
        <v>0</v>
      </c>
      <c r="AP126" s="42">
        <v>0</v>
      </c>
      <c r="AQ126" s="42">
        <v>58.666823687964424</v>
      </c>
      <c r="AR126" s="42">
        <v>4.1467237749720773</v>
      </c>
      <c r="AS126" s="244">
        <v>14.147752990457983</v>
      </c>
      <c r="AT126" s="42">
        <v>52.026786433839582</v>
      </c>
      <c r="AU126" s="42">
        <v>7.859826374234836</v>
      </c>
      <c r="AV126" s="42">
        <v>0</v>
      </c>
      <c r="AW126" s="42">
        <v>0</v>
      </c>
      <c r="AX126" s="42">
        <v>59.886612808074418</v>
      </c>
      <c r="AY126" s="42">
        <v>9.5824479308346646</v>
      </c>
      <c r="AZ126" s="244">
        <v>6.2496152590998824</v>
      </c>
      <c r="BA126" s="42">
        <v>52.026786433839582</v>
      </c>
      <c r="BB126" s="42">
        <v>14.49986362835968</v>
      </c>
      <c r="BC126" s="42">
        <v>0</v>
      </c>
      <c r="BD126" s="42">
        <v>0</v>
      </c>
      <c r="BE126" s="42">
        <v>66.526650062199266</v>
      </c>
      <c r="BF126" s="42">
        <v>13.729171705806742</v>
      </c>
      <c r="BG126" s="42">
        <v>-0.56729636411928763</v>
      </c>
      <c r="BH126" s="244">
        <v>4.8456419285703793</v>
      </c>
      <c r="BI126" s="42">
        <v>3.052349780384612</v>
      </c>
      <c r="BJ126" s="42">
        <v>7.0535160826879828</v>
      </c>
      <c r="BK126" s="42">
        <v>0</v>
      </c>
      <c r="BL126" s="42">
        <v>28.887949857070243</v>
      </c>
      <c r="BM126" s="42">
        <v>38.993815720142834</v>
      </c>
      <c r="BN126" s="42">
        <v>52.026786433839582</v>
      </c>
      <c r="BO126" s="42">
        <v>0</v>
      </c>
      <c r="BP126" s="42">
        <v>14.49986362835968</v>
      </c>
      <c r="BQ126" s="42">
        <v>0</v>
      </c>
      <c r="BR126" s="42">
        <v>0</v>
      </c>
      <c r="BS126" s="42">
        <v>0</v>
      </c>
      <c r="BT126" s="42">
        <v>0</v>
      </c>
      <c r="BU126" s="42">
        <v>0</v>
      </c>
      <c r="BV126" s="42">
        <v>0</v>
      </c>
      <c r="BW126" s="42">
        <v>0</v>
      </c>
      <c r="BX126" s="42">
        <v>52.974460450997725</v>
      </c>
      <c r="BY126" s="42"/>
      <c r="BZ126" s="42">
        <v>0</v>
      </c>
      <c r="CA126" s="42">
        <v>0</v>
      </c>
      <c r="CB126" s="42">
        <v>66.526650062199266</v>
      </c>
      <c r="CC126" s="42">
        <v>52.974460450997725</v>
      </c>
      <c r="CD126" s="244">
        <v>1.2558249672733817</v>
      </c>
      <c r="CE126" s="42">
        <v>28.320653492950953</v>
      </c>
      <c r="CF126" s="42">
        <v>0.94966107333064742</v>
      </c>
      <c r="CG126" s="42">
        <v>0</v>
      </c>
      <c r="CH126" s="42">
        <v>0.94966107333064742</v>
      </c>
      <c r="CI126" s="42">
        <v>4.7482604333221372E-2</v>
      </c>
      <c r="CJ126" s="42">
        <v>0</v>
      </c>
      <c r="CK126" s="42">
        <v>4.7482604333221372E-2</v>
      </c>
      <c r="CL126" s="42"/>
      <c r="CM126" s="42">
        <v>0</v>
      </c>
      <c r="CN126" s="42" t="s">
        <v>785</v>
      </c>
      <c r="CO126" s="42">
        <v>0</v>
      </c>
      <c r="CP126" s="42">
        <v>0</v>
      </c>
      <c r="CQ126" s="42">
        <v>0</v>
      </c>
      <c r="CR126" s="42">
        <v>0</v>
      </c>
      <c r="CS126" s="42">
        <v>0</v>
      </c>
      <c r="CT126" s="42">
        <v>0</v>
      </c>
      <c r="CU126" s="42">
        <v>0</v>
      </c>
      <c r="CV126" s="42">
        <v>9999</v>
      </c>
      <c r="CW126" s="244">
        <v>9999</v>
      </c>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row>
    <row r="127" spans="1:131">
      <c r="A127" s="18" t="s">
        <v>508</v>
      </c>
      <c r="B127" s="18" t="s">
        <v>562</v>
      </c>
      <c r="C127" s="42">
        <v>7</v>
      </c>
      <c r="D127" s="42">
        <v>3.179896730360968</v>
      </c>
      <c r="E127" s="42">
        <v>0</v>
      </c>
      <c r="F127" s="42">
        <v>1.0341320856063256</v>
      </c>
      <c r="G127" s="42">
        <v>0</v>
      </c>
      <c r="H127" s="42">
        <v>0</v>
      </c>
      <c r="I127" s="42" t="s">
        <v>920</v>
      </c>
      <c r="J127" s="42"/>
      <c r="K127" s="42"/>
      <c r="L127" s="42">
        <v>3.4177380875065624</v>
      </c>
      <c r="M127" s="42">
        <v>6.4248817535862127E-4</v>
      </c>
      <c r="N127" s="42">
        <v>6.3785098382857896E-4</v>
      </c>
      <c r="O127" s="42">
        <v>0</v>
      </c>
      <c r="P127" s="42">
        <v>0</v>
      </c>
      <c r="Q127" s="42">
        <v>0</v>
      </c>
      <c r="R127" s="42">
        <v>0.20621975232561326</v>
      </c>
      <c r="S127" s="42">
        <v>0.47654248177722325</v>
      </c>
      <c r="T127" s="42">
        <v>0</v>
      </c>
      <c r="U127" s="42">
        <v>1.9516982958516347</v>
      </c>
      <c r="V127" s="42" t="s">
        <v>752</v>
      </c>
      <c r="W127" s="42" t="s">
        <v>752</v>
      </c>
      <c r="X127" s="42" t="s">
        <v>752</v>
      </c>
      <c r="Y127" s="42" t="s">
        <v>752</v>
      </c>
      <c r="Z127" s="42">
        <v>0</v>
      </c>
      <c r="AA127" s="42">
        <v>0</v>
      </c>
      <c r="AB127" s="42">
        <v>0</v>
      </c>
      <c r="AC127" s="42">
        <v>0</v>
      </c>
      <c r="AD127" s="42">
        <v>0</v>
      </c>
      <c r="AE127" s="42">
        <v>0</v>
      </c>
      <c r="AF127" s="42">
        <v>0</v>
      </c>
      <c r="AG127" s="42">
        <v>0</v>
      </c>
      <c r="AH127" s="42">
        <v>0.20621975232561326</v>
      </c>
      <c r="AI127" s="42">
        <v>0.47654248177722325</v>
      </c>
      <c r="AJ127" s="42">
        <v>0</v>
      </c>
      <c r="AK127" s="42">
        <v>1.9516982958516347</v>
      </c>
      <c r="AL127" s="42">
        <v>2.6344605299544712</v>
      </c>
      <c r="AM127" s="42">
        <v>1.77879073251507</v>
      </c>
      <c r="AN127" s="42">
        <v>0.2270222233735687</v>
      </c>
      <c r="AO127" s="42">
        <v>0</v>
      </c>
      <c r="AP127" s="42">
        <v>0</v>
      </c>
      <c r="AQ127" s="42">
        <v>2.0058129558886386</v>
      </c>
      <c r="AR127" s="42">
        <v>0.20621975232561326</v>
      </c>
      <c r="AS127" s="244">
        <v>9.7265801809398695</v>
      </c>
      <c r="AT127" s="42">
        <v>1.77879073251507</v>
      </c>
      <c r="AU127" s="42">
        <v>0.26872669392036197</v>
      </c>
      <c r="AV127" s="42">
        <v>0</v>
      </c>
      <c r="AW127" s="42">
        <v>0</v>
      </c>
      <c r="AX127" s="42">
        <v>2.0475174264354319</v>
      </c>
      <c r="AY127" s="42">
        <v>0.47654248177722325</v>
      </c>
      <c r="AZ127" s="244">
        <v>4.2966104906311724</v>
      </c>
      <c r="BA127" s="42">
        <v>1.77879073251507</v>
      </c>
      <c r="BB127" s="42">
        <v>0.49574891729393067</v>
      </c>
      <c r="BC127" s="42">
        <v>0</v>
      </c>
      <c r="BD127" s="42">
        <v>0</v>
      </c>
      <c r="BE127" s="42">
        <v>2.2745396498090007</v>
      </c>
      <c r="BF127" s="42">
        <v>0.68276223410283654</v>
      </c>
      <c r="BG127" s="42">
        <v>4.0262790281864325</v>
      </c>
      <c r="BH127" s="244">
        <v>3.3313788258921382</v>
      </c>
      <c r="BI127" s="42">
        <v>4.4397814987412536</v>
      </c>
      <c r="BJ127" s="42">
        <v>10.259659756637063</v>
      </c>
      <c r="BK127" s="42">
        <v>0</v>
      </c>
      <c r="BL127" s="42">
        <v>42.018836155738519</v>
      </c>
      <c r="BM127" s="42">
        <v>56.718277411116837</v>
      </c>
      <c r="BN127" s="42">
        <v>1.77879073251507</v>
      </c>
      <c r="BO127" s="42">
        <v>0</v>
      </c>
      <c r="BP127" s="42">
        <v>0.49574891729393067</v>
      </c>
      <c r="BQ127" s="42">
        <v>0</v>
      </c>
      <c r="BR127" s="42">
        <v>0</v>
      </c>
      <c r="BS127" s="42">
        <v>0</v>
      </c>
      <c r="BT127" s="42">
        <v>0</v>
      </c>
      <c r="BU127" s="42">
        <v>0</v>
      </c>
      <c r="BV127" s="42">
        <v>0</v>
      </c>
      <c r="BW127" s="42">
        <v>0</v>
      </c>
      <c r="BX127" s="42">
        <v>2.6344605299544712</v>
      </c>
      <c r="BY127" s="42"/>
      <c r="BZ127" s="42">
        <v>0</v>
      </c>
      <c r="CA127" s="42">
        <v>0</v>
      </c>
      <c r="CB127" s="42">
        <v>2.2745396498090007</v>
      </c>
      <c r="CC127" s="42">
        <v>2.6344605299544712</v>
      </c>
      <c r="CD127" s="245">
        <v>0.86337966500045049</v>
      </c>
      <c r="CE127" s="42">
        <v>46.045115183924949</v>
      </c>
      <c r="CF127" s="42">
        <v>3.2468819084550217E-2</v>
      </c>
      <c r="CG127" s="42">
        <v>0</v>
      </c>
      <c r="CH127" s="42">
        <v>3.2468819084550217E-2</v>
      </c>
      <c r="CI127" s="42">
        <v>1.623425591565617E-3</v>
      </c>
      <c r="CJ127" s="42">
        <v>0</v>
      </c>
      <c r="CK127" s="42">
        <v>1.623425591565617E-3</v>
      </c>
      <c r="CL127" s="42"/>
      <c r="CM127" s="42">
        <v>0</v>
      </c>
      <c r="CN127" s="42" t="s">
        <v>785</v>
      </c>
      <c r="CO127" s="42">
        <v>0</v>
      </c>
      <c r="CP127" s="42">
        <v>0</v>
      </c>
      <c r="CQ127" s="42">
        <v>0</v>
      </c>
      <c r="CR127" s="42">
        <v>0</v>
      </c>
      <c r="CS127" s="42">
        <v>0</v>
      </c>
      <c r="CT127" s="42">
        <v>0</v>
      </c>
      <c r="CU127" s="42">
        <v>0</v>
      </c>
      <c r="CV127" s="42">
        <v>9999</v>
      </c>
      <c r="CW127" s="244">
        <v>9999</v>
      </c>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row>
    <row r="128" spans="1:131">
      <c r="A128" s="18" t="s">
        <v>509</v>
      </c>
      <c r="B128" s="18" t="s">
        <v>563</v>
      </c>
      <c r="C128" s="42">
        <v>7</v>
      </c>
      <c r="D128" s="42">
        <v>5.0258007131708915</v>
      </c>
      <c r="E128" s="42">
        <v>0</v>
      </c>
      <c r="F128" s="42">
        <v>4.4917474322594879</v>
      </c>
      <c r="G128" s="42">
        <v>0</v>
      </c>
      <c r="H128" s="42">
        <v>0</v>
      </c>
      <c r="I128" s="42" t="s">
        <v>920</v>
      </c>
      <c r="J128" s="42"/>
      <c r="K128" s="42"/>
      <c r="L128" s="42">
        <v>5.4017070282882917</v>
      </c>
      <c r="M128" s="42">
        <v>1.015447293961235E-3</v>
      </c>
      <c r="N128" s="42">
        <v>1.0081182507642404E-3</v>
      </c>
      <c r="O128" s="42">
        <v>0</v>
      </c>
      <c r="P128" s="42">
        <v>0</v>
      </c>
      <c r="Q128" s="42">
        <v>0</v>
      </c>
      <c r="R128" s="42">
        <v>0.89571444101037279</v>
      </c>
      <c r="S128" s="42">
        <v>2.0698598357775517</v>
      </c>
      <c r="T128" s="42">
        <v>0</v>
      </c>
      <c r="U128" s="42">
        <v>8.4771915802195235</v>
      </c>
      <c r="V128" s="42" t="s">
        <v>752</v>
      </c>
      <c r="W128" s="42" t="s">
        <v>752</v>
      </c>
      <c r="X128" s="42" t="s">
        <v>752</v>
      </c>
      <c r="Y128" s="42" t="s">
        <v>752</v>
      </c>
      <c r="Z128" s="42">
        <v>0</v>
      </c>
      <c r="AA128" s="42">
        <v>0</v>
      </c>
      <c r="AB128" s="42">
        <v>0</v>
      </c>
      <c r="AC128" s="42">
        <v>0</v>
      </c>
      <c r="AD128" s="42">
        <v>0</v>
      </c>
      <c r="AE128" s="42">
        <v>0</v>
      </c>
      <c r="AF128" s="42">
        <v>0</v>
      </c>
      <c r="AG128" s="42">
        <v>0</v>
      </c>
      <c r="AH128" s="42">
        <v>0.89571444101037279</v>
      </c>
      <c r="AI128" s="42">
        <v>2.0698598357775517</v>
      </c>
      <c r="AJ128" s="42">
        <v>0</v>
      </c>
      <c r="AK128" s="42">
        <v>8.4771915802195235</v>
      </c>
      <c r="AL128" s="42">
        <v>11.442765857007448</v>
      </c>
      <c r="AM128" s="42">
        <v>2.8113641700059837</v>
      </c>
      <c r="AN128" s="42">
        <v>0.35880676288723534</v>
      </c>
      <c r="AO128" s="42">
        <v>0</v>
      </c>
      <c r="AP128" s="42">
        <v>0</v>
      </c>
      <c r="AQ128" s="42">
        <v>3.1701709328932193</v>
      </c>
      <c r="AR128" s="42">
        <v>0.89571444101037279</v>
      </c>
      <c r="AS128" s="244">
        <v>3.5392651806721371</v>
      </c>
      <c r="AT128" s="42">
        <v>2.8113641700059837</v>
      </c>
      <c r="AU128" s="42">
        <v>0.42472033668832393</v>
      </c>
      <c r="AV128" s="42">
        <v>0</v>
      </c>
      <c r="AW128" s="42">
        <v>0</v>
      </c>
      <c r="AX128" s="42">
        <v>3.2360845066943078</v>
      </c>
      <c r="AY128" s="42">
        <v>2.0698598357775517</v>
      </c>
      <c r="AZ128" s="244">
        <v>1.5634317120215335</v>
      </c>
      <c r="BA128" s="42">
        <v>2.8113641700059837</v>
      </c>
      <c r="BB128" s="42">
        <v>0.78352709957555922</v>
      </c>
      <c r="BC128" s="42">
        <v>0</v>
      </c>
      <c r="BD128" s="42">
        <v>0</v>
      </c>
      <c r="BE128" s="42">
        <v>3.5948912695815434</v>
      </c>
      <c r="BF128" s="42">
        <v>2.9655742767879243</v>
      </c>
      <c r="BG128" s="42">
        <v>29.723724326050295</v>
      </c>
      <c r="BH128" s="244">
        <v>1.2122074627229522</v>
      </c>
      <c r="BI128" s="42">
        <v>12.201371903181091</v>
      </c>
      <c r="BJ128" s="42">
        <v>28.195514650061092</v>
      </c>
      <c r="BK128" s="42">
        <v>0</v>
      </c>
      <c r="BL128" s="42">
        <v>115.47582848848589</v>
      </c>
      <c r="BM128" s="42">
        <v>155.87271504172807</v>
      </c>
      <c r="BN128" s="42">
        <v>2.8113641700059837</v>
      </c>
      <c r="BO128" s="42">
        <v>0</v>
      </c>
      <c r="BP128" s="42">
        <v>0.78352709957555922</v>
      </c>
      <c r="BQ128" s="42">
        <v>0</v>
      </c>
      <c r="BR128" s="42">
        <v>0</v>
      </c>
      <c r="BS128" s="42">
        <v>0</v>
      </c>
      <c r="BT128" s="42">
        <v>0</v>
      </c>
      <c r="BU128" s="42">
        <v>0</v>
      </c>
      <c r="BV128" s="42">
        <v>0</v>
      </c>
      <c r="BW128" s="42">
        <v>0</v>
      </c>
      <c r="BX128" s="42">
        <v>11.442765857007448</v>
      </c>
      <c r="BY128" s="42"/>
      <c r="BZ128" s="42">
        <v>0</v>
      </c>
      <c r="CA128" s="42">
        <v>0</v>
      </c>
      <c r="CB128" s="42">
        <v>3.5948912695815434</v>
      </c>
      <c r="CC128" s="42">
        <v>11.442765857007448</v>
      </c>
      <c r="CD128" s="245">
        <v>0.31416279197743646</v>
      </c>
      <c r="CE128" s="42">
        <v>145.19955281453616</v>
      </c>
      <c r="CF128" s="42">
        <v>5.131670237996222E-2</v>
      </c>
      <c r="CG128" s="42">
        <v>0</v>
      </c>
      <c r="CH128" s="42">
        <v>5.131670237996222E-2</v>
      </c>
      <c r="CI128" s="42">
        <v>2.5658108384369383E-3</v>
      </c>
      <c r="CJ128" s="42">
        <v>0</v>
      </c>
      <c r="CK128" s="42">
        <v>2.5658108384369383E-3</v>
      </c>
      <c r="CL128" s="42"/>
      <c r="CM128" s="42">
        <v>0</v>
      </c>
      <c r="CN128" s="42" t="s">
        <v>785</v>
      </c>
      <c r="CO128" s="42">
        <v>0</v>
      </c>
      <c r="CP128" s="42">
        <v>0</v>
      </c>
      <c r="CQ128" s="42">
        <v>0</v>
      </c>
      <c r="CR128" s="42">
        <v>0</v>
      </c>
      <c r="CS128" s="42">
        <v>0</v>
      </c>
      <c r="CT128" s="42">
        <v>0</v>
      </c>
      <c r="CU128" s="42">
        <v>0</v>
      </c>
      <c r="CV128" s="42">
        <v>9999</v>
      </c>
      <c r="CW128" s="244">
        <v>9999</v>
      </c>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row>
    <row r="129" spans="1:131">
      <c r="A129" s="18" t="s">
        <v>510</v>
      </c>
      <c r="B129" s="18" t="s">
        <v>564</v>
      </c>
      <c r="C129" s="42">
        <v>7</v>
      </c>
      <c r="D129" s="42">
        <v>5.2953027958176939</v>
      </c>
      <c r="E129" s="42">
        <v>0</v>
      </c>
      <c r="F129" s="42">
        <v>1.7220818751350906</v>
      </c>
      <c r="G129" s="42">
        <v>0</v>
      </c>
      <c r="H129" s="42">
        <v>0</v>
      </c>
      <c r="I129" s="42" t="s">
        <v>920</v>
      </c>
      <c r="J129" s="42"/>
      <c r="K129" s="42"/>
      <c r="L129" s="42">
        <v>5.6913666023650142</v>
      </c>
      <c r="M129" s="42">
        <v>1.0698993457155814E-3</v>
      </c>
      <c r="N129" s="42">
        <v>1.062177292027697E-3</v>
      </c>
      <c r="O129" s="42">
        <v>0</v>
      </c>
      <c r="P129" s="42">
        <v>0</v>
      </c>
      <c r="Q129" s="42">
        <v>0</v>
      </c>
      <c r="R129" s="42">
        <v>0.34340613033640682</v>
      </c>
      <c r="S129" s="42">
        <v>0.79355933542985957</v>
      </c>
      <c r="T129" s="42">
        <v>0</v>
      </c>
      <c r="U129" s="42">
        <v>3.2500531680607838</v>
      </c>
      <c r="V129" s="42" t="s">
        <v>752</v>
      </c>
      <c r="W129" s="42" t="s">
        <v>752</v>
      </c>
      <c r="X129" s="42" t="s">
        <v>752</v>
      </c>
      <c r="Y129" s="42" t="s">
        <v>752</v>
      </c>
      <c r="Z129" s="42">
        <v>0</v>
      </c>
      <c r="AA129" s="42">
        <v>0</v>
      </c>
      <c r="AB129" s="42">
        <v>0</v>
      </c>
      <c r="AC129" s="42">
        <v>0</v>
      </c>
      <c r="AD129" s="42">
        <v>0</v>
      </c>
      <c r="AE129" s="42">
        <v>0</v>
      </c>
      <c r="AF129" s="42">
        <v>0</v>
      </c>
      <c r="AG129" s="42">
        <v>0</v>
      </c>
      <c r="AH129" s="42">
        <v>0.34340613033640682</v>
      </c>
      <c r="AI129" s="42">
        <v>0.79355933542985957</v>
      </c>
      <c r="AJ129" s="42">
        <v>0</v>
      </c>
      <c r="AK129" s="42">
        <v>3.2500531680607838</v>
      </c>
      <c r="AL129" s="42">
        <v>4.3870186338270507</v>
      </c>
      <c r="AM129" s="42">
        <v>2.9621199484652476</v>
      </c>
      <c r="AN129" s="42">
        <v>0.37804731287809606</v>
      </c>
      <c r="AO129" s="42">
        <v>0</v>
      </c>
      <c r="AP129" s="42">
        <v>0</v>
      </c>
      <c r="AQ129" s="42">
        <v>3.3401672613433435</v>
      </c>
      <c r="AR129" s="42">
        <v>0.34340613033640682</v>
      </c>
      <c r="AS129" s="244">
        <v>9.7265801809398553</v>
      </c>
      <c r="AT129" s="42">
        <v>2.9621199484652476</v>
      </c>
      <c r="AU129" s="42">
        <v>0.44749541708098378</v>
      </c>
      <c r="AV129" s="42">
        <v>0</v>
      </c>
      <c r="AW129" s="42">
        <v>0</v>
      </c>
      <c r="AX129" s="42">
        <v>3.4096153655462316</v>
      </c>
      <c r="AY129" s="42">
        <v>0.79355933542985957</v>
      </c>
      <c r="AZ129" s="244">
        <v>4.2966104906311671</v>
      </c>
      <c r="BA129" s="42">
        <v>2.9621199484652476</v>
      </c>
      <c r="BB129" s="42">
        <v>0.82554272995907985</v>
      </c>
      <c r="BC129" s="42">
        <v>0</v>
      </c>
      <c r="BD129" s="42">
        <v>0</v>
      </c>
      <c r="BE129" s="42">
        <v>3.7876626784243275</v>
      </c>
      <c r="BF129" s="42">
        <v>1.1369654657662664</v>
      </c>
      <c r="BG129" s="42">
        <v>4.026279028186436</v>
      </c>
      <c r="BH129" s="244">
        <v>3.3313788258921337</v>
      </c>
      <c r="BI129" s="42">
        <v>4.4397814987412545</v>
      </c>
      <c r="BJ129" s="42">
        <v>10.259659756637063</v>
      </c>
      <c r="BK129" s="42">
        <v>0</v>
      </c>
      <c r="BL129" s="42">
        <v>42.018836155738526</v>
      </c>
      <c r="BM129" s="42">
        <v>56.718277411116851</v>
      </c>
      <c r="BN129" s="42">
        <v>2.9621199484652476</v>
      </c>
      <c r="BO129" s="42">
        <v>0</v>
      </c>
      <c r="BP129" s="42">
        <v>0.82554272995907985</v>
      </c>
      <c r="BQ129" s="42">
        <v>0</v>
      </c>
      <c r="BR129" s="42">
        <v>0</v>
      </c>
      <c r="BS129" s="42">
        <v>0</v>
      </c>
      <c r="BT129" s="42">
        <v>0</v>
      </c>
      <c r="BU129" s="42">
        <v>0</v>
      </c>
      <c r="BV129" s="42">
        <v>0</v>
      </c>
      <c r="BW129" s="42">
        <v>0</v>
      </c>
      <c r="BX129" s="42">
        <v>4.3870186338270507</v>
      </c>
      <c r="BY129" s="42"/>
      <c r="BZ129" s="42">
        <v>0</v>
      </c>
      <c r="CA129" s="42">
        <v>0</v>
      </c>
      <c r="CB129" s="42">
        <v>3.7876626784243275</v>
      </c>
      <c r="CC129" s="42">
        <v>4.3870186338270507</v>
      </c>
      <c r="CD129" s="245">
        <v>0.86337966500044927</v>
      </c>
      <c r="CE129" s="42">
        <v>46.04511518392497</v>
      </c>
      <c r="CF129" s="42">
        <v>5.406849437396688E-2</v>
      </c>
      <c r="CG129" s="42">
        <v>0</v>
      </c>
      <c r="CH129" s="42">
        <v>5.406849437396688E-2</v>
      </c>
      <c r="CI129" s="42">
        <v>2.7033991361233804E-3</v>
      </c>
      <c r="CJ129" s="42">
        <v>0</v>
      </c>
      <c r="CK129" s="42">
        <v>2.7033991361233804E-3</v>
      </c>
      <c r="CL129" s="42"/>
      <c r="CM129" s="42">
        <v>0</v>
      </c>
      <c r="CN129" s="42" t="s">
        <v>785</v>
      </c>
      <c r="CO129" s="42">
        <v>0</v>
      </c>
      <c r="CP129" s="42">
        <v>0</v>
      </c>
      <c r="CQ129" s="42">
        <v>0</v>
      </c>
      <c r="CR129" s="42">
        <v>0</v>
      </c>
      <c r="CS129" s="42">
        <v>0</v>
      </c>
      <c r="CT129" s="42">
        <v>0</v>
      </c>
      <c r="CU129" s="42">
        <v>0</v>
      </c>
      <c r="CV129" s="42">
        <v>9999</v>
      </c>
      <c r="CW129" s="244">
        <v>9999</v>
      </c>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row>
    <row r="130" spans="1:131">
      <c r="A130" s="18" t="s">
        <v>511</v>
      </c>
      <c r="B130" s="18" t="s">
        <v>565</v>
      </c>
      <c r="C130" s="42">
        <v>7</v>
      </c>
      <c r="D130" s="42">
        <v>32.672017300215153</v>
      </c>
      <c r="E130" s="42">
        <v>0</v>
      </c>
      <c r="F130" s="42">
        <v>21.455808462550717</v>
      </c>
      <c r="G130" s="42">
        <v>0</v>
      </c>
      <c r="H130" s="42">
        <v>0</v>
      </c>
      <c r="I130" s="42" t="s">
        <v>920</v>
      </c>
      <c r="J130" s="42"/>
      <c r="K130" s="42"/>
      <c r="L130" s="42">
        <v>35.115730915558068</v>
      </c>
      <c r="M130" s="42">
        <v>6.6012787711246497E-3</v>
      </c>
      <c r="N130" s="42">
        <v>6.5536337012557433E-3</v>
      </c>
      <c r="O130" s="42">
        <v>0</v>
      </c>
      <c r="P130" s="42">
        <v>0</v>
      </c>
      <c r="Q130" s="42">
        <v>0</v>
      </c>
      <c r="R130" s="42">
        <v>4.2785748248965669</v>
      </c>
      <c r="S130" s="42">
        <v>9.8871356527786727</v>
      </c>
      <c r="T130" s="42">
        <v>0</v>
      </c>
      <c r="U130" s="42">
        <v>40.493149178257326</v>
      </c>
      <c r="V130" s="42" t="s">
        <v>752</v>
      </c>
      <c r="W130" s="42" t="s">
        <v>752</v>
      </c>
      <c r="X130" s="42" t="s">
        <v>752</v>
      </c>
      <c r="Y130" s="42" t="s">
        <v>752</v>
      </c>
      <c r="Z130" s="42">
        <v>0</v>
      </c>
      <c r="AA130" s="42">
        <v>0</v>
      </c>
      <c r="AB130" s="42">
        <v>0</v>
      </c>
      <c r="AC130" s="42">
        <v>0</v>
      </c>
      <c r="AD130" s="42">
        <v>0</v>
      </c>
      <c r="AE130" s="42">
        <v>0</v>
      </c>
      <c r="AF130" s="42">
        <v>0</v>
      </c>
      <c r="AG130" s="42">
        <v>0</v>
      </c>
      <c r="AH130" s="42">
        <v>4.2785748248965669</v>
      </c>
      <c r="AI130" s="42">
        <v>9.8871356527786727</v>
      </c>
      <c r="AJ130" s="42">
        <v>0</v>
      </c>
      <c r="AK130" s="42">
        <v>40.493149178257326</v>
      </c>
      <c r="AL130" s="42">
        <v>54.658859655932567</v>
      </c>
      <c r="AM130" s="42">
        <v>18.276279550624761</v>
      </c>
      <c r="AN130" s="42">
        <v>2.3325518526359725</v>
      </c>
      <c r="AO130" s="42">
        <v>0</v>
      </c>
      <c r="AP130" s="42">
        <v>0</v>
      </c>
      <c r="AQ130" s="42">
        <v>20.608831403260734</v>
      </c>
      <c r="AR130" s="42">
        <v>4.2785748248965669</v>
      </c>
      <c r="AS130" s="244">
        <v>4.8167514293171081</v>
      </c>
      <c r="AT130" s="42">
        <v>18.276279550624761</v>
      </c>
      <c r="AU130" s="42">
        <v>2.7610466431087639</v>
      </c>
      <c r="AV130" s="42">
        <v>0</v>
      </c>
      <c r="AW130" s="42">
        <v>0</v>
      </c>
      <c r="AX130" s="42">
        <v>21.037326193733524</v>
      </c>
      <c r="AY130" s="42">
        <v>9.8871356527786727</v>
      </c>
      <c r="AZ130" s="244">
        <v>2.1277473003843341</v>
      </c>
      <c r="BA130" s="42">
        <v>18.276279550624761</v>
      </c>
      <c r="BB130" s="42">
        <v>5.093598495744736</v>
      </c>
      <c r="BC130" s="42">
        <v>0</v>
      </c>
      <c r="BD130" s="42">
        <v>0</v>
      </c>
      <c r="BE130" s="42">
        <v>23.369878046369497</v>
      </c>
      <c r="BF130" s="42">
        <v>14.16571047767524</v>
      </c>
      <c r="BG130" s="42">
        <v>19.009767457581734</v>
      </c>
      <c r="BH130" s="244">
        <v>1.6497498013389278</v>
      </c>
      <c r="BI130" s="42">
        <v>8.9653558766852388</v>
      </c>
      <c r="BJ130" s="42">
        <v>20.717573808088375</v>
      </c>
      <c r="BK130" s="42">
        <v>0</v>
      </c>
      <c r="BL130" s="42">
        <v>84.849630498061387</v>
      </c>
      <c r="BM130" s="42">
        <v>114.532560182835</v>
      </c>
      <c r="BN130" s="42">
        <v>18.276279550624761</v>
      </c>
      <c r="BO130" s="42">
        <v>0</v>
      </c>
      <c r="BP130" s="42">
        <v>5.093598495744736</v>
      </c>
      <c r="BQ130" s="42">
        <v>0</v>
      </c>
      <c r="BR130" s="42">
        <v>0</v>
      </c>
      <c r="BS130" s="42">
        <v>0</v>
      </c>
      <c r="BT130" s="42">
        <v>0</v>
      </c>
      <c r="BU130" s="42">
        <v>0</v>
      </c>
      <c r="BV130" s="42">
        <v>0</v>
      </c>
      <c r="BW130" s="42">
        <v>0</v>
      </c>
      <c r="BX130" s="42">
        <v>54.658859655932567</v>
      </c>
      <c r="BY130" s="42"/>
      <c r="BZ130" s="42">
        <v>0</v>
      </c>
      <c r="CA130" s="42">
        <v>0</v>
      </c>
      <c r="CB130" s="42">
        <v>23.369878046369497</v>
      </c>
      <c r="CC130" s="42">
        <v>54.658859655932567</v>
      </c>
      <c r="CD130" s="245">
        <v>0.4275588293184045</v>
      </c>
      <c r="CE130" s="42">
        <v>103.85939795564312</v>
      </c>
      <c r="CF130" s="42">
        <v>0.33360260058746011</v>
      </c>
      <c r="CG130" s="42">
        <v>0</v>
      </c>
      <c r="CH130" s="42">
        <v>0.33360260058746011</v>
      </c>
      <c r="CI130" s="42">
        <v>1.6679972184890077E-2</v>
      </c>
      <c r="CJ130" s="42">
        <v>0</v>
      </c>
      <c r="CK130" s="42">
        <v>1.6679972184890077E-2</v>
      </c>
      <c r="CL130" s="42"/>
      <c r="CM130" s="42">
        <v>0</v>
      </c>
      <c r="CN130" s="42" t="s">
        <v>785</v>
      </c>
      <c r="CO130" s="42">
        <v>0</v>
      </c>
      <c r="CP130" s="42">
        <v>0</v>
      </c>
      <c r="CQ130" s="42">
        <v>0</v>
      </c>
      <c r="CR130" s="42">
        <v>0</v>
      </c>
      <c r="CS130" s="42">
        <v>0</v>
      </c>
      <c r="CT130" s="42">
        <v>0</v>
      </c>
      <c r="CU130" s="42">
        <v>0</v>
      </c>
      <c r="CV130" s="42">
        <v>9999</v>
      </c>
      <c r="CW130" s="244">
        <v>9999</v>
      </c>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row>
    <row r="131" spans="1:131">
      <c r="A131" s="18" t="s">
        <v>512</v>
      </c>
      <c r="B131" s="18" t="s">
        <v>566</v>
      </c>
      <c r="C131" s="42">
        <v>7</v>
      </c>
      <c r="D131" s="42">
        <v>0.4618486787458505</v>
      </c>
      <c r="E131" s="42">
        <v>0</v>
      </c>
      <c r="F131" s="42">
        <v>0.21799498182990992</v>
      </c>
      <c r="G131" s="42">
        <v>0</v>
      </c>
      <c r="H131" s="42">
        <v>0</v>
      </c>
      <c r="I131" s="42" t="s">
        <v>920</v>
      </c>
      <c r="J131" s="42"/>
      <c r="K131" s="42"/>
      <c r="L131" s="42">
        <v>0.496392793182027</v>
      </c>
      <c r="M131" s="42">
        <v>9.3315079092372852E-5</v>
      </c>
      <c r="N131" s="42">
        <v>9.2641572698032046E-5</v>
      </c>
      <c r="O131" s="42">
        <v>0</v>
      </c>
      <c r="P131" s="42">
        <v>0</v>
      </c>
      <c r="Q131" s="42">
        <v>0</v>
      </c>
      <c r="R131" s="42">
        <v>4.3471111463322352E-2</v>
      </c>
      <c r="S131" s="42">
        <v>0.10045512667300854</v>
      </c>
      <c r="T131" s="42">
        <v>0</v>
      </c>
      <c r="U131" s="42">
        <v>0.41141788410151692</v>
      </c>
      <c r="V131" s="42" t="s">
        <v>752</v>
      </c>
      <c r="W131" s="42" t="s">
        <v>752</v>
      </c>
      <c r="X131" s="42" t="s">
        <v>752</v>
      </c>
      <c r="Y131" s="42" t="s">
        <v>752</v>
      </c>
      <c r="Z131" s="42">
        <v>0</v>
      </c>
      <c r="AA131" s="42">
        <v>0</v>
      </c>
      <c r="AB131" s="42">
        <v>0</v>
      </c>
      <c r="AC131" s="42">
        <v>0</v>
      </c>
      <c r="AD131" s="42">
        <v>0</v>
      </c>
      <c r="AE131" s="42">
        <v>0</v>
      </c>
      <c r="AF131" s="42">
        <v>0</v>
      </c>
      <c r="AG131" s="42">
        <v>0</v>
      </c>
      <c r="AH131" s="42">
        <v>4.3471111463322352E-2</v>
      </c>
      <c r="AI131" s="42">
        <v>0.10045512667300854</v>
      </c>
      <c r="AJ131" s="42">
        <v>0</v>
      </c>
      <c r="AK131" s="42">
        <v>0.41141788410151692</v>
      </c>
      <c r="AL131" s="42">
        <v>0.55534412223784779</v>
      </c>
      <c r="AM131" s="42">
        <v>0.25835183316918342</v>
      </c>
      <c r="AN131" s="42">
        <v>3.2972741822067268E-2</v>
      </c>
      <c r="AO131" s="42">
        <v>0</v>
      </c>
      <c r="AP131" s="42">
        <v>0</v>
      </c>
      <c r="AQ131" s="42">
        <v>0.2913245749912507</v>
      </c>
      <c r="AR131" s="42">
        <v>4.3471111463322352E-2</v>
      </c>
      <c r="AS131" s="244">
        <v>6.7015672060064171</v>
      </c>
      <c r="AT131" s="42">
        <v>0.25835183316918342</v>
      </c>
      <c r="AU131" s="42">
        <v>3.9029905388396423E-2</v>
      </c>
      <c r="AV131" s="42">
        <v>0</v>
      </c>
      <c r="AW131" s="42">
        <v>0</v>
      </c>
      <c r="AX131" s="42">
        <v>0.29738173855757982</v>
      </c>
      <c r="AY131" s="42">
        <v>0.10045512667300854</v>
      </c>
      <c r="AZ131" s="244">
        <v>2.9603440700999468</v>
      </c>
      <c r="BA131" s="42">
        <v>0.25835183316918342</v>
      </c>
      <c r="BB131" s="42">
        <v>7.2002647210463691E-2</v>
      </c>
      <c r="BC131" s="42">
        <v>0</v>
      </c>
      <c r="BD131" s="42">
        <v>0</v>
      </c>
      <c r="BE131" s="42">
        <v>0.3303544803796471</v>
      </c>
      <c r="BF131" s="42">
        <v>0.1439262381363309</v>
      </c>
      <c r="BG131" s="42">
        <v>10.66144348373915</v>
      </c>
      <c r="BH131" s="244">
        <v>2.2953040714280757</v>
      </c>
      <c r="BI131" s="42">
        <v>6.443849536367515</v>
      </c>
      <c r="BJ131" s="42">
        <v>14.890756174563515</v>
      </c>
      <c r="BK131" s="42">
        <v>0</v>
      </c>
      <c r="BL131" s="42">
        <v>60.9856719204816</v>
      </c>
      <c r="BM131" s="42">
        <v>82.320277631412637</v>
      </c>
      <c r="BN131" s="42">
        <v>0.25835183316918342</v>
      </c>
      <c r="BO131" s="42">
        <v>0</v>
      </c>
      <c r="BP131" s="42">
        <v>7.2002647210463691E-2</v>
      </c>
      <c r="BQ131" s="42">
        <v>0</v>
      </c>
      <c r="BR131" s="42">
        <v>0</v>
      </c>
      <c r="BS131" s="42">
        <v>0</v>
      </c>
      <c r="BT131" s="42">
        <v>0</v>
      </c>
      <c r="BU131" s="42">
        <v>0</v>
      </c>
      <c r="BV131" s="42">
        <v>0</v>
      </c>
      <c r="BW131" s="42">
        <v>0</v>
      </c>
      <c r="BX131" s="42">
        <v>0.55534412223784779</v>
      </c>
      <c r="BY131" s="42"/>
      <c r="BZ131" s="42">
        <v>0</v>
      </c>
      <c r="CA131" s="42">
        <v>0</v>
      </c>
      <c r="CB131" s="42">
        <v>0.3303544803796471</v>
      </c>
      <c r="CC131" s="42">
        <v>0.55534412223784779</v>
      </c>
      <c r="CD131" s="245">
        <v>0.59486445818212852</v>
      </c>
      <c r="CE131" s="42">
        <v>71.647115404220742</v>
      </c>
      <c r="CF131" s="42">
        <v>4.7157761607356822E-3</v>
      </c>
      <c r="CG131" s="42">
        <v>0</v>
      </c>
      <c r="CH131" s="42">
        <v>4.7157761607356822E-3</v>
      </c>
      <c r="CI131" s="42">
        <v>2.3578657676146279E-4</v>
      </c>
      <c r="CJ131" s="42">
        <v>0</v>
      </c>
      <c r="CK131" s="42">
        <v>2.3578657676146279E-4</v>
      </c>
      <c r="CL131" s="42"/>
      <c r="CM131" s="42">
        <v>0</v>
      </c>
      <c r="CN131" s="42" t="s">
        <v>785</v>
      </c>
      <c r="CO131" s="42">
        <v>0</v>
      </c>
      <c r="CP131" s="42">
        <v>0</v>
      </c>
      <c r="CQ131" s="42">
        <v>0</v>
      </c>
      <c r="CR131" s="42">
        <v>0</v>
      </c>
      <c r="CS131" s="42">
        <v>0</v>
      </c>
      <c r="CT131" s="42">
        <v>0</v>
      </c>
      <c r="CU131" s="42">
        <v>0</v>
      </c>
      <c r="CV131" s="42">
        <v>9999</v>
      </c>
      <c r="CW131" s="244">
        <v>9999</v>
      </c>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row>
    <row r="132" spans="1:131">
      <c r="A132" s="18" t="s">
        <v>513</v>
      </c>
      <c r="B132" s="18" t="s">
        <v>567</v>
      </c>
      <c r="C132" s="42">
        <v>7</v>
      </c>
      <c r="D132" s="42">
        <v>44.30311207245132</v>
      </c>
      <c r="E132" s="42">
        <v>0</v>
      </c>
      <c r="F132" s="42">
        <v>8.9887377572370948</v>
      </c>
      <c r="G132" s="42">
        <v>0</v>
      </c>
      <c r="H132" s="42">
        <v>0</v>
      </c>
      <c r="I132" s="42" t="s">
        <v>920</v>
      </c>
      <c r="J132" s="42"/>
      <c r="K132" s="42"/>
      <c r="L132" s="42">
        <v>47.616777010208303</v>
      </c>
      <c r="M132" s="42">
        <v>8.9513050428233938E-3</v>
      </c>
      <c r="N132" s="42">
        <v>8.8866985371795562E-3</v>
      </c>
      <c r="O132" s="42">
        <v>0</v>
      </c>
      <c r="P132" s="42">
        <v>0</v>
      </c>
      <c r="Q132" s="42">
        <v>0</v>
      </c>
      <c r="R132" s="42">
        <v>1.7924743848659326</v>
      </c>
      <c r="S132" s="42">
        <v>4.1421356696102443</v>
      </c>
      <c r="T132" s="42">
        <v>0</v>
      </c>
      <c r="U132" s="42">
        <v>16.964277974579048</v>
      </c>
      <c r="V132" s="42" t="s">
        <v>752</v>
      </c>
      <c r="W132" s="42" t="s">
        <v>752</v>
      </c>
      <c r="X132" s="42" t="s">
        <v>752</v>
      </c>
      <c r="Y132" s="42" t="s">
        <v>752</v>
      </c>
      <c r="Z132" s="42">
        <v>0</v>
      </c>
      <c r="AA132" s="42">
        <v>0</v>
      </c>
      <c r="AB132" s="42">
        <v>0</v>
      </c>
      <c r="AC132" s="42">
        <v>0</v>
      </c>
      <c r="AD132" s="42">
        <v>0</v>
      </c>
      <c r="AE132" s="42">
        <v>0</v>
      </c>
      <c r="AF132" s="42">
        <v>0</v>
      </c>
      <c r="AG132" s="42">
        <v>0</v>
      </c>
      <c r="AH132" s="42">
        <v>1.7924743848659326</v>
      </c>
      <c r="AI132" s="42">
        <v>4.1421356696102443</v>
      </c>
      <c r="AJ132" s="42">
        <v>0</v>
      </c>
      <c r="AK132" s="42">
        <v>16.964277974579048</v>
      </c>
      <c r="AL132" s="42">
        <v>22.898888029055225</v>
      </c>
      <c r="AM132" s="42">
        <v>24.782554862121955</v>
      </c>
      <c r="AN132" s="42">
        <v>3.1629300753784464</v>
      </c>
      <c r="AO132" s="42">
        <v>0</v>
      </c>
      <c r="AP132" s="42">
        <v>0</v>
      </c>
      <c r="AQ132" s="42">
        <v>27.945484937500403</v>
      </c>
      <c r="AR132" s="42">
        <v>1.7924743848659326</v>
      </c>
      <c r="AS132" s="244">
        <v>15.590451486195478</v>
      </c>
      <c r="AT132" s="42">
        <v>24.782554862121955</v>
      </c>
      <c r="AU132" s="42">
        <v>3.743967130738131</v>
      </c>
      <c r="AV132" s="42">
        <v>0</v>
      </c>
      <c r="AW132" s="42">
        <v>0</v>
      </c>
      <c r="AX132" s="42">
        <v>28.526521992860086</v>
      </c>
      <c r="AY132" s="42">
        <v>4.1421356696102443</v>
      </c>
      <c r="AZ132" s="244">
        <v>6.886911551968625</v>
      </c>
      <c r="BA132" s="42">
        <v>24.782554862121955</v>
      </c>
      <c r="BB132" s="42">
        <v>6.906897206116577</v>
      </c>
      <c r="BC132" s="42">
        <v>0</v>
      </c>
      <c r="BD132" s="42">
        <v>0</v>
      </c>
      <c r="BE132" s="42">
        <v>31.689452068238534</v>
      </c>
      <c r="BF132" s="42">
        <v>5.9346100544761766</v>
      </c>
      <c r="BG132" s="42">
        <v>-1.5024660410006345</v>
      </c>
      <c r="BH132" s="244">
        <v>5.3397698883917037</v>
      </c>
      <c r="BI132" s="42">
        <v>2.7698935320505145</v>
      </c>
      <c r="BJ132" s="42">
        <v>6.400802654140735</v>
      </c>
      <c r="BK132" s="42">
        <v>0</v>
      </c>
      <c r="BL132" s="42">
        <v>26.214736586714487</v>
      </c>
      <c r="BM132" s="42">
        <v>35.385432772905745</v>
      </c>
      <c r="BN132" s="42">
        <v>24.782554862121955</v>
      </c>
      <c r="BO132" s="42">
        <v>0</v>
      </c>
      <c r="BP132" s="42">
        <v>6.906897206116577</v>
      </c>
      <c r="BQ132" s="42">
        <v>0</v>
      </c>
      <c r="BR132" s="42">
        <v>0</v>
      </c>
      <c r="BS132" s="42">
        <v>0</v>
      </c>
      <c r="BT132" s="42">
        <v>0</v>
      </c>
      <c r="BU132" s="42">
        <v>0</v>
      </c>
      <c r="BV132" s="42">
        <v>0</v>
      </c>
      <c r="BW132" s="42">
        <v>0</v>
      </c>
      <c r="BX132" s="42">
        <v>22.898888029055225</v>
      </c>
      <c r="BY132" s="42"/>
      <c r="BZ132" s="42">
        <v>0</v>
      </c>
      <c r="CA132" s="42">
        <v>0</v>
      </c>
      <c r="CB132" s="42">
        <v>31.689452068238534</v>
      </c>
      <c r="CC132" s="42">
        <v>22.898888029055225</v>
      </c>
      <c r="CD132" s="244">
        <v>1.3838860659098124</v>
      </c>
      <c r="CE132" s="42">
        <v>24.712270545713853</v>
      </c>
      <c r="CF132" s="42">
        <v>0.45236366232550018</v>
      </c>
      <c r="CG132" s="42">
        <v>0</v>
      </c>
      <c r="CH132" s="42">
        <v>0.45236366232550018</v>
      </c>
      <c r="CI132" s="42">
        <v>2.2617969079848938E-2</v>
      </c>
      <c r="CJ132" s="42">
        <v>0</v>
      </c>
      <c r="CK132" s="42">
        <v>2.2617969079848938E-2</v>
      </c>
      <c r="CL132" s="42"/>
      <c r="CM132" s="42">
        <v>0</v>
      </c>
      <c r="CN132" s="42" t="s">
        <v>785</v>
      </c>
      <c r="CO132" s="42">
        <v>0</v>
      </c>
      <c r="CP132" s="42">
        <v>0</v>
      </c>
      <c r="CQ132" s="42">
        <v>0</v>
      </c>
      <c r="CR132" s="42">
        <v>0</v>
      </c>
      <c r="CS132" s="42">
        <v>0</v>
      </c>
      <c r="CT132" s="42">
        <v>0</v>
      </c>
      <c r="CU132" s="42">
        <v>0</v>
      </c>
      <c r="CV132" s="42">
        <v>9999</v>
      </c>
      <c r="CW132" s="244">
        <v>9999</v>
      </c>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row>
    <row r="133" spans="1:131">
      <c r="A133" s="18" t="s">
        <v>514</v>
      </c>
      <c r="B133" s="18" t="s">
        <v>568</v>
      </c>
      <c r="C133" s="42">
        <v>7</v>
      </c>
      <c r="D133" s="42">
        <v>41.592767023946827</v>
      </c>
      <c r="E133" s="42">
        <v>0</v>
      </c>
      <c r="F133" s="42">
        <v>20.265293072823557</v>
      </c>
      <c r="G133" s="42">
        <v>0</v>
      </c>
      <c r="H133" s="42">
        <v>0</v>
      </c>
      <c r="I133" s="42" t="s">
        <v>920</v>
      </c>
      <c r="J133" s="42"/>
      <c r="K133" s="42"/>
      <c r="L133" s="42">
        <v>44.703710867488908</v>
      </c>
      <c r="M133" s="42">
        <v>8.4036883142108738E-3</v>
      </c>
      <c r="N133" s="42">
        <v>8.3430342605389542E-3</v>
      </c>
      <c r="O133" s="42">
        <v>0</v>
      </c>
      <c r="P133" s="42">
        <v>0</v>
      </c>
      <c r="Q133" s="42">
        <v>0</v>
      </c>
      <c r="R133" s="42">
        <v>4.0411701526825512</v>
      </c>
      <c r="S133" s="42">
        <v>9.3385295643388915</v>
      </c>
      <c r="T133" s="42">
        <v>0</v>
      </c>
      <c r="U133" s="42">
        <v>38.246311574380705</v>
      </c>
      <c r="V133" s="42" t="s">
        <v>752</v>
      </c>
      <c r="W133" s="42" t="s">
        <v>752</v>
      </c>
      <c r="X133" s="42" t="s">
        <v>752</v>
      </c>
      <c r="Y133" s="42" t="s">
        <v>752</v>
      </c>
      <c r="Z133" s="42">
        <v>0</v>
      </c>
      <c r="AA133" s="42">
        <v>0</v>
      </c>
      <c r="AB133" s="42">
        <v>0</v>
      </c>
      <c r="AC133" s="42">
        <v>0</v>
      </c>
      <c r="AD133" s="42">
        <v>0</v>
      </c>
      <c r="AE133" s="42">
        <v>0</v>
      </c>
      <c r="AF133" s="42">
        <v>0</v>
      </c>
      <c r="AG133" s="42">
        <v>0</v>
      </c>
      <c r="AH133" s="42">
        <v>4.0411701526825512</v>
      </c>
      <c r="AI133" s="42">
        <v>9.3385295643388915</v>
      </c>
      <c r="AJ133" s="42">
        <v>0</v>
      </c>
      <c r="AK133" s="42">
        <v>38.246311574380705</v>
      </c>
      <c r="AL133" s="42">
        <v>51.626011291402151</v>
      </c>
      <c r="AM133" s="42">
        <v>23.266424917345226</v>
      </c>
      <c r="AN133" s="42">
        <v>2.9694305339794456</v>
      </c>
      <c r="AO133" s="42">
        <v>0</v>
      </c>
      <c r="AP133" s="42">
        <v>0</v>
      </c>
      <c r="AQ133" s="42">
        <v>26.235855451324671</v>
      </c>
      <c r="AR133" s="42">
        <v>4.0411701526825512</v>
      </c>
      <c r="AS133" s="244">
        <v>6.4921432308187184</v>
      </c>
      <c r="AT133" s="42">
        <v>23.266424917345226</v>
      </c>
      <c r="AU133" s="42">
        <v>3.5149213075470871</v>
      </c>
      <c r="AV133" s="42">
        <v>0</v>
      </c>
      <c r="AW133" s="42">
        <v>0</v>
      </c>
      <c r="AX133" s="42">
        <v>26.781346224892314</v>
      </c>
      <c r="AY133" s="42">
        <v>9.3385295643388915</v>
      </c>
      <c r="AZ133" s="244">
        <v>2.8678333179093238</v>
      </c>
      <c r="BA133" s="42">
        <v>23.266424917345226</v>
      </c>
      <c r="BB133" s="42">
        <v>6.4843518415265322</v>
      </c>
      <c r="BC133" s="42">
        <v>0</v>
      </c>
      <c r="BD133" s="42">
        <v>0</v>
      </c>
      <c r="BE133" s="42">
        <v>29.750776758871758</v>
      </c>
      <c r="BF133" s="42">
        <v>13.379699717021442</v>
      </c>
      <c r="BG133" s="42">
        <v>11.349656571188532</v>
      </c>
      <c r="BH133" s="244">
        <v>2.2235758191959487</v>
      </c>
      <c r="BI133" s="42">
        <v>6.6517156504438857</v>
      </c>
      <c r="BJ133" s="42">
        <v>15.371103147936532</v>
      </c>
      <c r="BK133" s="42">
        <v>0</v>
      </c>
      <c r="BL133" s="42">
        <v>62.952951659851976</v>
      </c>
      <c r="BM133" s="42">
        <v>84.975770458232404</v>
      </c>
      <c r="BN133" s="42">
        <v>23.266424917345226</v>
      </c>
      <c r="BO133" s="42">
        <v>0</v>
      </c>
      <c r="BP133" s="42">
        <v>6.4843518415265322</v>
      </c>
      <c r="BQ133" s="42">
        <v>0</v>
      </c>
      <c r="BR133" s="42">
        <v>0</v>
      </c>
      <c r="BS133" s="42">
        <v>0</v>
      </c>
      <c r="BT133" s="42">
        <v>0</v>
      </c>
      <c r="BU133" s="42">
        <v>0</v>
      </c>
      <c r="BV133" s="42">
        <v>0</v>
      </c>
      <c r="BW133" s="42">
        <v>0</v>
      </c>
      <c r="BX133" s="42">
        <v>51.626011291402151</v>
      </c>
      <c r="BY133" s="42"/>
      <c r="BZ133" s="42">
        <v>0</v>
      </c>
      <c r="CA133" s="42">
        <v>0</v>
      </c>
      <c r="CB133" s="42">
        <v>29.750776758871758</v>
      </c>
      <c r="CC133" s="42">
        <v>51.626011291402151</v>
      </c>
      <c r="CD133" s="245">
        <v>0.57627494386393707</v>
      </c>
      <c r="CE133" s="42">
        <v>74.302608231040509</v>
      </c>
      <c r="CF133" s="42">
        <v>0.4246892720862282</v>
      </c>
      <c r="CG133" s="42">
        <v>0</v>
      </c>
      <c r="CH133" s="42">
        <v>0.4246892720862282</v>
      </c>
      <c r="CI133" s="42">
        <v>2.1234262662057229E-2</v>
      </c>
      <c r="CJ133" s="42">
        <v>0</v>
      </c>
      <c r="CK133" s="42">
        <v>2.1234262662057229E-2</v>
      </c>
      <c r="CL133" s="42"/>
      <c r="CM133" s="42">
        <v>0</v>
      </c>
      <c r="CN133" s="42" t="s">
        <v>785</v>
      </c>
      <c r="CO133" s="42">
        <v>0</v>
      </c>
      <c r="CP133" s="42">
        <v>0</v>
      </c>
      <c r="CQ133" s="42">
        <v>0</v>
      </c>
      <c r="CR133" s="42">
        <v>0</v>
      </c>
      <c r="CS133" s="42">
        <v>0</v>
      </c>
      <c r="CT133" s="42">
        <v>0</v>
      </c>
      <c r="CU133" s="42">
        <v>0</v>
      </c>
      <c r="CV133" s="42">
        <v>9999</v>
      </c>
      <c r="CW133" s="244">
        <v>9999</v>
      </c>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row>
    <row r="134" spans="1:131">
      <c r="A134" s="18" t="s">
        <v>515</v>
      </c>
      <c r="B134" s="18" t="s">
        <v>569</v>
      </c>
      <c r="C134" s="42">
        <v>7</v>
      </c>
      <c r="D134" s="42">
        <v>81.087448880900922</v>
      </c>
      <c r="E134" s="42">
        <v>0</v>
      </c>
      <c r="F134" s="42">
        <v>24.014869460234138</v>
      </c>
      <c r="G134" s="42">
        <v>0</v>
      </c>
      <c r="H134" s="42">
        <v>0</v>
      </c>
      <c r="I134" s="42" t="s">
        <v>920</v>
      </c>
      <c r="J134" s="42"/>
      <c r="K134" s="42"/>
      <c r="L134" s="42">
        <v>87.15240964052856</v>
      </c>
      <c r="M134" s="42">
        <v>1.6383465091352703E-2</v>
      </c>
      <c r="N134" s="42">
        <v>1.6265216587383023E-2</v>
      </c>
      <c r="O134" s="42">
        <v>0</v>
      </c>
      <c r="P134" s="42">
        <v>0</v>
      </c>
      <c r="Q134" s="42">
        <v>0</v>
      </c>
      <c r="R134" s="42">
        <v>4.7888857730565375</v>
      </c>
      <c r="S134" s="42">
        <v>11.066386636119299</v>
      </c>
      <c r="T134" s="42">
        <v>0</v>
      </c>
      <c r="U134" s="42">
        <v>45.322817513352803</v>
      </c>
      <c r="V134" s="42" t="s">
        <v>752</v>
      </c>
      <c r="W134" s="42" t="s">
        <v>752</v>
      </c>
      <c r="X134" s="42" t="s">
        <v>752</v>
      </c>
      <c r="Y134" s="42" t="s">
        <v>752</v>
      </c>
      <c r="Z134" s="42">
        <v>0</v>
      </c>
      <c r="AA134" s="42">
        <v>0</v>
      </c>
      <c r="AB134" s="42">
        <v>0</v>
      </c>
      <c r="AC134" s="42">
        <v>0</v>
      </c>
      <c r="AD134" s="42">
        <v>0</v>
      </c>
      <c r="AE134" s="42">
        <v>0</v>
      </c>
      <c r="AF134" s="42">
        <v>0</v>
      </c>
      <c r="AG134" s="42">
        <v>0</v>
      </c>
      <c r="AH134" s="42">
        <v>4.7888857730565375</v>
      </c>
      <c r="AI134" s="42">
        <v>11.066386636119299</v>
      </c>
      <c r="AJ134" s="42">
        <v>0</v>
      </c>
      <c r="AK134" s="42">
        <v>45.322817513352803</v>
      </c>
      <c r="AL134" s="42">
        <v>61.178089922528642</v>
      </c>
      <c r="AM134" s="42">
        <v>45.359209692404917</v>
      </c>
      <c r="AN134" s="42">
        <v>5.7890725685745936</v>
      </c>
      <c r="AO134" s="42">
        <v>0</v>
      </c>
      <c r="AP134" s="42">
        <v>0</v>
      </c>
      <c r="AQ134" s="42">
        <v>51.148282260979514</v>
      </c>
      <c r="AR134" s="42">
        <v>4.7888857730565375</v>
      </c>
      <c r="AS134" s="244">
        <v>10.68062273457272</v>
      </c>
      <c r="AT134" s="42">
        <v>45.359209692404917</v>
      </c>
      <c r="AU134" s="42">
        <v>6.8525376463176242</v>
      </c>
      <c r="AV134" s="42">
        <v>0</v>
      </c>
      <c r="AW134" s="42">
        <v>0</v>
      </c>
      <c r="AX134" s="42">
        <v>52.211747338722539</v>
      </c>
      <c r="AY134" s="42">
        <v>11.066386636119299</v>
      </c>
      <c r="AZ134" s="244">
        <v>4.7180483617217872</v>
      </c>
      <c r="BA134" s="42">
        <v>45.359209692404917</v>
      </c>
      <c r="BB134" s="42">
        <v>12.641610214892218</v>
      </c>
      <c r="BC134" s="42">
        <v>0</v>
      </c>
      <c r="BD134" s="42">
        <v>0</v>
      </c>
      <c r="BE134" s="42">
        <v>58.000819907297135</v>
      </c>
      <c r="BF134" s="42">
        <v>15.855272409175836</v>
      </c>
      <c r="BG134" s="42">
        <v>2.7132570424118949</v>
      </c>
      <c r="BH134" s="244">
        <v>3.658140863838494</v>
      </c>
      <c r="BI134" s="42">
        <v>4.0431997090933427</v>
      </c>
      <c r="BJ134" s="42">
        <v>9.3432195605104411</v>
      </c>
      <c r="BK134" s="42">
        <v>0</v>
      </c>
      <c r="BL134" s="42">
        <v>38.265519636380617</v>
      </c>
      <c r="BM134" s="42">
        <v>51.651938905984395</v>
      </c>
      <c r="BN134" s="42">
        <v>45.359209692404917</v>
      </c>
      <c r="BO134" s="42">
        <v>0</v>
      </c>
      <c r="BP134" s="42">
        <v>12.641610214892218</v>
      </c>
      <c r="BQ134" s="42">
        <v>0</v>
      </c>
      <c r="BR134" s="42">
        <v>0</v>
      </c>
      <c r="BS134" s="42">
        <v>0</v>
      </c>
      <c r="BT134" s="42">
        <v>0</v>
      </c>
      <c r="BU134" s="42">
        <v>0</v>
      </c>
      <c r="BV134" s="42">
        <v>0</v>
      </c>
      <c r="BW134" s="42">
        <v>0</v>
      </c>
      <c r="BX134" s="42">
        <v>61.178089922528642</v>
      </c>
      <c r="BY134" s="42"/>
      <c r="BZ134" s="42">
        <v>0</v>
      </c>
      <c r="CA134" s="42">
        <v>0</v>
      </c>
      <c r="CB134" s="42">
        <v>58.000819907297135</v>
      </c>
      <c r="CC134" s="42">
        <v>61.178089922528642</v>
      </c>
      <c r="CD134" s="245">
        <v>0.94806523022776679</v>
      </c>
      <c r="CE134" s="42">
        <v>40.978776678792514</v>
      </c>
      <c r="CF134" s="42">
        <v>0.82795572655053473</v>
      </c>
      <c r="CG134" s="42">
        <v>0</v>
      </c>
      <c r="CH134" s="42">
        <v>0.82795572655053473</v>
      </c>
      <c r="CI134" s="42">
        <v>4.1397394579251061E-2</v>
      </c>
      <c r="CJ134" s="42">
        <v>0</v>
      </c>
      <c r="CK134" s="42">
        <v>4.1397394579251061E-2</v>
      </c>
      <c r="CL134" s="42"/>
      <c r="CM134" s="42">
        <v>0</v>
      </c>
      <c r="CN134" s="42" t="s">
        <v>785</v>
      </c>
      <c r="CO134" s="42">
        <v>0</v>
      </c>
      <c r="CP134" s="42">
        <v>0</v>
      </c>
      <c r="CQ134" s="42">
        <v>0</v>
      </c>
      <c r="CR134" s="42">
        <v>0</v>
      </c>
      <c r="CS134" s="42">
        <v>0</v>
      </c>
      <c r="CT134" s="42">
        <v>0</v>
      </c>
      <c r="CU134" s="42">
        <v>0</v>
      </c>
      <c r="CV134" s="42">
        <v>9999</v>
      </c>
      <c r="CW134" s="244">
        <v>9999</v>
      </c>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row>
    <row r="135" spans="1:131">
      <c r="A135" s="18" t="s">
        <v>516</v>
      </c>
      <c r="B135" s="18" t="s">
        <v>570</v>
      </c>
      <c r="C135" s="42">
        <v>7</v>
      </c>
      <c r="D135" s="42">
        <v>4.6550309367656109</v>
      </c>
      <c r="E135" s="42">
        <v>0</v>
      </c>
      <c r="F135" s="42">
        <v>2.5567404766326276</v>
      </c>
      <c r="G135" s="42">
        <v>0</v>
      </c>
      <c r="H135" s="42">
        <v>0</v>
      </c>
      <c r="I135" s="42" t="s">
        <v>920</v>
      </c>
      <c r="J135" s="42"/>
      <c r="K135" s="42"/>
      <c r="L135" s="42">
        <v>5.0032054120509706</v>
      </c>
      <c r="M135" s="42">
        <v>9.405344218398464E-4</v>
      </c>
      <c r="N135" s="42">
        <v>9.3374606615962774E-4</v>
      </c>
      <c r="O135" s="42">
        <v>0</v>
      </c>
      <c r="P135" s="42">
        <v>0</v>
      </c>
      <c r="Q135" s="42">
        <v>0</v>
      </c>
      <c r="R135" s="42">
        <v>0.50984820526375696</v>
      </c>
      <c r="S135" s="42">
        <v>1.1781816548902757</v>
      </c>
      <c r="T135" s="42">
        <v>0</v>
      </c>
      <c r="U135" s="42">
        <v>4.8252888587758109</v>
      </c>
      <c r="V135" s="42" t="s">
        <v>752</v>
      </c>
      <c r="W135" s="42" t="s">
        <v>752</v>
      </c>
      <c r="X135" s="42" t="s">
        <v>752</v>
      </c>
      <c r="Y135" s="42" t="s">
        <v>752</v>
      </c>
      <c r="Z135" s="42">
        <v>0</v>
      </c>
      <c r="AA135" s="42">
        <v>0</v>
      </c>
      <c r="AB135" s="42">
        <v>0</v>
      </c>
      <c r="AC135" s="42">
        <v>0</v>
      </c>
      <c r="AD135" s="42">
        <v>0</v>
      </c>
      <c r="AE135" s="42">
        <v>0</v>
      </c>
      <c r="AF135" s="42">
        <v>0</v>
      </c>
      <c r="AG135" s="42">
        <v>0</v>
      </c>
      <c r="AH135" s="42">
        <v>0.50984820526375696</v>
      </c>
      <c r="AI135" s="42">
        <v>1.1781816548902757</v>
      </c>
      <c r="AJ135" s="42">
        <v>0</v>
      </c>
      <c r="AK135" s="42">
        <v>4.8252888587758109</v>
      </c>
      <c r="AL135" s="42">
        <v>6.5133187189298436</v>
      </c>
      <c r="AM135" s="42">
        <v>2.6039606289194381</v>
      </c>
      <c r="AN135" s="42">
        <v>0.33233641301845429</v>
      </c>
      <c r="AO135" s="42">
        <v>0</v>
      </c>
      <c r="AP135" s="42">
        <v>0</v>
      </c>
      <c r="AQ135" s="42">
        <v>2.9362970419378924</v>
      </c>
      <c r="AR135" s="42">
        <v>0.50984820526375696</v>
      </c>
      <c r="AS135" s="244">
        <v>5.7591593176617621</v>
      </c>
      <c r="AT135" s="42">
        <v>2.6039606289194381</v>
      </c>
      <c r="AU135" s="42">
        <v>0.39338732663561288</v>
      </c>
      <c r="AV135" s="42">
        <v>0</v>
      </c>
      <c r="AW135" s="42">
        <v>0</v>
      </c>
      <c r="AX135" s="42">
        <v>2.9973479555550511</v>
      </c>
      <c r="AY135" s="42">
        <v>1.1781816548902757</v>
      </c>
      <c r="AZ135" s="244">
        <v>2.5440456852421409</v>
      </c>
      <c r="BA135" s="42">
        <v>2.6039606289194381</v>
      </c>
      <c r="BB135" s="42">
        <v>0.72572373965406722</v>
      </c>
      <c r="BC135" s="42">
        <v>0</v>
      </c>
      <c r="BD135" s="42">
        <v>0</v>
      </c>
      <c r="BE135" s="42">
        <v>3.3296843685735054</v>
      </c>
      <c r="BF135" s="42">
        <v>1.6880298601540327</v>
      </c>
      <c r="BG135" s="42">
        <v>14.152560781891502</v>
      </c>
      <c r="BH135" s="244">
        <v>1.9725269363835021</v>
      </c>
      <c r="BI135" s="42">
        <v>7.4982976423185637</v>
      </c>
      <c r="BJ135" s="42">
        <v>17.327425366764817</v>
      </c>
      <c r="BK135" s="42">
        <v>0</v>
      </c>
      <c r="BL135" s="42">
        <v>70.965145507469515</v>
      </c>
      <c r="BM135" s="42">
        <v>95.790868516552891</v>
      </c>
      <c r="BN135" s="42">
        <v>2.6039606289194381</v>
      </c>
      <c r="BO135" s="42">
        <v>0</v>
      </c>
      <c r="BP135" s="42">
        <v>0.72572373965406722</v>
      </c>
      <c r="BQ135" s="42">
        <v>0</v>
      </c>
      <c r="BR135" s="42">
        <v>0</v>
      </c>
      <c r="BS135" s="42">
        <v>0</v>
      </c>
      <c r="BT135" s="42">
        <v>0</v>
      </c>
      <c r="BU135" s="42">
        <v>0</v>
      </c>
      <c r="BV135" s="42">
        <v>0</v>
      </c>
      <c r="BW135" s="42">
        <v>0</v>
      </c>
      <c r="BX135" s="42">
        <v>6.5133187189298436</v>
      </c>
      <c r="BY135" s="42"/>
      <c r="BZ135" s="42">
        <v>0</v>
      </c>
      <c r="CA135" s="42">
        <v>0</v>
      </c>
      <c r="CB135" s="42">
        <v>3.3296843685735054</v>
      </c>
      <c r="CC135" s="42">
        <v>6.5133187189298436</v>
      </c>
      <c r="CD135" s="245">
        <v>0.51121164375026651</v>
      </c>
      <c r="CE135" s="42">
        <v>85.117706289361024</v>
      </c>
      <c r="CF135" s="42">
        <v>4.7530901200577555E-2</v>
      </c>
      <c r="CG135" s="42">
        <v>0</v>
      </c>
      <c r="CH135" s="42">
        <v>4.7530901200577555E-2</v>
      </c>
      <c r="CI135" s="42">
        <v>2.3765225707242103E-3</v>
      </c>
      <c r="CJ135" s="42">
        <v>0</v>
      </c>
      <c r="CK135" s="42">
        <v>2.3765225707242103E-3</v>
      </c>
      <c r="CL135" s="42"/>
      <c r="CM135" s="42">
        <v>0</v>
      </c>
      <c r="CN135" s="42" t="s">
        <v>785</v>
      </c>
      <c r="CO135" s="42">
        <v>0</v>
      </c>
      <c r="CP135" s="42">
        <v>0</v>
      </c>
      <c r="CQ135" s="42">
        <v>0</v>
      </c>
      <c r="CR135" s="42">
        <v>0</v>
      </c>
      <c r="CS135" s="42">
        <v>0</v>
      </c>
      <c r="CT135" s="42">
        <v>0</v>
      </c>
      <c r="CU135" s="42">
        <v>0</v>
      </c>
      <c r="CV135" s="42">
        <v>9999</v>
      </c>
      <c r="CW135" s="244">
        <v>9999</v>
      </c>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row>
    <row r="136" spans="1:131">
      <c r="A136" s="18" t="s">
        <v>517</v>
      </c>
      <c r="B136" s="18" t="s">
        <v>571</v>
      </c>
      <c r="C136" s="42">
        <v>7</v>
      </c>
      <c r="D136" s="42">
        <v>10.03095209836478</v>
      </c>
      <c r="E136" s="42">
        <v>0</v>
      </c>
      <c r="F136" s="42">
        <v>2.3922500892481793</v>
      </c>
      <c r="G136" s="42">
        <v>0</v>
      </c>
      <c r="H136" s="42">
        <v>0</v>
      </c>
      <c r="I136" s="42" t="s">
        <v>920</v>
      </c>
      <c r="J136" s="42"/>
      <c r="K136" s="42"/>
      <c r="L136" s="42">
        <v>10.781220255741925</v>
      </c>
      <c r="M136" s="42">
        <v>2.026722455875647E-3</v>
      </c>
      <c r="N136" s="42">
        <v>2.0120944820598064E-3</v>
      </c>
      <c r="O136" s="42">
        <v>0</v>
      </c>
      <c r="P136" s="42">
        <v>0</v>
      </c>
      <c r="Q136" s="42">
        <v>0</v>
      </c>
      <c r="R136" s="42">
        <v>0.47704662467410075</v>
      </c>
      <c r="S136" s="42">
        <v>1.1023821912398246</v>
      </c>
      <c r="T136" s="42">
        <v>0</v>
      </c>
      <c r="U136" s="42">
        <v>4.5148492029421208</v>
      </c>
      <c r="V136" s="42" t="s">
        <v>752</v>
      </c>
      <c r="W136" s="42" t="s">
        <v>752</v>
      </c>
      <c r="X136" s="42" t="s">
        <v>752</v>
      </c>
      <c r="Y136" s="42" t="s">
        <v>752</v>
      </c>
      <c r="Z136" s="42">
        <v>0</v>
      </c>
      <c r="AA136" s="42">
        <v>0</v>
      </c>
      <c r="AB136" s="42">
        <v>0</v>
      </c>
      <c r="AC136" s="42">
        <v>0</v>
      </c>
      <c r="AD136" s="42">
        <v>0</v>
      </c>
      <c r="AE136" s="42">
        <v>0</v>
      </c>
      <c r="AF136" s="42">
        <v>0</v>
      </c>
      <c r="AG136" s="42">
        <v>0</v>
      </c>
      <c r="AH136" s="42">
        <v>0.47704662467410075</v>
      </c>
      <c r="AI136" s="42">
        <v>1.1023821912398246</v>
      </c>
      <c r="AJ136" s="42">
        <v>0</v>
      </c>
      <c r="AK136" s="42">
        <v>4.5148492029421208</v>
      </c>
      <c r="AL136" s="42">
        <v>6.0942780188560466</v>
      </c>
      <c r="AM136" s="42">
        <v>5.611177388407965</v>
      </c>
      <c r="AN136" s="42">
        <v>0.7161393092366346</v>
      </c>
      <c r="AO136" s="42">
        <v>0</v>
      </c>
      <c r="AP136" s="42">
        <v>0</v>
      </c>
      <c r="AQ136" s="42">
        <v>6.3273166976445996</v>
      </c>
      <c r="AR136" s="42">
        <v>0.47704662467410075</v>
      </c>
      <c r="AS136" s="244">
        <v>13.263518428554379</v>
      </c>
      <c r="AT136" s="42">
        <v>5.611177388407965</v>
      </c>
      <c r="AU136" s="42">
        <v>0.8476956400911464</v>
      </c>
      <c r="AV136" s="42">
        <v>0</v>
      </c>
      <c r="AW136" s="42">
        <v>0</v>
      </c>
      <c r="AX136" s="42">
        <v>6.4588730284991112</v>
      </c>
      <c r="AY136" s="42">
        <v>1.1023821912398246</v>
      </c>
      <c r="AZ136" s="244">
        <v>5.8590143054061503</v>
      </c>
      <c r="BA136" s="42">
        <v>5.611177388407965</v>
      </c>
      <c r="BB136" s="42">
        <v>1.563834949327781</v>
      </c>
      <c r="BC136" s="42">
        <v>0</v>
      </c>
      <c r="BD136" s="42">
        <v>0</v>
      </c>
      <c r="BE136" s="42">
        <v>7.1750123377357458</v>
      </c>
      <c r="BF136" s="42">
        <v>1.5794288159139254</v>
      </c>
      <c r="BG136" s="42">
        <v>0.10642802675221337</v>
      </c>
      <c r="BH136" s="244">
        <v>4.5427893080347372</v>
      </c>
      <c r="BI136" s="42">
        <v>3.2558397657435858</v>
      </c>
      <c r="BJ136" s="42">
        <v>7.5237504882005108</v>
      </c>
      <c r="BK136" s="42">
        <v>0</v>
      </c>
      <c r="BL136" s="42">
        <v>30.813813180874902</v>
      </c>
      <c r="BM136" s="42">
        <v>41.593403434819002</v>
      </c>
      <c r="BN136" s="42">
        <v>5.611177388407965</v>
      </c>
      <c r="BO136" s="42">
        <v>0</v>
      </c>
      <c r="BP136" s="42">
        <v>1.563834949327781</v>
      </c>
      <c r="BQ136" s="42">
        <v>0</v>
      </c>
      <c r="BR136" s="42">
        <v>0</v>
      </c>
      <c r="BS136" s="42">
        <v>0</v>
      </c>
      <c r="BT136" s="42">
        <v>0</v>
      </c>
      <c r="BU136" s="42">
        <v>0</v>
      </c>
      <c r="BV136" s="42">
        <v>0</v>
      </c>
      <c r="BW136" s="42">
        <v>0</v>
      </c>
      <c r="BX136" s="42">
        <v>6.0942780188560466</v>
      </c>
      <c r="BY136" s="42"/>
      <c r="BZ136" s="42">
        <v>0</v>
      </c>
      <c r="CA136" s="42">
        <v>0</v>
      </c>
      <c r="CB136" s="42">
        <v>7.1750123377357458</v>
      </c>
      <c r="CC136" s="42">
        <v>6.0942780188560466</v>
      </c>
      <c r="CD136" s="244">
        <v>1.1773359068187972</v>
      </c>
      <c r="CE136" s="42">
        <v>30.920241207627122</v>
      </c>
      <c r="CF136" s="42">
        <v>0.10242256165678178</v>
      </c>
      <c r="CG136" s="42">
        <v>0</v>
      </c>
      <c r="CH136" s="42">
        <v>0.10242256165678178</v>
      </c>
      <c r="CI136" s="42">
        <v>5.1210796214774118E-3</v>
      </c>
      <c r="CJ136" s="42">
        <v>0</v>
      </c>
      <c r="CK136" s="42">
        <v>5.1210796214774118E-3</v>
      </c>
      <c r="CL136" s="42"/>
      <c r="CM136" s="42">
        <v>0</v>
      </c>
      <c r="CN136" s="42" t="s">
        <v>785</v>
      </c>
      <c r="CO136" s="42">
        <v>0</v>
      </c>
      <c r="CP136" s="42">
        <v>0</v>
      </c>
      <c r="CQ136" s="42">
        <v>0</v>
      </c>
      <c r="CR136" s="42">
        <v>0</v>
      </c>
      <c r="CS136" s="42">
        <v>0</v>
      </c>
      <c r="CT136" s="42">
        <v>0</v>
      </c>
      <c r="CU136" s="42">
        <v>0</v>
      </c>
      <c r="CV136" s="42">
        <v>9999</v>
      </c>
      <c r="CW136" s="244">
        <v>9999</v>
      </c>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row>
    <row r="137" spans="1:131">
      <c r="A137" s="18" t="s">
        <v>518</v>
      </c>
      <c r="B137" s="18" t="s">
        <v>572</v>
      </c>
      <c r="C137" s="42">
        <v>7</v>
      </c>
      <c r="D137" s="42">
        <v>0</v>
      </c>
      <c r="E137" s="42">
        <v>0</v>
      </c>
      <c r="F137" s="42">
        <v>0</v>
      </c>
      <c r="G137" s="42">
        <v>0</v>
      </c>
      <c r="H137" s="42">
        <v>0</v>
      </c>
      <c r="I137" s="42" t="s">
        <v>920</v>
      </c>
      <c r="J137" s="42"/>
      <c r="K137" s="42"/>
      <c r="L137" s="42">
        <v>0</v>
      </c>
      <c r="M137" s="42">
        <v>0</v>
      </c>
      <c r="N137" s="42">
        <v>0</v>
      </c>
      <c r="O137" s="42">
        <v>0</v>
      </c>
      <c r="P137" s="42">
        <v>0</v>
      </c>
      <c r="Q137" s="42">
        <v>0</v>
      </c>
      <c r="R137" s="42">
        <v>0</v>
      </c>
      <c r="S137" s="42">
        <v>0</v>
      </c>
      <c r="T137" s="42">
        <v>0</v>
      </c>
      <c r="U137" s="42">
        <v>0</v>
      </c>
      <c r="V137" s="42" t="s">
        <v>752</v>
      </c>
      <c r="W137" s="42" t="s">
        <v>752</v>
      </c>
      <c r="X137" s="42" t="s">
        <v>752</v>
      </c>
      <c r="Y137" s="42" t="s">
        <v>752</v>
      </c>
      <c r="Z137" s="42">
        <v>0</v>
      </c>
      <c r="AA137" s="42">
        <v>0</v>
      </c>
      <c r="AB137" s="42">
        <v>0</v>
      </c>
      <c r="AC137" s="42">
        <v>0</v>
      </c>
      <c r="AD137" s="42">
        <v>0</v>
      </c>
      <c r="AE137" s="42">
        <v>0</v>
      </c>
      <c r="AF137" s="42">
        <v>0</v>
      </c>
      <c r="AG137" s="42">
        <v>0</v>
      </c>
      <c r="AH137" s="42">
        <v>0</v>
      </c>
      <c r="AI137" s="42">
        <v>0</v>
      </c>
      <c r="AJ137" s="42">
        <v>0</v>
      </c>
      <c r="AK137" s="42">
        <v>0</v>
      </c>
      <c r="AL137" s="42">
        <v>0</v>
      </c>
      <c r="AM137" s="42">
        <v>0</v>
      </c>
      <c r="AN137" s="42">
        <v>0</v>
      </c>
      <c r="AO137" s="42">
        <v>0</v>
      </c>
      <c r="AP137" s="42">
        <v>0</v>
      </c>
      <c r="AQ137" s="42">
        <v>0</v>
      </c>
      <c r="AR137" s="42">
        <v>0</v>
      </c>
      <c r="AS137" s="244">
        <v>9999</v>
      </c>
      <c r="AT137" s="42">
        <v>0</v>
      </c>
      <c r="AU137" s="42">
        <v>0</v>
      </c>
      <c r="AV137" s="42">
        <v>0</v>
      </c>
      <c r="AW137" s="42">
        <v>0</v>
      </c>
      <c r="AX137" s="42">
        <v>0</v>
      </c>
      <c r="AY137" s="42">
        <v>0</v>
      </c>
      <c r="AZ137" s="244">
        <v>9999</v>
      </c>
      <c r="BA137" s="42">
        <v>0</v>
      </c>
      <c r="BB137" s="42">
        <v>0</v>
      </c>
      <c r="BC137" s="42">
        <v>0</v>
      </c>
      <c r="BD137" s="42">
        <v>0</v>
      </c>
      <c r="BE137" s="42">
        <v>0</v>
      </c>
      <c r="BF137" s="42">
        <v>0</v>
      </c>
      <c r="BG137" s="42">
        <v>9999</v>
      </c>
      <c r="BH137" s="244">
        <v>9999</v>
      </c>
      <c r="BI137" s="42">
        <v>9999</v>
      </c>
      <c r="BJ137" s="42">
        <v>9999</v>
      </c>
      <c r="BK137" s="42">
        <v>9999</v>
      </c>
      <c r="BL137" s="42">
        <v>9999</v>
      </c>
      <c r="BM137" s="42">
        <v>9999</v>
      </c>
      <c r="BN137" s="42">
        <v>0</v>
      </c>
      <c r="BO137" s="42">
        <v>0</v>
      </c>
      <c r="BP137" s="42">
        <v>0</v>
      </c>
      <c r="BQ137" s="42">
        <v>0</v>
      </c>
      <c r="BR137" s="42">
        <v>0</v>
      </c>
      <c r="BS137" s="42">
        <v>0</v>
      </c>
      <c r="BT137" s="42">
        <v>0</v>
      </c>
      <c r="BU137" s="42">
        <v>0</v>
      </c>
      <c r="BV137" s="42">
        <v>0</v>
      </c>
      <c r="BW137" s="42">
        <v>0</v>
      </c>
      <c r="BX137" s="42">
        <v>0</v>
      </c>
      <c r="BY137" s="42"/>
      <c r="BZ137" s="42">
        <v>0</v>
      </c>
      <c r="CA137" s="42">
        <v>0</v>
      </c>
      <c r="CB137" s="42">
        <v>0</v>
      </c>
      <c r="CC137" s="42">
        <v>0</v>
      </c>
      <c r="CD137" s="244">
        <v>9999</v>
      </c>
      <c r="CE137" s="42">
        <v>9999</v>
      </c>
      <c r="CF137" s="42">
        <v>0</v>
      </c>
      <c r="CG137" s="42">
        <v>0</v>
      </c>
      <c r="CH137" s="42">
        <v>0</v>
      </c>
      <c r="CI137" s="42">
        <v>0</v>
      </c>
      <c r="CJ137" s="42">
        <v>0</v>
      </c>
      <c r="CK137" s="42">
        <v>0</v>
      </c>
      <c r="CL137" s="42"/>
      <c r="CM137" s="42">
        <v>0</v>
      </c>
      <c r="CN137" s="42" t="s">
        <v>785</v>
      </c>
      <c r="CO137" s="42">
        <v>0</v>
      </c>
      <c r="CP137" s="42">
        <v>0</v>
      </c>
      <c r="CQ137" s="42">
        <v>0</v>
      </c>
      <c r="CR137" s="42">
        <v>0</v>
      </c>
      <c r="CS137" s="42">
        <v>0</v>
      </c>
      <c r="CT137" s="42">
        <v>0</v>
      </c>
      <c r="CU137" s="42">
        <v>0</v>
      </c>
      <c r="CV137" s="42">
        <v>9999</v>
      </c>
      <c r="CW137" s="244">
        <v>9999</v>
      </c>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row>
    <row r="138" spans="1:131">
      <c r="A138" s="18" t="s">
        <v>519</v>
      </c>
      <c r="B138" s="18" t="s">
        <v>573</v>
      </c>
      <c r="C138" s="42">
        <v>7</v>
      </c>
      <c r="D138" s="42">
        <v>2.6810742116914437</v>
      </c>
      <c r="E138" s="42">
        <v>0</v>
      </c>
      <c r="F138" s="42">
        <v>0.80188894532850541</v>
      </c>
      <c r="G138" s="42">
        <v>0</v>
      </c>
      <c r="H138" s="42">
        <v>0</v>
      </c>
      <c r="I138" s="42" t="s">
        <v>920</v>
      </c>
      <c r="J138" s="42"/>
      <c r="K138" s="42"/>
      <c r="L138" s="42">
        <v>2.8816059846350144</v>
      </c>
      <c r="M138" s="42">
        <v>5.4170264770678645E-4</v>
      </c>
      <c r="N138" s="42">
        <v>5.3779288091871248E-4</v>
      </c>
      <c r="O138" s="42">
        <v>0</v>
      </c>
      <c r="P138" s="42">
        <v>0</v>
      </c>
      <c r="Q138" s="42">
        <v>0</v>
      </c>
      <c r="R138" s="42">
        <v>0.15990736773372202</v>
      </c>
      <c r="S138" s="42">
        <v>0.36952160505929538</v>
      </c>
      <c r="T138" s="42">
        <v>0</v>
      </c>
      <c r="U138" s="42">
        <v>1.513390126699629</v>
      </c>
      <c r="V138" s="42" t="s">
        <v>752</v>
      </c>
      <c r="W138" s="42" t="s">
        <v>752</v>
      </c>
      <c r="X138" s="42" t="s">
        <v>752</v>
      </c>
      <c r="Y138" s="42" t="s">
        <v>752</v>
      </c>
      <c r="Z138" s="42">
        <v>0</v>
      </c>
      <c r="AA138" s="42">
        <v>0</v>
      </c>
      <c r="AB138" s="42">
        <v>0</v>
      </c>
      <c r="AC138" s="42">
        <v>0</v>
      </c>
      <c r="AD138" s="42">
        <v>0</v>
      </c>
      <c r="AE138" s="42">
        <v>0</v>
      </c>
      <c r="AF138" s="42">
        <v>0</v>
      </c>
      <c r="AG138" s="42">
        <v>0</v>
      </c>
      <c r="AH138" s="42">
        <v>0.15990736773372202</v>
      </c>
      <c r="AI138" s="42">
        <v>0.36952160505929538</v>
      </c>
      <c r="AJ138" s="42">
        <v>0</v>
      </c>
      <c r="AK138" s="42">
        <v>1.513390126699629</v>
      </c>
      <c r="AL138" s="42">
        <v>2.0428190994926463</v>
      </c>
      <c r="AM138" s="42">
        <v>1.4997562390651977</v>
      </c>
      <c r="AN138" s="42">
        <v>0.1914098098709755</v>
      </c>
      <c r="AO138" s="42">
        <v>0</v>
      </c>
      <c r="AP138" s="42">
        <v>0</v>
      </c>
      <c r="AQ138" s="42">
        <v>1.6911660489361733</v>
      </c>
      <c r="AR138" s="42">
        <v>0.15990736773372202</v>
      </c>
      <c r="AS138" s="244">
        <v>10.575910746978872</v>
      </c>
      <c r="AT138" s="42">
        <v>1.4997562390651977</v>
      </c>
      <c r="AU138" s="42">
        <v>0.22657220348825508</v>
      </c>
      <c r="AV138" s="42">
        <v>0</v>
      </c>
      <c r="AW138" s="42">
        <v>0</v>
      </c>
      <c r="AX138" s="42">
        <v>1.7263284425534529</v>
      </c>
      <c r="AY138" s="42">
        <v>0.36952160505929538</v>
      </c>
      <c r="AZ138" s="244">
        <v>4.6717929856264755</v>
      </c>
      <c r="BA138" s="42">
        <v>1.4997562390651977</v>
      </c>
      <c r="BB138" s="42">
        <v>0.41798201335923058</v>
      </c>
      <c r="BC138" s="42">
        <v>0</v>
      </c>
      <c r="BD138" s="42">
        <v>0</v>
      </c>
      <c r="BE138" s="42">
        <v>1.9177382524244284</v>
      </c>
      <c r="BF138" s="42">
        <v>0.52942897279301737</v>
      </c>
      <c r="BG138" s="42">
        <v>2.845795847061444</v>
      </c>
      <c r="BH138" s="244">
        <v>3.6222767377224305</v>
      </c>
      <c r="BI138" s="42">
        <v>4.0832313893813952</v>
      </c>
      <c r="BJ138" s="42">
        <v>9.4357266848719323</v>
      </c>
      <c r="BK138" s="42">
        <v>0</v>
      </c>
      <c r="BL138" s="42">
        <v>38.644386167433893</v>
      </c>
      <c r="BM138" s="42">
        <v>52.163344241687213</v>
      </c>
      <c r="BN138" s="42">
        <v>1.4997562390651977</v>
      </c>
      <c r="BO138" s="42">
        <v>0</v>
      </c>
      <c r="BP138" s="42">
        <v>0.41798201335923058</v>
      </c>
      <c r="BQ138" s="42">
        <v>0</v>
      </c>
      <c r="BR138" s="42">
        <v>0</v>
      </c>
      <c r="BS138" s="42">
        <v>0</v>
      </c>
      <c r="BT138" s="42">
        <v>0</v>
      </c>
      <c r="BU138" s="42">
        <v>0</v>
      </c>
      <c r="BV138" s="42">
        <v>0</v>
      </c>
      <c r="BW138" s="42">
        <v>0</v>
      </c>
      <c r="BX138" s="42">
        <v>2.0428190994926463</v>
      </c>
      <c r="BY138" s="42"/>
      <c r="BZ138" s="42">
        <v>0</v>
      </c>
      <c r="CA138" s="42">
        <v>0</v>
      </c>
      <c r="CB138" s="42">
        <v>1.9177382524244284</v>
      </c>
      <c r="CC138" s="42">
        <v>2.0428190994926463</v>
      </c>
      <c r="CD138" s="245">
        <v>0.93877047306867123</v>
      </c>
      <c r="CE138" s="42">
        <v>41.490182014495325</v>
      </c>
      <c r="CF138" s="42">
        <v>2.7375515909216608E-2</v>
      </c>
      <c r="CG138" s="42">
        <v>0</v>
      </c>
      <c r="CH138" s="42">
        <v>2.7375515909216608E-2</v>
      </c>
      <c r="CI138" s="42">
        <v>1.3687628427016313E-3</v>
      </c>
      <c r="CJ138" s="42">
        <v>0</v>
      </c>
      <c r="CK138" s="42">
        <v>1.3687628427016313E-3</v>
      </c>
      <c r="CL138" s="42"/>
      <c r="CM138" s="42">
        <v>0</v>
      </c>
      <c r="CN138" s="42" t="s">
        <v>785</v>
      </c>
      <c r="CO138" s="42">
        <v>0</v>
      </c>
      <c r="CP138" s="42">
        <v>0</v>
      </c>
      <c r="CQ138" s="42">
        <v>0</v>
      </c>
      <c r="CR138" s="42">
        <v>0</v>
      </c>
      <c r="CS138" s="42">
        <v>0</v>
      </c>
      <c r="CT138" s="42">
        <v>0</v>
      </c>
      <c r="CU138" s="42">
        <v>0</v>
      </c>
      <c r="CV138" s="42">
        <v>9999</v>
      </c>
      <c r="CW138" s="244">
        <v>9999</v>
      </c>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row>
    <row r="139" spans="1:131">
      <c r="A139" s="18" t="s">
        <v>520</v>
      </c>
      <c r="B139" s="18" t="s">
        <v>574</v>
      </c>
      <c r="C139" s="42">
        <v>7</v>
      </c>
      <c r="D139" s="42">
        <v>12.346479205825418</v>
      </c>
      <c r="E139" s="42">
        <v>0</v>
      </c>
      <c r="F139" s="42">
        <v>2.397642167202704</v>
      </c>
      <c r="G139" s="42">
        <v>0</v>
      </c>
      <c r="H139" s="42">
        <v>0</v>
      </c>
      <c r="I139" s="42" t="s">
        <v>920</v>
      </c>
      <c r="J139" s="42"/>
      <c r="K139" s="42"/>
      <c r="L139" s="42">
        <v>13.269937927690904</v>
      </c>
      <c r="M139" s="42">
        <v>2.4945674560171876E-3</v>
      </c>
      <c r="N139" s="42">
        <v>2.476562786792411E-3</v>
      </c>
      <c r="O139" s="42">
        <v>0</v>
      </c>
      <c r="P139" s="42">
        <v>0</v>
      </c>
      <c r="Q139" s="42">
        <v>0</v>
      </c>
      <c r="R139" s="42">
        <v>0.47812187704831804</v>
      </c>
      <c r="S139" s="42">
        <v>1.1048669359316778</v>
      </c>
      <c r="T139" s="42">
        <v>0</v>
      </c>
      <c r="U139" s="42">
        <v>4.5250255716105157</v>
      </c>
      <c r="V139" s="42" t="s">
        <v>752</v>
      </c>
      <c r="W139" s="42" t="s">
        <v>752</v>
      </c>
      <c r="X139" s="42" t="s">
        <v>752</v>
      </c>
      <c r="Y139" s="42" t="s">
        <v>752</v>
      </c>
      <c r="Z139" s="42">
        <v>0</v>
      </c>
      <c r="AA139" s="42">
        <v>0</v>
      </c>
      <c r="AB139" s="42">
        <v>0</v>
      </c>
      <c r="AC139" s="42">
        <v>0</v>
      </c>
      <c r="AD139" s="42">
        <v>0</v>
      </c>
      <c r="AE139" s="42">
        <v>0</v>
      </c>
      <c r="AF139" s="42">
        <v>0</v>
      </c>
      <c r="AG139" s="42">
        <v>0</v>
      </c>
      <c r="AH139" s="42">
        <v>0.47812187704831804</v>
      </c>
      <c r="AI139" s="42">
        <v>1.1048669359316778</v>
      </c>
      <c r="AJ139" s="42">
        <v>0</v>
      </c>
      <c r="AK139" s="42">
        <v>4.5250255716105157</v>
      </c>
      <c r="AL139" s="42">
        <v>6.1080143845905113</v>
      </c>
      <c r="AM139" s="42">
        <v>6.9064515777590225</v>
      </c>
      <c r="AN139" s="42">
        <v>0.8814516312370444</v>
      </c>
      <c r="AO139" s="42">
        <v>0</v>
      </c>
      <c r="AP139" s="42">
        <v>0</v>
      </c>
      <c r="AQ139" s="42">
        <v>7.7879032089960667</v>
      </c>
      <c r="AR139" s="42">
        <v>0.47812187704831804</v>
      </c>
      <c r="AS139" s="244">
        <v>16.288531403487813</v>
      </c>
      <c r="AT139" s="42">
        <v>6.9064515777590225</v>
      </c>
      <c r="AU139" s="42">
        <v>1.0433761910756563</v>
      </c>
      <c r="AV139" s="42">
        <v>0</v>
      </c>
      <c r="AW139" s="42">
        <v>0</v>
      </c>
      <c r="AX139" s="42">
        <v>7.9498277688346786</v>
      </c>
      <c r="AY139" s="42">
        <v>1.1048669359316778</v>
      </c>
      <c r="AZ139" s="244">
        <v>7.1952807259373683</v>
      </c>
      <c r="BA139" s="42">
        <v>6.9064515777590225</v>
      </c>
      <c r="BB139" s="42">
        <v>1.9248278223127007</v>
      </c>
      <c r="BC139" s="42">
        <v>0</v>
      </c>
      <c r="BD139" s="42">
        <v>0</v>
      </c>
      <c r="BE139" s="42">
        <v>8.8312794000717236</v>
      </c>
      <c r="BF139" s="42">
        <v>1.5829888129799958</v>
      </c>
      <c r="BG139" s="42">
        <v>-1.8954958775516926</v>
      </c>
      <c r="BH139" s="244">
        <v>5.578864062498794</v>
      </c>
      <c r="BI139" s="42">
        <v>2.6511838092483488</v>
      </c>
      <c r="BJ139" s="42">
        <v>6.1264825403918453</v>
      </c>
      <c r="BK139" s="42">
        <v>0</v>
      </c>
      <c r="BL139" s="42">
        <v>25.091247875855291</v>
      </c>
      <c r="BM139" s="42">
        <v>33.868914225495487</v>
      </c>
      <c r="BN139" s="42">
        <v>6.9064515777590225</v>
      </c>
      <c r="BO139" s="42">
        <v>0</v>
      </c>
      <c r="BP139" s="42">
        <v>1.9248278223127007</v>
      </c>
      <c r="BQ139" s="42">
        <v>0</v>
      </c>
      <c r="BR139" s="42">
        <v>0</v>
      </c>
      <c r="BS139" s="42">
        <v>0</v>
      </c>
      <c r="BT139" s="42">
        <v>0</v>
      </c>
      <c r="BU139" s="42">
        <v>0</v>
      </c>
      <c r="BV139" s="42">
        <v>0</v>
      </c>
      <c r="BW139" s="42">
        <v>0</v>
      </c>
      <c r="BX139" s="42">
        <v>6.1080143845905113</v>
      </c>
      <c r="BY139" s="42"/>
      <c r="BZ139" s="42">
        <v>0</v>
      </c>
      <c r="CA139" s="42">
        <v>0</v>
      </c>
      <c r="CB139" s="42">
        <v>8.8312794000717236</v>
      </c>
      <c r="CC139" s="42">
        <v>6.1080143845905113</v>
      </c>
      <c r="CD139" s="244">
        <v>1.4458511136371175</v>
      </c>
      <c r="CE139" s="42">
        <v>23.195751998303599</v>
      </c>
      <c r="CF139" s="42">
        <v>0.12606560327498473</v>
      </c>
      <c r="CG139" s="42">
        <v>0</v>
      </c>
      <c r="CH139" s="42">
        <v>0.12606560327498473</v>
      </c>
      <c r="CI139" s="42">
        <v>6.3032205156531773E-3</v>
      </c>
      <c r="CJ139" s="42">
        <v>0</v>
      </c>
      <c r="CK139" s="42">
        <v>6.3032205156531773E-3</v>
      </c>
      <c r="CL139" s="42"/>
      <c r="CM139" s="42">
        <v>0</v>
      </c>
      <c r="CN139" s="42" t="s">
        <v>785</v>
      </c>
      <c r="CO139" s="42">
        <v>0</v>
      </c>
      <c r="CP139" s="42">
        <v>0</v>
      </c>
      <c r="CQ139" s="42">
        <v>0</v>
      </c>
      <c r="CR139" s="42">
        <v>0</v>
      </c>
      <c r="CS139" s="42">
        <v>0</v>
      </c>
      <c r="CT139" s="42">
        <v>0</v>
      </c>
      <c r="CU139" s="42">
        <v>0</v>
      </c>
      <c r="CV139" s="42">
        <v>9999</v>
      </c>
      <c r="CW139" s="244">
        <v>9999</v>
      </c>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row>
    <row r="140" spans="1:131">
      <c r="A140" s="18" t="s">
        <v>521</v>
      </c>
      <c r="B140" s="18" t="s">
        <v>575</v>
      </c>
      <c r="C140" s="42">
        <v>7</v>
      </c>
      <c r="D140" s="42">
        <v>224.60759589851159</v>
      </c>
      <c r="E140" s="42">
        <v>0</v>
      </c>
      <c r="F140" s="42">
        <v>36.875114815765613</v>
      </c>
      <c r="G140" s="42">
        <v>0</v>
      </c>
      <c r="H140" s="42">
        <v>0</v>
      </c>
      <c r="I140" s="42" t="s">
        <v>920</v>
      </c>
      <c r="J140" s="42"/>
      <c r="K140" s="42"/>
      <c r="L140" s="42">
        <v>241.40719033931822</v>
      </c>
      <c r="M140" s="42">
        <v>4.5381261310375974E-2</v>
      </c>
      <c r="N140" s="42">
        <v>4.5053719717172876E-2</v>
      </c>
      <c r="O140" s="42">
        <v>0</v>
      </c>
      <c r="P140" s="42">
        <v>0</v>
      </c>
      <c r="Q140" s="42">
        <v>0</v>
      </c>
      <c r="R140" s="42">
        <v>7.3533904905650314</v>
      </c>
      <c r="S140" s="42">
        <v>16.992566979315772</v>
      </c>
      <c r="T140" s="42">
        <v>0</v>
      </c>
      <c r="U140" s="42">
        <v>69.593719938654317</v>
      </c>
      <c r="V140" s="42" t="s">
        <v>752</v>
      </c>
      <c r="W140" s="42" t="s">
        <v>752</v>
      </c>
      <c r="X140" s="42" t="s">
        <v>752</v>
      </c>
      <c r="Y140" s="42" t="s">
        <v>752</v>
      </c>
      <c r="Z140" s="42">
        <v>0</v>
      </c>
      <c r="AA140" s="42">
        <v>0</v>
      </c>
      <c r="AB140" s="42">
        <v>0</v>
      </c>
      <c r="AC140" s="42">
        <v>0</v>
      </c>
      <c r="AD140" s="42">
        <v>0</v>
      </c>
      <c r="AE140" s="42">
        <v>0</v>
      </c>
      <c r="AF140" s="42">
        <v>0</v>
      </c>
      <c r="AG140" s="42">
        <v>0</v>
      </c>
      <c r="AH140" s="42">
        <v>7.3533904905650314</v>
      </c>
      <c r="AI140" s="42">
        <v>16.992566979315772</v>
      </c>
      <c r="AJ140" s="42">
        <v>0</v>
      </c>
      <c r="AK140" s="42">
        <v>69.593719938654317</v>
      </c>
      <c r="AL140" s="42">
        <v>93.939677408535118</v>
      </c>
      <c r="AM140" s="42">
        <v>125.64241669301298</v>
      </c>
      <c r="AN140" s="42">
        <v>16.0353999300109</v>
      </c>
      <c r="AO140" s="42">
        <v>0</v>
      </c>
      <c r="AP140" s="42">
        <v>0</v>
      </c>
      <c r="AQ140" s="42">
        <v>141.67781662302389</v>
      </c>
      <c r="AR140" s="42">
        <v>7.3533904905650314</v>
      </c>
      <c r="AS140" s="244">
        <v>19.267005717268447</v>
      </c>
      <c r="AT140" s="42">
        <v>125.64241669301298</v>
      </c>
      <c r="AU140" s="42">
        <v>18.981137374343618</v>
      </c>
      <c r="AV140" s="42">
        <v>0</v>
      </c>
      <c r="AW140" s="42">
        <v>0</v>
      </c>
      <c r="AX140" s="42">
        <v>144.62355406735659</v>
      </c>
      <c r="AY140" s="42">
        <v>16.992566979315772</v>
      </c>
      <c r="AZ140" s="244">
        <v>8.5109892015373454</v>
      </c>
      <c r="BA140" s="42">
        <v>125.64241669301298</v>
      </c>
      <c r="BB140" s="42">
        <v>35.016537304354515</v>
      </c>
      <c r="BC140" s="42">
        <v>0</v>
      </c>
      <c r="BD140" s="42">
        <v>0</v>
      </c>
      <c r="BE140" s="42">
        <v>160.65895399736749</v>
      </c>
      <c r="BF140" s="42">
        <v>24.345957469880801</v>
      </c>
      <c r="BG140" s="42">
        <v>-3.2524298059984784</v>
      </c>
      <c r="BH140" s="244">
        <v>6.5989992053557174</v>
      </c>
      <c r="BI140" s="42">
        <v>2.2413389691713097</v>
      </c>
      <c r="BJ140" s="42">
        <v>5.1793934520220928</v>
      </c>
      <c r="BK140" s="42">
        <v>0</v>
      </c>
      <c r="BL140" s="42">
        <v>21.212407624515343</v>
      </c>
      <c r="BM140" s="42">
        <v>28.633140045708746</v>
      </c>
      <c r="BN140" s="42">
        <v>125.64241669301298</v>
      </c>
      <c r="BO140" s="42">
        <v>0</v>
      </c>
      <c r="BP140" s="42">
        <v>35.016537304354515</v>
      </c>
      <c r="BQ140" s="42">
        <v>0</v>
      </c>
      <c r="BR140" s="42">
        <v>0</v>
      </c>
      <c r="BS140" s="42">
        <v>0</v>
      </c>
      <c r="BT140" s="42">
        <v>0</v>
      </c>
      <c r="BU140" s="42">
        <v>0</v>
      </c>
      <c r="BV140" s="42">
        <v>0</v>
      </c>
      <c r="BW140" s="42">
        <v>0</v>
      </c>
      <c r="BX140" s="42">
        <v>93.939677408535118</v>
      </c>
      <c r="BY140" s="42"/>
      <c r="BZ140" s="42">
        <v>0</v>
      </c>
      <c r="CA140" s="42">
        <v>0</v>
      </c>
      <c r="CB140" s="42">
        <v>160.65895399736752</v>
      </c>
      <c r="CC140" s="42">
        <v>93.939677408535118</v>
      </c>
      <c r="CD140" s="244">
        <v>1.7102353172736195</v>
      </c>
      <c r="CE140" s="42">
        <v>17.959977818516855</v>
      </c>
      <c r="CF140" s="42">
        <v>2.2933900106299023</v>
      </c>
      <c r="CG140" s="42">
        <v>0</v>
      </c>
      <c r="CH140" s="42">
        <v>2.2933900106299023</v>
      </c>
      <c r="CI140" s="42">
        <v>0.11466841541117613</v>
      </c>
      <c r="CJ140" s="42">
        <v>0</v>
      </c>
      <c r="CK140" s="42">
        <v>0.11466841541117613</v>
      </c>
      <c r="CL140" s="42"/>
      <c r="CM140" s="42">
        <v>0</v>
      </c>
      <c r="CN140" s="42" t="s">
        <v>785</v>
      </c>
      <c r="CO140" s="42">
        <v>0</v>
      </c>
      <c r="CP140" s="42">
        <v>0</v>
      </c>
      <c r="CQ140" s="42">
        <v>0</v>
      </c>
      <c r="CR140" s="42">
        <v>0</v>
      </c>
      <c r="CS140" s="42">
        <v>0</v>
      </c>
      <c r="CT140" s="42">
        <v>0</v>
      </c>
      <c r="CU140" s="42">
        <v>0</v>
      </c>
      <c r="CV140" s="42">
        <v>9999</v>
      </c>
      <c r="CW140" s="244">
        <v>9999</v>
      </c>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row>
    <row r="141" spans="1:131">
      <c r="A141" s="18" t="s">
        <v>522</v>
      </c>
      <c r="B141" s="18" t="s">
        <v>576</v>
      </c>
      <c r="C141" s="42">
        <v>7</v>
      </c>
      <c r="D141" s="42">
        <v>0.94779331410926215</v>
      </c>
      <c r="E141" s="42">
        <v>0</v>
      </c>
      <c r="F141" s="42">
        <v>0.18353369463921343</v>
      </c>
      <c r="G141" s="42">
        <v>0</v>
      </c>
      <c r="H141" s="42">
        <v>0</v>
      </c>
      <c r="I141" s="42" t="s">
        <v>920</v>
      </c>
      <c r="J141" s="42"/>
      <c r="K141" s="42"/>
      <c r="L141" s="42">
        <v>1.0186838074919446</v>
      </c>
      <c r="M141" s="42">
        <v>1.9149867075401395E-4</v>
      </c>
      <c r="N141" s="42">
        <v>1.9011651922486056E-4</v>
      </c>
      <c r="O141" s="42">
        <v>0</v>
      </c>
      <c r="P141" s="42">
        <v>0</v>
      </c>
      <c r="Q141" s="42">
        <v>0</v>
      </c>
      <c r="R141" s="42">
        <v>3.6599070446317675E-2</v>
      </c>
      <c r="S141" s="42">
        <v>8.4574885114249113E-2</v>
      </c>
      <c r="T141" s="42">
        <v>0</v>
      </c>
      <c r="U141" s="42">
        <v>0.34637973624876778</v>
      </c>
      <c r="V141" s="42" t="s">
        <v>752</v>
      </c>
      <c r="W141" s="42" t="s">
        <v>752</v>
      </c>
      <c r="X141" s="42" t="s">
        <v>752</v>
      </c>
      <c r="Y141" s="42" t="s">
        <v>752</v>
      </c>
      <c r="Z141" s="42">
        <v>0</v>
      </c>
      <c r="AA141" s="42">
        <v>0</v>
      </c>
      <c r="AB141" s="42">
        <v>0</v>
      </c>
      <c r="AC141" s="42">
        <v>0</v>
      </c>
      <c r="AD141" s="42">
        <v>0</v>
      </c>
      <c r="AE141" s="42">
        <v>0</v>
      </c>
      <c r="AF141" s="42">
        <v>0</v>
      </c>
      <c r="AG141" s="42">
        <v>0</v>
      </c>
      <c r="AH141" s="42">
        <v>3.6599070446317675E-2</v>
      </c>
      <c r="AI141" s="42">
        <v>8.4574885114249113E-2</v>
      </c>
      <c r="AJ141" s="42">
        <v>0</v>
      </c>
      <c r="AK141" s="42">
        <v>0.34637973624876778</v>
      </c>
      <c r="AL141" s="42">
        <v>0.46755369180933459</v>
      </c>
      <c r="AM141" s="42">
        <v>0.53018261485677887</v>
      </c>
      <c r="AN141" s="42">
        <v>6.7665765184538776E-2</v>
      </c>
      <c r="AO141" s="42">
        <v>0</v>
      </c>
      <c r="AP141" s="42">
        <v>0</v>
      </c>
      <c r="AQ141" s="42">
        <v>0.59784838004131768</v>
      </c>
      <c r="AR141" s="42">
        <v>3.6599070446317675E-2</v>
      </c>
      <c r="AS141" s="244">
        <v>16.335070064640636</v>
      </c>
      <c r="AT141" s="42">
        <v>0.53018261485677887</v>
      </c>
      <c r="AU141" s="42">
        <v>8.0096111734890479E-2</v>
      </c>
      <c r="AV141" s="42">
        <v>0</v>
      </c>
      <c r="AW141" s="42">
        <v>0</v>
      </c>
      <c r="AX141" s="42">
        <v>0.61027872659166937</v>
      </c>
      <c r="AY141" s="42">
        <v>8.4574885114249113E-2</v>
      </c>
      <c r="AZ141" s="244">
        <v>7.2158386708686182</v>
      </c>
      <c r="BA141" s="42">
        <v>0.53018261485677887</v>
      </c>
      <c r="BB141" s="42">
        <v>0.14776187691942927</v>
      </c>
      <c r="BC141" s="42">
        <v>0</v>
      </c>
      <c r="BD141" s="42">
        <v>0</v>
      </c>
      <c r="BE141" s="42">
        <v>0.67794449177620819</v>
      </c>
      <c r="BF141" s="42">
        <v>0.12117395556056679</v>
      </c>
      <c r="BG141" s="42">
        <v>-1.9205034739894145</v>
      </c>
      <c r="BH141" s="244">
        <v>5.5948036741059335</v>
      </c>
      <c r="BI141" s="42">
        <v>2.6436305790225698</v>
      </c>
      <c r="BJ141" s="42">
        <v>6.1090281741799028</v>
      </c>
      <c r="BK141" s="42">
        <v>0</v>
      </c>
      <c r="BL141" s="42">
        <v>25.019762839171939</v>
      </c>
      <c r="BM141" s="42">
        <v>33.772421592374414</v>
      </c>
      <c r="BN141" s="42">
        <v>0.53018261485677887</v>
      </c>
      <c r="BO141" s="42">
        <v>0</v>
      </c>
      <c r="BP141" s="42">
        <v>0.14776187691942927</v>
      </c>
      <c r="BQ141" s="42">
        <v>0</v>
      </c>
      <c r="BR141" s="42">
        <v>0</v>
      </c>
      <c r="BS141" s="42">
        <v>0</v>
      </c>
      <c r="BT141" s="42">
        <v>0</v>
      </c>
      <c r="BU141" s="42">
        <v>0</v>
      </c>
      <c r="BV141" s="42">
        <v>0</v>
      </c>
      <c r="BW141" s="42">
        <v>0</v>
      </c>
      <c r="BX141" s="42">
        <v>0.46755369180933459</v>
      </c>
      <c r="BY141" s="42"/>
      <c r="BZ141" s="42">
        <v>0</v>
      </c>
      <c r="CA141" s="42">
        <v>0</v>
      </c>
      <c r="CB141" s="42">
        <v>0.67794449177620819</v>
      </c>
      <c r="CC141" s="42">
        <v>0.46755369180933459</v>
      </c>
      <c r="CD141" s="244">
        <v>1.4499821168189377</v>
      </c>
      <c r="CE141" s="42">
        <v>23.09925936518253</v>
      </c>
      <c r="CF141" s="42">
        <v>9.6775877504256466E-3</v>
      </c>
      <c r="CG141" s="42">
        <v>0</v>
      </c>
      <c r="CH141" s="42">
        <v>9.6775877504256466E-3</v>
      </c>
      <c r="CI141" s="42">
        <v>4.8387480855867354E-4</v>
      </c>
      <c r="CJ141" s="42">
        <v>0</v>
      </c>
      <c r="CK141" s="42">
        <v>4.8387480855867354E-4</v>
      </c>
      <c r="CL141" s="42"/>
      <c r="CM141" s="42">
        <v>0</v>
      </c>
      <c r="CN141" s="42" t="s">
        <v>785</v>
      </c>
      <c r="CO141" s="42">
        <v>0</v>
      </c>
      <c r="CP141" s="42">
        <v>0</v>
      </c>
      <c r="CQ141" s="42">
        <v>0</v>
      </c>
      <c r="CR141" s="42">
        <v>0</v>
      </c>
      <c r="CS141" s="42">
        <v>0</v>
      </c>
      <c r="CT141" s="42">
        <v>0</v>
      </c>
      <c r="CU141" s="42">
        <v>0</v>
      </c>
      <c r="CV141" s="42">
        <v>9999</v>
      </c>
      <c r="CW141" s="244">
        <v>9999</v>
      </c>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row>
    <row r="142" spans="1:131">
      <c r="A142" s="18" t="s">
        <v>523</v>
      </c>
      <c r="B142" s="18" t="s">
        <v>577</v>
      </c>
      <c r="C142" s="42">
        <v>7</v>
      </c>
      <c r="D142" s="42">
        <v>1.2358581139807756</v>
      </c>
      <c r="E142" s="42">
        <v>0</v>
      </c>
      <c r="F142" s="42">
        <v>0.3652162225418733</v>
      </c>
      <c r="G142" s="42">
        <v>0</v>
      </c>
      <c r="H142" s="42">
        <v>0</v>
      </c>
      <c r="I142" s="42" t="s">
        <v>920</v>
      </c>
      <c r="J142" s="42"/>
      <c r="K142" s="42"/>
      <c r="L142" s="42">
        <v>1.3282945029559661</v>
      </c>
      <c r="M142" s="42">
        <v>2.497012613876682E-4</v>
      </c>
      <c r="N142" s="42">
        <v>2.478990296598991E-4</v>
      </c>
      <c r="O142" s="42">
        <v>0</v>
      </c>
      <c r="P142" s="42">
        <v>0</v>
      </c>
      <c r="Q142" s="42">
        <v>0</v>
      </c>
      <c r="R142" s="42">
        <v>7.2828993516551699E-2</v>
      </c>
      <c r="S142" s="42">
        <v>0.16829672678936788</v>
      </c>
      <c r="T142" s="42">
        <v>0</v>
      </c>
      <c r="U142" s="42">
        <v>0.68926579986581316</v>
      </c>
      <c r="V142" s="42" t="s">
        <v>752</v>
      </c>
      <c r="W142" s="42" t="s">
        <v>752</v>
      </c>
      <c r="X142" s="42" t="s">
        <v>752</v>
      </c>
      <c r="Y142" s="42" t="s">
        <v>752</v>
      </c>
      <c r="Z142" s="42">
        <v>0</v>
      </c>
      <c r="AA142" s="42">
        <v>0</v>
      </c>
      <c r="AB142" s="42">
        <v>0</v>
      </c>
      <c r="AC142" s="42">
        <v>0</v>
      </c>
      <c r="AD142" s="42">
        <v>0</v>
      </c>
      <c r="AE142" s="42">
        <v>0</v>
      </c>
      <c r="AF142" s="42">
        <v>0</v>
      </c>
      <c r="AG142" s="42">
        <v>0</v>
      </c>
      <c r="AH142" s="42">
        <v>7.2828993516551699E-2</v>
      </c>
      <c r="AI142" s="42">
        <v>0.16829672678936788</v>
      </c>
      <c r="AJ142" s="42">
        <v>0</v>
      </c>
      <c r="AK142" s="42">
        <v>0.68926579986581316</v>
      </c>
      <c r="AL142" s="42">
        <v>0.93039152017173277</v>
      </c>
      <c r="AM142" s="42">
        <v>0.69132212340839516</v>
      </c>
      <c r="AN142" s="42">
        <v>8.8231562406220751E-2</v>
      </c>
      <c r="AO142" s="42">
        <v>0</v>
      </c>
      <c r="AP142" s="42">
        <v>0</v>
      </c>
      <c r="AQ142" s="42">
        <v>0.77955368581461593</v>
      </c>
      <c r="AR142" s="42">
        <v>7.2828993516551699E-2</v>
      </c>
      <c r="AS142" s="244">
        <v>10.703892065149141</v>
      </c>
      <c r="AT142" s="42">
        <v>0.69132212340839516</v>
      </c>
      <c r="AU142" s="42">
        <v>0.10443989012404442</v>
      </c>
      <c r="AV142" s="42">
        <v>0</v>
      </c>
      <c r="AW142" s="42">
        <v>0</v>
      </c>
      <c r="AX142" s="42">
        <v>0.79576201353243958</v>
      </c>
      <c r="AY142" s="42">
        <v>0.16829672678936788</v>
      </c>
      <c r="AZ142" s="244">
        <v>4.7283273341874148</v>
      </c>
      <c r="BA142" s="42">
        <v>0.69132212340839516</v>
      </c>
      <c r="BB142" s="42">
        <v>0.19267145253026519</v>
      </c>
      <c r="BC142" s="42">
        <v>0</v>
      </c>
      <c r="BD142" s="42">
        <v>0</v>
      </c>
      <c r="BE142" s="42">
        <v>0.88399357593866035</v>
      </c>
      <c r="BF142" s="42">
        <v>0.24112572030591958</v>
      </c>
      <c r="BG142" s="42">
        <v>2.6841561309562412</v>
      </c>
      <c r="BH142" s="244">
        <v>3.666110669642066</v>
      </c>
      <c r="BI142" s="42">
        <v>4.0344101445083576</v>
      </c>
      <c r="BJ142" s="42">
        <v>9.3229082136397672</v>
      </c>
      <c r="BK142" s="42">
        <v>0</v>
      </c>
      <c r="BL142" s="42">
        <v>38.182333724127623</v>
      </c>
      <c r="BM142" s="42">
        <v>51.539652082275744</v>
      </c>
      <c r="BN142" s="42">
        <v>0.69132212340839516</v>
      </c>
      <c r="BO142" s="42">
        <v>0</v>
      </c>
      <c r="BP142" s="42">
        <v>0.19267145253026519</v>
      </c>
      <c r="BQ142" s="42">
        <v>0</v>
      </c>
      <c r="BR142" s="42">
        <v>0</v>
      </c>
      <c r="BS142" s="42">
        <v>0</v>
      </c>
      <c r="BT142" s="42">
        <v>0</v>
      </c>
      <c r="BU142" s="42">
        <v>0</v>
      </c>
      <c r="BV142" s="42">
        <v>0</v>
      </c>
      <c r="BW142" s="42">
        <v>0</v>
      </c>
      <c r="BX142" s="42">
        <v>0.93039152017173277</v>
      </c>
      <c r="BY142" s="42"/>
      <c r="BZ142" s="42">
        <v>0</v>
      </c>
      <c r="CA142" s="42">
        <v>0</v>
      </c>
      <c r="CB142" s="42">
        <v>0.88399357593866035</v>
      </c>
      <c r="CC142" s="42">
        <v>0.93039152017173277</v>
      </c>
      <c r="CD142" s="245">
        <v>0.95013073181867758</v>
      </c>
      <c r="CE142" s="42">
        <v>40.866489855083863</v>
      </c>
      <c r="CF142" s="42">
        <v>1.2618917191207092E-2</v>
      </c>
      <c r="CG142" s="42">
        <v>0</v>
      </c>
      <c r="CH142" s="42">
        <v>1.2618917191207092E-2</v>
      </c>
      <c r="CI142" s="42">
        <v>6.3093988890408354E-4</v>
      </c>
      <c r="CJ142" s="42">
        <v>0</v>
      </c>
      <c r="CK142" s="42">
        <v>6.3093988890408354E-4</v>
      </c>
      <c r="CL142" s="42"/>
      <c r="CM142" s="42">
        <v>0</v>
      </c>
      <c r="CN142" s="42" t="s">
        <v>785</v>
      </c>
      <c r="CO142" s="42">
        <v>0</v>
      </c>
      <c r="CP142" s="42">
        <v>0</v>
      </c>
      <c r="CQ142" s="42">
        <v>0</v>
      </c>
      <c r="CR142" s="42">
        <v>0</v>
      </c>
      <c r="CS142" s="42">
        <v>0</v>
      </c>
      <c r="CT142" s="42">
        <v>0</v>
      </c>
      <c r="CU142" s="42">
        <v>0</v>
      </c>
      <c r="CV142" s="42">
        <v>9999</v>
      </c>
      <c r="CW142" s="244">
        <v>9999</v>
      </c>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row>
    <row r="143" spans="1:131">
      <c r="A143" s="18" t="s">
        <v>524</v>
      </c>
      <c r="B143" s="18" t="s">
        <v>578</v>
      </c>
      <c r="C143" s="42">
        <v>7</v>
      </c>
      <c r="D143" s="42">
        <v>13.848477366054594</v>
      </c>
      <c r="E143" s="42">
        <v>0</v>
      </c>
      <c r="F143" s="42">
        <v>4.0924508520609715</v>
      </c>
      <c r="G143" s="42">
        <v>0</v>
      </c>
      <c r="H143" s="42">
        <v>0</v>
      </c>
      <c r="I143" s="42" t="s">
        <v>920</v>
      </c>
      <c r="J143" s="42"/>
      <c r="K143" s="42"/>
      <c r="L143" s="42">
        <v>14.884278503775372</v>
      </c>
      <c r="M143" s="42">
        <v>2.798041480234353E-3</v>
      </c>
      <c r="N143" s="42">
        <v>2.7778464715937541E-3</v>
      </c>
      <c r="O143" s="42">
        <v>0</v>
      </c>
      <c r="P143" s="42">
        <v>0</v>
      </c>
      <c r="Q143" s="42">
        <v>0</v>
      </c>
      <c r="R143" s="42">
        <v>0.81608936891455475</v>
      </c>
      <c r="S143" s="42">
        <v>1.885858405069216</v>
      </c>
      <c r="T143" s="42">
        <v>0</v>
      </c>
      <c r="U143" s="42">
        <v>7.7236065537420675</v>
      </c>
      <c r="V143" s="42" t="s">
        <v>752</v>
      </c>
      <c r="W143" s="42" t="s">
        <v>752</v>
      </c>
      <c r="X143" s="42" t="s">
        <v>752</v>
      </c>
      <c r="Y143" s="42" t="s">
        <v>752</v>
      </c>
      <c r="Z143" s="42">
        <v>0</v>
      </c>
      <c r="AA143" s="42">
        <v>0</v>
      </c>
      <c r="AB143" s="42">
        <v>0</v>
      </c>
      <c r="AC143" s="42">
        <v>0</v>
      </c>
      <c r="AD143" s="42">
        <v>0</v>
      </c>
      <c r="AE143" s="42">
        <v>0</v>
      </c>
      <c r="AF143" s="42">
        <v>0</v>
      </c>
      <c r="AG143" s="42">
        <v>0</v>
      </c>
      <c r="AH143" s="42">
        <v>0.81608936891455475</v>
      </c>
      <c r="AI143" s="42">
        <v>1.885858405069216</v>
      </c>
      <c r="AJ143" s="42">
        <v>0</v>
      </c>
      <c r="AK143" s="42">
        <v>7.7236065537420675</v>
      </c>
      <c r="AL143" s="42">
        <v>10.425554327725838</v>
      </c>
      <c r="AM143" s="42">
        <v>7.7466488024553826</v>
      </c>
      <c r="AN143" s="42">
        <v>0.98868371792167387</v>
      </c>
      <c r="AO143" s="42">
        <v>0</v>
      </c>
      <c r="AP143" s="42">
        <v>0</v>
      </c>
      <c r="AQ143" s="42">
        <v>8.7353325203770567</v>
      </c>
      <c r="AR143" s="42">
        <v>0.81608936891455475</v>
      </c>
      <c r="AS143" s="244">
        <v>10.703892065149121</v>
      </c>
      <c r="AT143" s="42">
        <v>7.7466488024553826</v>
      </c>
      <c r="AU143" s="42">
        <v>1.1703070426404598</v>
      </c>
      <c r="AV143" s="42">
        <v>0</v>
      </c>
      <c r="AW143" s="42">
        <v>0</v>
      </c>
      <c r="AX143" s="42">
        <v>8.9169558450958419</v>
      </c>
      <c r="AY143" s="42">
        <v>1.885858405069216</v>
      </c>
      <c r="AZ143" s="244">
        <v>4.7283273341874077</v>
      </c>
      <c r="BA143" s="42">
        <v>7.7466488024553826</v>
      </c>
      <c r="BB143" s="42">
        <v>2.1589907605621335</v>
      </c>
      <c r="BC143" s="42">
        <v>0</v>
      </c>
      <c r="BD143" s="42">
        <v>0</v>
      </c>
      <c r="BE143" s="42">
        <v>9.905639563017516</v>
      </c>
      <c r="BF143" s="42">
        <v>2.701947773983771</v>
      </c>
      <c r="BG143" s="42">
        <v>2.6841561309562452</v>
      </c>
      <c r="BH143" s="244">
        <v>3.6661106696420602</v>
      </c>
      <c r="BI143" s="42">
        <v>4.0344101445083576</v>
      </c>
      <c r="BJ143" s="42">
        <v>9.3229082136397672</v>
      </c>
      <c r="BK143" s="42">
        <v>0</v>
      </c>
      <c r="BL143" s="42">
        <v>38.182333724127623</v>
      </c>
      <c r="BM143" s="42">
        <v>51.539652082275751</v>
      </c>
      <c r="BN143" s="42">
        <v>7.7466488024553826</v>
      </c>
      <c r="BO143" s="42">
        <v>0</v>
      </c>
      <c r="BP143" s="42">
        <v>2.1589907605621335</v>
      </c>
      <c r="BQ143" s="42">
        <v>0</v>
      </c>
      <c r="BR143" s="42">
        <v>0</v>
      </c>
      <c r="BS143" s="42">
        <v>0</v>
      </c>
      <c r="BT143" s="42">
        <v>0</v>
      </c>
      <c r="BU143" s="42">
        <v>0</v>
      </c>
      <c r="BV143" s="42">
        <v>0</v>
      </c>
      <c r="BW143" s="42">
        <v>0</v>
      </c>
      <c r="BX143" s="42">
        <v>10.425554327725838</v>
      </c>
      <c r="BY143" s="42"/>
      <c r="BZ143" s="42">
        <v>0</v>
      </c>
      <c r="CA143" s="42">
        <v>0</v>
      </c>
      <c r="CB143" s="42">
        <v>9.905639563017516</v>
      </c>
      <c r="CC143" s="42">
        <v>10.425554327725838</v>
      </c>
      <c r="CD143" s="245">
        <v>0.95013073181867613</v>
      </c>
      <c r="CE143" s="42">
        <v>40.86648985508387</v>
      </c>
      <c r="CF143" s="42">
        <v>0.14140198387633579</v>
      </c>
      <c r="CG143" s="42">
        <v>0</v>
      </c>
      <c r="CH143" s="42">
        <v>0.14140198387633579</v>
      </c>
      <c r="CI143" s="42">
        <v>7.0700322892932998E-3</v>
      </c>
      <c r="CJ143" s="42">
        <v>0</v>
      </c>
      <c r="CK143" s="42">
        <v>7.0700322892932998E-3</v>
      </c>
      <c r="CL143" s="42"/>
      <c r="CM143" s="42">
        <v>0</v>
      </c>
      <c r="CN143" s="42" t="s">
        <v>785</v>
      </c>
      <c r="CO143" s="42">
        <v>0</v>
      </c>
      <c r="CP143" s="42">
        <v>0</v>
      </c>
      <c r="CQ143" s="42">
        <v>0</v>
      </c>
      <c r="CR143" s="42">
        <v>0</v>
      </c>
      <c r="CS143" s="42">
        <v>0</v>
      </c>
      <c r="CT143" s="42">
        <v>0</v>
      </c>
      <c r="CU143" s="42">
        <v>0</v>
      </c>
      <c r="CV143" s="42">
        <v>9999</v>
      </c>
      <c r="CW143" s="244">
        <v>9999</v>
      </c>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row>
    <row r="144" spans="1:131">
      <c r="A144" s="18"/>
      <c r="B144" s="18"/>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c r="BM144" s="42"/>
      <c r="BN144" s="42"/>
      <c r="BO144" s="42"/>
      <c r="BP144" s="42"/>
      <c r="BQ144" s="42"/>
      <c r="BR144" s="42"/>
      <c r="BS144" s="42"/>
      <c r="BT144" s="42"/>
      <c r="BU144" s="42"/>
      <c r="BV144" s="42"/>
      <c r="BW144" s="42"/>
      <c r="BX144" s="42"/>
      <c r="BY144" s="42"/>
      <c r="BZ144" s="42"/>
      <c r="CA144" s="42"/>
      <c r="CB144" s="42"/>
      <c r="CC144" s="42"/>
      <c r="CD144" s="42"/>
      <c r="CE144" s="42"/>
      <c r="CF144" s="42"/>
      <c r="CG144" s="42"/>
      <c r="CH144" s="42"/>
      <c r="CI144" s="42"/>
      <c r="CJ144" s="42"/>
      <c r="CK144" s="42"/>
      <c r="CL144" s="42"/>
      <c r="CM144" s="42"/>
      <c r="CN144" s="42"/>
      <c r="CO144" s="42"/>
      <c r="CP144" s="42"/>
      <c r="CQ144" s="42"/>
      <c r="CR144" s="42"/>
      <c r="CS144" s="42"/>
      <c r="CT144" s="42"/>
      <c r="CU144" s="42"/>
      <c r="CV144" s="42"/>
      <c r="CW144" s="42"/>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row>
    <row r="145" spans="1:131">
      <c r="A145" s="18"/>
      <c r="B145" s="18"/>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42"/>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row>
    <row r="146" spans="1:131" ht="13.5" thickBot="1">
      <c r="A146" s="222" t="s">
        <v>753</v>
      </c>
      <c r="B146" s="224"/>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2"/>
      <c r="AJ146" s="42"/>
      <c r="AK146" s="42"/>
      <c r="AL146" s="42"/>
      <c r="AM146" s="42"/>
      <c r="AN146" s="42"/>
      <c r="AO146" s="42"/>
      <c r="AP146" s="42"/>
      <c r="AQ146" s="42"/>
      <c r="AR146" s="42"/>
      <c r="AS146" s="42"/>
      <c r="AT146" s="42"/>
      <c r="AU146" s="42"/>
      <c r="AV146" s="42"/>
      <c r="AW146" s="42"/>
      <c r="AX146" s="42"/>
      <c r="AY146" s="42"/>
      <c r="AZ146" s="42"/>
      <c r="BA146" s="42"/>
      <c r="BB146" s="42"/>
      <c r="BC146" s="42"/>
      <c r="BD146" s="42"/>
      <c r="BE146" s="42"/>
      <c r="BF146" s="42"/>
      <c r="BG146" s="42"/>
      <c r="BH146" s="42"/>
      <c r="BI146" s="42"/>
      <c r="BJ146" s="42"/>
      <c r="BK146" s="42"/>
      <c r="BL146" s="42"/>
      <c r="BM146" s="42"/>
      <c r="BN146" s="42"/>
      <c r="BO146" s="42"/>
      <c r="BP146" s="42"/>
      <c r="BQ146" s="42"/>
      <c r="BR146" s="42"/>
      <c r="BS146" s="42"/>
      <c r="BT146" s="42"/>
      <c r="BU146" s="42"/>
      <c r="BV146" s="42"/>
      <c r="BW146" s="42"/>
      <c r="BX146" s="42"/>
      <c r="BY146" s="42"/>
      <c r="BZ146" s="42"/>
      <c r="CA146" s="42"/>
      <c r="CB146" s="42"/>
      <c r="CC146" s="42"/>
      <c r="CD146" s="42"/>
      <c r="CE146" s="42"/>
      <c r="CF146" s="42"/>
      <c r="CG146" s="42"/>
      <c r="CH146" s="42"/>
      <c r="CI146" s="42"/>
      <c r="CJ146" s="42"/>
      <c r="CK146" s="42"/>
      <c r="CL146" s="42"/>
      <c r="CM146" s="42"/>
      <c r="CN146" s="42"/>
      <c r="CO146" s="42"/>
      <c r="CP146" s="42"/>
      <c r="CQ146" s="42"/>
      <c r="CR146" s="42"/>
      <c r="CS146" s="42"/>
      <c r="CT146" s="42"/>
      <c r="CU146" s="42"/>
      <c r="CV146" s="42"/>
      <c r="CW146" s="42"/>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row>
    <row r="147" spans="1:131" ht="26.25" thickBot="1">
      <c r="A147" s="234" t="s">
        <v>653</v>
      </c>
      <c r="B147" s="235"/>
      <c r="C147" s="236" t="s">
        <v>654</v>
      </c>
      <c r="D147" s="237"/>
      <c r="E147" s="237"/>
      <c r="F147" s="237"/>
      <c r="G147" s="237"/>
      <c r="H147" s="237"/>
      <c r="I147" s="237"/>
      <c r="J147" s="237"/>
      <c r="K147" s="238"/>
      <c r="L147" s="236" t="s">
        <v>655</v>
      </c>
      <c r="M147" s="237"/>
      <c r="N147" s="237"/>
      <c r="O147" s="237"/>
      <c r="P147" s="237"/>
      <c r="Q147" s="238"/>
      <c r="R147" s="236" t="s">
        <v>656</v>
      </c>
      <c r="S147" s="237"/>
      <c r="T147" s="237"/>
      <c r="U147" s="238"/>
      <c r="V147" s="236" t="s">
        <v>657</v>
      </c>
      <c r="W147" s="237"/>
      <c r="X147" s="237"/>
      <c r="Y147" s="238"/>
      <c r="Z147" s="236" t="s">
        <v>658</v>
      </c>
      <c r="AA147" s="237"/>
      <c r="AB147" s="237"/>
      <c r="AC147" s="238"/>
      <c r="AD147" s="236" t="s">
        <v>659</v>
      </c>
      <c r="AE147" s="237"/>
      <c r="AF147" s="237"/>
      <c r="AG147" s="238"/>
      <c r="AH147" s="236" t="s">
        <v>660</v>
      </c>
      <c r="AI147" s="237"/>
      <c r="AJ147" s="237"/>
      <c r="AK147" s="237"/>
      <c r="AL147" s="238"/>
      <c r="AM147" s="236" t="s">
        <v>661</v>
      </c>
      <c r="AN147" s="237"/>
      <c r="AO147" s="237"/>
      <c r="AP147" s="237"/>
      <c r="AQ147" s="237"/>
      <c r="AR147" s="237"/>
      <c r="AS147" s="238"/>
      <c r="AT147" s="236" t="s">
        <v>662</v>
      </c>
      <c r="AU147" s="237"/>
      <c r="AV147" s="237"/>
      <c r="AW147" s="237"/>
      <c r="AX147" s="237"/>
      <c r="AY147" s="237"/>
      <c r="AZ147" s="238"/>
      <c r="BA147" s="236" t="s">
        <v>663</v>
      </c>
      <c r="BB147" s="237"/>
      <c r="BC147" s="237"/>
      <c r="BD147" s="237"/>
      <c r="BE147" s="237"/>
      <c r="BF147" s="238"/>
      <c r="BG147" s="236" t="s">
        <v>664</v>
      </c>
      <c r="BH147" s="238"/>
      <c r="BI147" s="236" t="s">
        <v>665</v>
      </c>
      <c r="BJ147" s="237"/>
      <c r="BK147" s="237"/>
      <c r="BL147" s="237"/>
      <c r="BM147" s="238"/>
      <c r="BN147" s="236" t="s">
        <v>666</v>
      </c>
      <c r="BO147" s="237"/>
      <c r="BP147" s="237"/>
      <c r="BQ147" s="237"/>
      <c r="BR147" s="237"/>
      <c r="BS147" s="237"/>
      <c r="BT147" s="237"/>
      <c r="BU147" s="237"/>
      <c r="BV147" s="237"/>
      <c r="BW147" s="237"/>
      <c r="BX147" s="237"/>
      <c r="BY147" s="237"/>
      <c r="BZ147" s="237"/>
      <c r="CA147" s="237"/>
      <c r="CB147" s="237"/>
      <c r="CC147" s="238"/>
      <c r="CD147" s="236" t="s">
        <v>667</v>
      </c>
      <c r="CE147" s="238"/>
      <c r="CF147" s="236" t="s">
        <v>668</v>
      </c>
      <c r="CG147" s="237"/>
      <c r="CH147" s="237"/>
      <c r="CI147" s="237"/>
      <c r="CJ147" s="237"/>
      <c r="CK147" s="238"/>
      <c r="CL147" s="239"/>
      <c r="CM147" s="236" t="s">
        <v>203</v>
      </c>
      <c r="CN147" s="237"/>
      <c r="CO147" s="237"/>
      <c r="CP147" s="238"/>
      <c r="CQ147" s="236" t="s">
        <v>669</v>
      </c>
      <c r="CR147" s="237"/>
      <c r="CS147" s="237"/>
      <c r="CT147" s="237"/>
      <c r="CU147" s="238"/>
      <c r="CV147" s="236" t="s">
        <v>670</v>
      </c>
      <c r="CW147" s="23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row>
    <row r="148" spans="1:131" ht="216.75">
      <c r="A148" s="240" t="s">
        <v>671</v>
      </c>
      <c r="B148" s="241" t="s">
        <v>672</v>
      </c>
      <c r="C148" s="242" t="s">
        <v>21</v>
      </c>
      <c r="D148" s="242" t="s">
        <v>673</v>
      </c>
      <c r="E148" s="242" t="s">
        <v>674</v>
      </c>
      <c r="F148" s="242" t="s">
        <v>675</v>
      </c>
      <c r="G148" s="242" t="s">
        <v>676</v>
      </c>
      <c r="H148" s="242" t="s">
        <v>677</v>
      </c>
      <c r="I148" s="242" t="s">
        <v>678</v>
      </c>
      <c r="J148" s="242" t="s">
        <v>679</v>
      </c>
      <c r="K148" s="242" t="s">
        <v>680</v>
      </c>
      <c r="L148" s="242" t="s">
        <v>681</v>
      </c>
      <c r="M148" s="242" t="s">
        <v>682</v>
      </c>
      <c r="N148" s="242" t="s">
        <v>683</v>
      </c>
      <c r="O148" s="242" t="s">
        <v>684</v>
      </c>
      <c r="P148" s="242" t="s">
        <v>685</v>
      </c>
      <c r="Q148" s="242" t="s">
        <v>686</v>
      </c>
      <c r="R148" s="242" t="s">
        <v>687</v>
      </c>
      <c r="S148" s="242" t="s">
        <v>688</v>
      </c>
      <c r="T148" s="242" t="s">
        <v>689</v>
      </c>
      <c r="U148" s="242" t="s">
        <v>593</v>
      </c>
      <c r="V148" s="242" t="s">
        <v>687</v>
      </c>
      <c r="W148" s="242" t="s">
        <v>688</v>
      </c>
      <c r="X148" s="242" t="s">
        <v>689</v>
      </c>
      <c r="Y148" s="242" t="s">
        <v>593</v>
      </c>
      <c r="Z148" s="242" t="s">
        <v>687</v>
      </c>
      <c r="AA148" s="242" t="s">
        <v>688</v>
      </c>
      <c r="AB148" s="242" t="s">
        <v>689</v>
      </c>
      <c r="AC148" s="242" t="s">
        <v>593</v>
      </c>
      <c r="AD148" s="242" t="s">
        <v>687</v>
      </c>
      <c r="AE148" s="242" t="s">
        <v>688</v>
      </c>
      <c r="AF148" s="242" t="s">
        <v>689</v>
      </c>
      <c r="AG148" s="242" t="s">
        <v>593</v>
      </c>
      <c r="AH148" s="242" t="s">
        <v>687</v>
      </c>
      <c r="AI148" s="242" t="s">
        <v>688</v>
      </c>
      <c r="AJ148" s="242" t="s">
        <v>689</v>
      </c>
      <c r="AK148" s="242" t="s">
        <v>593</v>
      </c>
      <c r="AL148" s="242" t="s">
        <v>27</v>
      </c>
      <c r="AM148" s="242" t="s">
        <v>690</v>
      </c>
      <c r="AN148" s="242" t="s">
        <v>691</v>
      </c>
      <c r="AO148" s="242" t="s">
        <v>692</v>
      </c>
      <c r="AP148" s="242" t="s">
        <v>693</v>
      </c>
      <c r="AQ148" s="242" t="s">
        <v>694</v>
      </c>
      <c r="AR148" s="242" t="s">
        <v>695</v>
      </c>
      <c r="AS148" s="242" t="s">
        <v>696</v>
      </c>
      <c r="AT148" s="242" t="s">
        <v>697</v>
      </c>
      <c r="AU148" s="242" t="s">
        <v>698</v>
      </c>
      <c r="AV148" s="242" t="s">
        <v>699</v>
      </c>
      <c r="AW148" s="242" t="s">
        <v>700</v>
      </c>
      <c r="AX148" s="242" t="s">
        <v>701</v>
      </c>
      <c r="AY148" s="242" t="s">
        <v>702</v>
      </c>
      <c r="AZ148" s="242" t="s">
        <v>703</v>
      </c>
      <c r="BA148" s="242" t="s">
        <v>704</v>
      </c>
      <c r="BB148" s="242" t="s">
        <v>705</v>
      </c>
      <c r="BC148" s="242" t="s">
        <v>706</v>
      </c>
      <c r="BD148" s="242" t="s">
        <v>707</v>
      </c>
      <c r="BE148" s="242" t="s">
        <v>708</v>
      </c>
      <c r="BF148" s="242" t="s">
        <v>709</v>
      </c>
      <c r="BG148" s="242" t="s">
        <v>710</v>
      </c>
      <c r="BH148" s="242" t="s">
        <v>711</v>
      </c>
      <c r="BI148" s="242" t="s">
        <v>712</v>
      </c>
      <c r="BJ148" s="242" t="s">
        <v>713</v>
      </c>
      <c r="BK148" s="242" t="s">
        <v>714</v>
      </c>
      <c r="BL148" s="242" t="s">
        <v>715</v>
      </c>
      <c r="BM148" s="242" t="s">
        <v>716</v>
      </c>
      <c r="BN148" s="242" t="s">
        <v>717</v>
      </c>
      <c r="BO148" s="242" t="s">
        <v>718</v>
      </c>
      <c r="BP148" s="242" t="s">
        <v>719</v>
      </c>
      <c r="BQ148" s="242" t="s">
        <v>720</v>
      </c>
      <c r="BR148" s="242" t="s">
        <v>721</v>
      </c>
      <c r="BS148" s="242" t="s">
        <v>722</v>
      </c>
      <c r="BT148" s="242" t="s">
        <v>723</v>
      </c>
      <c r="BU148" s="242" t="s">
        <v>724</v>
      </c>
      <c r="BV148" s="242" t="s">
        <v>725</v>
      </c>
      <c r="BW148" s="242" t="s">
        <v>726</v>
      </c>
      <c r="BX148" s="242" t="s">
        <v>727</v>
      </c>
      <c r="BY148" s="242" t="s">
        <v>728</v>
      </c>
      <c r="BZ148" s="242" t="s">
        <v>729</v>
      </c>
      <c r="CA148" s="242" t="s">
        <v>730</v>
      </c>
      <c r="CB148" s="242" t="s">
        <v>731</v>
      </c>
      <c r="CC148" s="242" t="s">
        <v>732</v>
      </c>
      <c r="CD148" s="242" t="s">
        <v>733</v>
      </c>
      <c r="CE148" s="242" t="s">
        <v>734</v>
      </c>
      <c r="CF148" s="242" t="s">
        <v>735</v>
      </c>
      <c r="CG148" s="242" t="s">
        <v>736</v>
      </c>
      <c r="CH148" s="242" t="s">
        <v>737</v>
      </c>
      <c r="CI148" s="242" t="s">
        <v>738</v>
      </c>
      <c r="CJ148" s="242" t="s">
        <v>739</v>
      </c>
      <c r="CK148" s="242" t="s">
        <v>740</v>
      </c>
      <c r="CL148" s="242"/>
      <c r="CM148" s="242" t="s">
        <v>741</v>
      </c>
      <c r="CN148" s="242" t="s">
        <v>742</v>
      </c>
      <c r="CO148" s="242" t="s">
        <v>743</v>
      </c>
      <c r="CP148" s="242" t="s">
        <v>744</v>
      </c>
      <c r="CQ148" s="242" t="s">
        <v>745</v>
      </c>
      <c r="CR148" s="242" t="s">
        <v>746</v>
      </c>
      <c r="CS148" s="242" t="s">
        <v>747</v>
      </c>
      <c r="CT148" s="242" t="s">
        <v>748</v>
      </c>
      <c r="CU148" s="242" t="s">
        <v>749</v>
      </c>
      <c r="CV148" s="242" t="s">
        <v>750</v>
      </c>
      <c r="CW148" s="242" t="s">
        <v>751</v>
      </c>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row>
    <row r="149" spans="1:131">
      <c r="A149" s="18" t="s">
        <v>518</v>
      </c>
      <c r="B149" s="18"/>
      <c r="C149" s="42">
        <v>0</v>
      </c>
      <c r="D149" s="42">
        <v>0</v>
      </c>
      <c r="E149" s="42">
        <v>0</v>
      </c>
      <c r="F149" s="42">
        <v>0</v>
      </c>
      <c r="G149" s="42">
        <v>0</v>
      </c>
      <c r="H149" s="42">
        <v>0</v>
      </c>
      <c r="I149" s="42"/>
      <c r="J149" s="42"/>
      <c r="K149" s="42"/>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2">
        <v>0</v>
      </c>
      <c r="AC149" s="42">
        <v>0</v>
      </c>
      <c r="AD149" s="42">
        <v>0</v>
      </c>
      <c r="AE149" s="42">
        <v>0</v>
      </c>
      <c r="AF149" s="42">
        <v>0</v>
      </c>
      <c r="AG149" s="42">
        <v>0</v>
      </c>
      <c r="AH149" s="42">
        <v>0</v>
      </c>
      <c r="AI149" s="42">
        <v>0</v>
      </c>
      <c r="AJ149" s="42">
        <v>0</v>
      </c>
      <c r="AK149" s="42">
        <v>0</v>
      </c>
      <c r="AL149" s="42">
        <v>0</v>
      </c>
      <c r="AM149" s="42">
        <v>0</v>
      </c>
      <c r="AN149" s="42">
        <v>0</v>
      </c>
      <c r="AO149" s="42">
        <v>0</v>
      </c>
      <c r="AP149" s="42">
        <v>0</v>
      </c>
      <c r="AQ149" s="42">
        <v>0</v>
      </c>
      <c r="AR149" s="42">
        <v>0</v>
      </c>
      <c r="AS149" s="244">
        <v>9999</v>
      </c>
      <c r="AT149" s="42">
        <v>0</v>
      </c>
      <c r="AU149" s="42">
        <v>0</v>
      </c>
      <c r="AV149" s="42">
        <v>0</v>
      </c>
      <c r="AW149" s="42">
        <v>0</v>
      </c>
      <c r="AX149" s="42">
        <v>0</v>
      </c>
      <c r="AY149" s="42">
        <v>0</v>
      </c>
      <c r="AZ149" s="244">
        <v>9999</v>
      </c>
      <c r="BA149" s="42">
        <v>0</v>
      </c>
      <c r="BB149" s="42">
        <v>0</v>
      </c>
      <c r="BC149" s="42">
        <v>0</v>
      </c>
      <c r="BD149" s="42">
        <v>0</v>
      </c>
      <c r="BE149" s="42">
        <v>0</v>
      </c>
      <c r="BF149" s="42">
        <v>0</v>
      </c>
      <c r="BG149" s="42">
        <v>9999</v>
      </c>
      <c r="BH149" s="244">
        <v>9999</v>
      </c>
      <c r="BI149" s="42">
        <v>9999</v>
      </c>
      <c r="BJ149" s="42">
        <v>9999</v>
      </c>
      <c r="BK149" s="42">
        <v>9999</v>
      </c>
      <c r="BL149" s="42">
        <v>9999</v>
      </c>
      <c r="BM149" s="42">
        <v>9999</v>
      </c>
      <c r="BN149" s="42">
        <v>0</v>
      </c>
      <c r="BO149" s="42">
        <v>0</v>
      </c>
      <c r="BP149" s="42">
        <v>0</v>
      </c>
      <c r="BQ149" s="42">
        <v>0</v>
      </c>
      <c r="BR149" s="42">
        <v>0</v>
      </c>
      <c r="BS149" s="42">
        <v>0</v>
      </c>
      <c r="BT149" s="42">
        <v>0</v>
      </c>
      <c r="BU149" s="42">
        <v>0</v>
      </c>
      <c r="BV149" s="42">
        <v>0</v>
      </c>
      <c r="BW149" s="42">
        <v>0</v>
      </c>
      <c r="BX149" s="42">
        <v>0</v>
      </c>
      <c r="BY149" s="42">
        <v>0</v>
      </c>
      <c r="BZ149" s="42">
        <v>0</v>
      </c>
      <c r="CA149" s="42">
        <v>0</v>
      </c>
      <c r="CB149" s="42">
        <v>0</v>
      </c>
      <c r="CC149" s="42">
        <v>0</v>
      </c>
      <c r="CD149" s="244">
        <v>9999</v>
      </c>
      <c r="CE149" s="42">
        <v>9999</v>
      </c>
      <c r="CF149" s="42">
        <v>0</v>
      </c>
      <c r="CG149" s="42">
        <v>0</v>
      </c>
      <c r="CH149" s="42">
        <v>0</v>
      </c>
      <c r="CI149" s="42">
        <v>0</v>
      </c>
      <c r="CJ149" s="42">
        <v>0</v>
      </c>
      <c r="CK149" s="42">
        <v>0</v>
      </c>
      <c r="CL149" s="42"/>
      <c r="CM149" s="42">
        <v>0</v>
      </c>
      <c r="CN149" s="42"/>
      <c r="CO149" s="42">
        <v>0</v>
      </c>
      <c r="CP149" s="42">
        <v>0</v>
      </c>
      <c r="CQ149" s="42">
        <v>0</v>
      </c>
      <c r="CR149" s="42">
        <v>0</v>
      </c>
      <c r="CS149" s="42">
        <v>0</v>
      </c>
      <c r="CT149" s="42">
        <v>0</v>
      </c>
      <c r="CU149" s="42">
        <v>0</v>
      </c>
      <c r="CV149" s="42">
        <v>9999</v>
      </c>
      <c r="CW149" s="244">
        <v>9999</v>
      </c>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row>
    <row r="150" spans="1:131">
      <c r="A150" s="18" t="s">
        <v>521</v>
      </c>
      <c r="B150" s="18"/>
      <c r="C150" s="42">
        <v>7</v>
      </c>
      <c r="D150" s="42">
        <v>1449.4619270337571</v>
      </c>
      <c r="E150" s="42">
        <v>46.60743416867669</v>
      </c>
      <c r="F150" s="42">
        <v>237.9664622054969</v>
      </c>
      <c r="G150" s="42">
        <v>0</v>
      </c>
      <c r="H150" s="42">
        <v>0</v>
      </c>
      <c r="I150" s="42"/>
      <c r="J150" s="42"/>
      <c r="K150" s="42"/>
      <c r="L150" s="42">
        <v>1557.8748791164633</v>
      </c>
      <c r="M150" s="42">
        <v>0.29285924283647941</v>
      </c>
      <c r="N150" s="42">
        <v>0.29074551615253241</v>
      </c>
      <c r="O150" s="42">
        <v>47.073507458188551</v>
      </c>
      <c r="P150" s="42">
        <v>0</v>
      </c>
      <c r="Q150" s="42">
        <v>0</v>
      </c>
      <c r="R150" s="42">
        <v>47.45369143927838</v>
      </c>
      <c r="S150" s="42">
        <v>109.658263250448</v>
      </c>
      <c r="T150" s="42">
        <v>0</v>
      </c>
      <c r="U150" s="42">
        <v>449.10968842437956</v>
      </c>
      <c r="V150" s="42">
        <v>14.277987732329814</v>
      </c>
      <c r="W150" s="42">
        <v>33.31530470876956</v>
      </c>
      <c r="X150" s="42">
        <v>0</v>
      </c>
      <c r="Y150" s="42">
        <v>0</v>
      </c>
      <c r="Z150" s="42">
        <v>0</v>
      </c>
      <c r="AA150" s="42">
        <v>0</v>
      </c>
      <c r="AB150" s="42">
        <v>0</v>
      </c>
      <c r="AC150" s="42">
        <v>0</v>
      </c>
      <c r="AD150" s="42">
        <v>0</v>
      </c>
      <c r="AE150" s="42">
        <v>0</v>
      </c>
      <c r="AF150" s="42">
        <v>0</v>
      </c>
      <c r="AG150" s="42">
        <v>0</v>
      </c>
      <c r="AH150" s="42">
        <v>61.731679171608192</v>
      </c>
      <c r="AI150" s="42">
        <v>142.97356795921758</v>
      </c>
      <c r="AJ150" s="42">
        <v>0</v>
      </c>
      <c r="AK150" s="42">
        <v>449.10968842437956</v>
      </c>
      <c r="AL150" s="42">
        <v>653.81493555520535</v>
      </c>
      <c r="AM150" s="42">
        <v>810.80917450058359</v>
      </c>
      <c r="AN150" s="42">
        <v>103.48136976548525</v>
      </c>
      <c r="AO150" s="42">
        <v>0</v>
      </c>
      <c r="AP150" s="42">
        <v>0</v>
      </c>
      <c r="AQ150" s="42">
        <v>914.29054426606888</v>
      </c>
      <c r="AR150" s="42">
        <v>61.731679171608192</v>
      </c>
      <c r="AS150" s="244">
        <v>14.810718848655132</v>
      </c>
      <c r="AT150" s="42">
        <v>810.80917450058359</v>
      </c>
      <c r="AU150" s="42">
        <v>122.49111988331866</v>
      </c>
      <c r="AV150" s="42">
        <v>0</v>
      </c>
      <c r="AW150" s="42">
        <v>0</v>
      </c>
      <c r="AX150" s="42">
        <v>933.30029438390227</v>
      </c>
      <c r="AY150" s="42">
        <v>142.97356795921758</v>
      </c>
      <c r="AZ150" s="244">
        <v>6.5277820768250052</v>
      </c>
      <c r="BA150" s="42">
        <v>810.80917450058359</v>
      </c>
      <c r="BB150" s="42">
        <v>225.9724896488039</v>
      </c>
      <c r="BC150" s="42">
        <v>0</v>
      </c>
      <c r="BD150" s="42">
        <v>0</v>
      </c>
      <c r="BE150" s="42">
        <v>1036.7816641493876</v>
      </c>
      <c r="BF150" s="42">
        <v>204.70524713082577</v>
      </c>
      <c r="BG150" s="42">
        <v>-1.0044971840253172</v>
      </c>
      <c r="BH150" s="244">
        <v>5.0647537309426527</v>
      </c>
      <c r="BI150" s="42">
        <v>2.9157187557632587</v>
      </c>
      <c r="BJ150" s="42">
        <v>6.7529462874033079</v>
      </c>
      <c r="BK150" s="42">
        <v>0</v>
      </c>
      <c r="BL150" s="42">
        <v>21.212407624515347</v>
      </c>
      <c r="BM150" s="42">
        <v>30.881072667681913</v>
      </c>
      <c r="BN150" s="42">
        <v>810.80917450058359</v>
      </c>
      <c r="BO150" s="42">
        <v>305.92299659394473</v>
      </c>
      <c r="BP150" s="42">
        <v>225.9724896488039</v>
      </c>
      <c r="BQ150" s="42">
        <v>0</v>
      </c>
      <c r="BR150" s="42">
        <v>0</v>
      </c>
      <c r="BS150" s="42">
        <v>0</v>
      </c>
      <c r="BT150" s="42">
        <v>0</v>
      </c>
      <c r="BU150" s="42">
        <v>0</v>
      </c>
      <c r="BV150" s="42">
        <v>0</v>
      </c>
      <c r="BW150" s="42">
        <v>0</v>
      </c>
      <c r="BX150" s="42">
        <v>606.22164311410597</v>
      </c>
      <c r="BY150" s="42">
        <v>47.593292441099379</v>
      </c>
      <c r="BZ150" s="42">
        <v>0</v>
      </c>
      <c r="CA150" s="42">
        <v>0</v>
      </c>
      <c r="CB150" s="42">
        <v>1342.7046607433322</v>
      </c>
      <c r="CC150" s="42">
        <v>653.81493555520535</v>
      </c>
      <c r="CD150" s="244">
        <v>2.0536463572878412</v>
      </c>
      <c r="CE150" s="42">
        <v>5.758515397976617</v>
      </c>
      <c r="CF150" s="42">
        <v>14.799951403912473</v>
      </c>
      <c r="CG150" s="42">
        <v>5.5076003726080627</v>
      </c>
      <c r="CH150" s="42">
        <v>20.307551776520537</v>
      </c>
      <c r="CI150" s="42">
        <v>0.73999056758031989</v>
      </c>
      <c r="CJ150" s="42">
        <v>0.27538001863040296</v>
      </c>
      <c r="CK150" s="42">
        <v>1.015370586210723</v>
      </c>
      <c r="CL150" s="42"/>
      <c r="CM150" s="42">
        <v>47.073507458188551</v>
      </c>
      <c r="CN150" s="42"/>
      <c r="CO150" s="42">
        <v>0</v>
      </c>
      <c r="CP150" s="42">
        <v>0</v>
      </c>
      <c r="CQ150" s="42">
        <v>305.92299659394473</v>
      </c>
      <c r="CR150" s="42">
        <v>0</v>
      </c>
      <c r="CS150" s="42">
        <v>0</v>
      </c>
      <c r="CT150" s="42">
        <v>305.92299659394473</v>
      </c>
      <c r="CU150" s="42">
        <v>0</v>
      </c>
      <c r="CV150" s="42">
        <v>0</v>
      </c>
      <c r="CW150" s="244">
        <v>9999</v>
      </c>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row>
    <row r="151" spans="1:131">
      <c r="A151" s="18" t="s">
        <v>522</v>
      </c>
      <c r="B151" s="18"/>
      <c r="C151" s="42">
        <v>7</v>
      </c>
      <c r="D151" s="42">
        <v>109.76848447141326</v>
      </c>
      <c r="E151" s="42">
        <v>5.5313162624342294</v>
      </c>
      <c r="F151" s="42">
        <v>21.255916464149202</v>
      </c>
      <c r="G151" s="42">
        <v>0</v>
      </c>
      <c r="H151" s="42">
        <v>0</v>
      </c>
      <c r="I151" s="42"/>
      <c r="J151" s="42"/>
      <c r="K151" s="42"/>
      <c r="L151" s="42">
        <v>117.9786521379376</v>
      </c>
      <c r="M151" s="42">
        <v>2.217837850725227E-2</v>
      </c>
      <c r="N151" s="42">
        <v>2.2018304916938337E-2</v>
      </c>
      <c r="O151" s="42">
        <v>5.5866293001876732</v>
      </c>
      <c r="P151" s="42">
        <v>0</v>
      </c>
      <c r="Q151" s="42">
        <v>0</v>
      </c>
      <c r="R151" s="42">
        <v>4.2387136901576108</v>
      </c>
      <c r="S151" s="42">
        <v>9.7950226332413095</v>
      </c>
      <c r="T151" s="42">
        <v>0</v>
      </c>
      <c r="U151" s="42">
        <v>40.115896718861997</v>
      </c>
      <c r="V151" s="42">
        <v>1.2753549878489523</v>
      </c>
      <c r="W151" s="42">
        <v>2.975828304980888</v>
      </c>
      <c r="X151" s="42">
        <v>0</v>
      </c>
      <c r="Y151" s="42">
        <v>0</v>
      </c>
      <c r="Z151" s="42">
        <v>0</v>
      </c>
      <c r="AA151" s="42">
        <v>0</v>
      </c>
      <c r="AB151" s="42">
        <v>0</v>
      </c>
      <c r="AC151" s="42">
        <v>0</v>
      </c>
      <c r="AD151" s="42">
        <v>0</v>
      </c>
      <c r="AE151" s="42">
        <v>0</v>
      </c>
      <c r="AF151" s="42">
        <v>0</v>
      </c>
      <c r="AG151" s="42">
        <v>0</v>
      </c>
      <c r="AH151" s="42">
        <v>5.5140686780065629</v>
      </c>
      <c r="AI151" s="42">
        <v>12.770850938222198</v>
      </c>
      <c r="AJ151" s="42">
        <v>0</v>
      </c>
      <c r="AK151" s="42">
        <v>40.115896718861997</v>
      </c>
      <c r="AL151" s="42">
        <v>58.400816335090759</v>
      </c>
      <c r="AM151" s="42">
        <v>61.402988668065866</v>
      </c>
      <c r="AN151" s="42">
        <v>7.8366964446101637</v>
      </c>
      <c r="AO151" s="42">
        <v>0</v>
      </c>
      <c r="AP151" s="42">
        <v>0</v>
      </c>
      <c r="AQ151" s="42">
        <v>69.239685112676028</v>
      </c>
      <c r="AR151" s="42">
        <v>5.5140686780065629</v>
      </c>
      <c r="AS151" s="244">
        <v>12.556913806468483</v>
      </c>
      <c r="AT151" s="42">
        <v>61.402988668065866</v>
      </c>
      <c r="AU151" s="42">
        <v>9.2763144309101548</v>
      </c>
      <c r="AV151" s="42">
        <v>0</v>
      </c>
      <c r="AW151" s="42">
        <v>0</v>
      </c>
      <c r="AX151" s="42">
        <v>70.679303098976021</v>
      </c>
      <c r="AY151" s="42">
        <v>12.770850938222198</v>
      </c>
      <c r="AZ151" s="244">
        <v>5.534423934699463</v>
      </c>
      <c r="BA151" s="42">
        <v>61.402988668065866</v>
      </c>
      <c r="BB151" s="42">
        <v>17.113010875520317</v>
      </c>
      <c r="BC151" s="42">
        <v>0</v>
      </c>
      <c r="BD151" s="42">
        <v>0</v>
      </c>
      <c r="BE151" s="42">
        <v>78.51599954358619</v>
      </c>
      <c r="BF151" s="42">
        <v>18.284919616228759</v>
      </c>
      <c r="BG151" s="42">
        <v>0.73090423397893201</v>
      </c>
      <c r="BH151" s="244">
        <v>4.2940303371035551</v>
      </c>
      <c r="BI151" s="42">
        <v>3.4390528914130725</v>
      </c>
      <c r="BJ151" s="42">
        <v>7.9650135697577413</v>
      </c>
      <c r="BK151" s="42">
        <v>0</v>
      </c>
      <c r="BL151" s="42">
        <v>25.019762839171936</v>
      </c>
      <c r="BM151" s="42">
        <v>36.423829300342753</v>
      </c>
      <c r="BN151" s="42">
        <v>61.402988668065866</v>
      </c>
      <c r="BO151" s="42">
        <v>36.306586627116694</v>
      </c>
      <c r="BP151" s="42">
        <v>17.113010875520317</v>
      </c>
      <c r="BQ151" s="42">
        <v>0</v>
      </c>
      <c r="BR151" s="42">
        <v>0</v>
      </c>
      <c r="BS151" s="42">
        <v>0</v>
      </c>
      <c r="BT151" s="42">
        <v>0</v>
      </c>
      <c r="BU151" s="42">
        <v>0</v>
      </c>
      <c r="BV151" s="42">
        <v>0</v>
      </c>
      <c r="BW151" s="42">
        <v>0</v>
      </c>
      <c r="BX151" s="42">
        <v>54.149633042260916</v>
      </c>
      <c r="BY151" s="42">
        <v>4.2511832928298414</v>
      </c>
      <c r="BZ151" s="42">
        <v>0</v>
      </c>
      <c r="CA151" s="42">
        <v>0</v>
      </c>
      <c r="CB151" s="42">
        <v>114.82258617070289</v>
      </c>
      <c r="CC151" s="42">
        <v>58.400816335090759</v>
      </c>
      <c r="CD151" s="244">
        <v>1.9661126911630258</v>
      </c>
      <c r="CE151" s="42">
        <v>3.1067213756039616</v>
      </c>
      <c r="CF151" s="42">
        <v>1.1208078015423484</v>
      </c>
      <c r="CG151" s="42">
        <v>0.65363562812195708</v>
      </c>
      <c r="CH151" s="42">
        <v>1.7744434296643055</v>
      </c>
      <c r="CI151" s="42">
        <v>5.6039859765520346E-2</v>
      </c>
      <c r="CJ151" s="42">
        <v>3.2681781406097885E-2</v>
      </c>
      <c r="CK151" s="42">
        <v>8.8721641171618237E-2</v>
      </c>
      <c r="CL151" s="42"/>
      <c r="CM151" s="42">
        <v>5.5866293001876732</v>
      </c>
      <c r="CN151" s="42"/>
      <c r="CO151" s="42">
        <v>0</v>
      </c>
      <c r="CP151" s="42">
        <v>0</v>
      </c>
      <c r="CQ151" s="42">
        <v>36.306586627116694</v>
      </c>
      <c r="CR151" s="42">
        <v>0</v>
      </c>
      <c r="CS151" s="42">
        <v>0</v>
      </c>
      <c r="CT151" s="42">
        <v>36.306586627116694</v>
      </c>
      <c r="CU151" s="42">
        <v>0</v>
      </c>
      <c r="CV151" s="42">
        <v>0</v>
      </c>
      <c r="CW151" s="244">
        <v>9999</v>
      </c>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row>
    <row r="152" spans="1:131">
      <c r="A152" s="18" t="s">
        <v>517</v>
      </c>
      <c r="B152" s="18"/>
      <c r="C152" s="42">
        <v>7</v>
      </c>
      <c r="D152" s="42">
        <v>100.24581277330638</v>
      </c>
      <c r="E152" s="42">
        <v>4.6521612306307754</v>
      </c>
      <c r="F152" s="42">
        <v>23.907307322581289</v>
      </c>
      <c r="G152" s="42">
        <v>0</v>
      </c>
      <c r="H152" s="42">
        <v>0</v>
      </c>
      <c r="I152" s="42"/>
      <c r="J152" s="42"/>
      <c r="K152" s="42"/>
      <c r="L152" s="42">
        <v>107.74372927182733</v>
      </c>
      <c r="M152" s="42">
        <v>2.0254352514382571E-2</v>
      </c>
      <c r="N152" s="42">
        <v>2.0108165680868071E-2</v>
      </c>
      <c r="O152" s="42">
        <v>4.6986827379133373</v>
      </c>
      <c r="P152" s="42">
        <v>0</v>
      </c>
      <c r="Q152" s="42">
        <v>0</v>
      </c>
      <c r="R152" s="42">
        <v>4.7674364459395093</v>
      </c>
      <c r="S152" s="42">
        <v>11.016820503576087</v>
      </c>
      <c r="T152" s="42">
        <v>0</v>
      </c>
      <c r="U152" s="42">
        <v>45.119817486879263</v>
      </c>
      <c r="V152" s="42">
        <v>1.4344384393548772</v>
      </c>
      <c r="W152" s="42">
        <v>3.3470230251613806</v>
      </c>
      <c r="X152" s="42">
        <v>0</v>
      </c>
      <c r="Y152" s="42">
        <v>0</v>
      </c>
      <c r="Z152" s="42">
        <v>0</v>
      </c>
      <c r="AA152" s="42">
        <v>0</v>
      </c>
      <c r="AB152" s="42">
        <v>0</v>
      </c>
      <c r="AC152" s="42">
        <v>0</v>
      </c>
      <c r="AD152" s="42">
        <v>0</v>
      </c>
      <c r="AE152" s="42">
        <v>0</v>
      </c>
      <c r="AF152" s="42">
        <v>0</v>
      </c>
      <c r="AG152" s="42">
        <v>0</v>
      </c>
      <c r="AH152" s="42">
        <v>6.2018748852943864</v>
      </c>
      <c r="AI152" s="42">
        <v>14.363843528737467</v>
      </c>
      <c r="AJ152" s="42">
        <v>0</v>
      </c>
      <c r="AK152" s="42">
        <v>45.119817486879263</v>
      </c>
      <c r="AL152" s="42">
        <v>65.68553590091112</v>
      </c>
      <c r="AM152" s="42">
        <v>56.07613638269207</v>
      </c>
      <c r="AN152" s="42">
        <v>7.1568447749883735</v>
      </c>
      <c r="AO152" s="42">
        <v>0</v>
      </c>
      <c r="AP152" s="42">
        <v>0</v>
      </c>
      <c r="AQ152" s="42">
        <v>63.232981157680442</v>
      </c>
      <c r="AR152" s="42">
        <v>6.2018748852943864</v>
      </c>
      <c r="AS152" s="244">
        <v>10.195784714653904</v>
      </c>
      <c r="AT152" s="42">
        <v>56.07613638269207</v>
      </c>
      <c r="AU152" s="42">
        <v>8.4715725478519701</v>
      </c>
      <c r="AV152" s="42">
        <v>0</v>
      </c>
      <c r="AW152" s="42">
        <v>0</v>
      </c>
      <c r="AX152" s="42">
        <v>64.547708930544047</v>
      </c>
      <c r="AY152" s="42">
        <v>14.363843528737467</v>
      </c>
      <c r="AZ152" s="244">
        <v>4.4937630239012751</v>
      </c>
      <c r="BA152" s="42">
        <v>56.07613638269207</v>
      </c>
      <c r="BB152" s="42">
        <v>15.628417322840342</v>
      </c>
      <c r="BC152" s="42">
        <v>0</v>
      </c>
      <c r="BD152" s="42">
        <v>0</v>
      </c>
      <c r="BE152" s="42">
        <v>71.704553705532419</v>
      </c>
      <c r="BF152" s="42">
        <v>20.565718414031853</v>
      </c>
      <c r="BG152" s="42">
        <v>3.3718459407763754</v>
      </c>
      <c r="BH152" s="244">
        <v>3.4866058292721189</v>
      </c>
      <c r="BI152" s="42">
        <v>4.2354651399508363</v>
      </c>
      <c r="BJ152" s="42">
        <v>9.8095430280174298</v>
      </c>
      <c r="BK152" s="42">
        <v>0</v>
      </c>
      <c r="BL152" s="42">
        <v>30.813813180874913</v>
      </c>
      <c r="BM152" s="42">
        <v>44.858821348843179</v>
      </c>
      <c r="BN152" s="42">
        <v>56.07613638269207</v>
      </c>
      <c r="BO152" s="42">
        <v>30.535967699102141</v>
      </c>
      <c r="BP152" s="42">
        <v>15.628417322840342</v>
      </c>
      <c r="BQ152" s="42">
        <v>0</v>
      </c>
      <c r="BR152" s="42">
        <v>0</v>
      </c>
      <c r="BS152" s="42">
        <v>0</v>
      </c>
      <c r="BT152" s="42">
        <v>0</v>
      </c>
      <c r="BU152" s="42">
        <v>0</v>
      </c>
      <c r="BV152" s="42">
        <v>0</v>
      </c>
      <c r="BW152" s="42">
        <v>0</v>
      </c>
      <c r="BX152" s="42">
        <v>60.904074436394858</v>
      </c>
      <c r="BY152" s="42">
        <v>4.7814614645162576</v>
      </c>
      <c r="BZ152" s="42">
        <v>0</v>
      </c>
      <c r="CA152" s="42">
        <v>0</v>
      </c>
      <c r="CB152" s="42">
        <v>102.24052140463456</v>
      </c>
      <c r="CC152" s="42">
        <v>65.68553590091112</v>
      </c>
      <c r="CD152" s="244">
        <v>1.5565149922635615</v>
      </c>
      <c r="CE152" s="42">
        <v>13.331638507516843</v>
      </c>
      <c r="CF152" s="42">
        <v>1.0235751141989766</v>
      </c>
      <c r="CG152" s="42">
        <v>0.54974588033586014</v>
      </c>
      <c r="CH152" s="42">
        <v>1.5733209945348368</v>
      </c>
      <c r="CI152" s="42">
        <v>5.1178271404117973E-2</v>
      </c>
      <c r="CJ152" s="42">
        <v>2.7487294016793021E-2</v>
      </c>
      <c r="CK152" s="42">
        <v>7.8665565420910993E-2</v>
      </c>
      <c r="CL152" s="42"/>
      <c r="CM152" s="42">
        <v>4.6986827379133373</v>
      </c>
      <c r="CN152" s="42"/>
      <c r="CO152" s="42">
        <v>0</v>
      </c>
      <c r="CP152" s="42">
        <v>0</v>
      </c>
      <c r="CQ152" s="42">
        <v>30.535967699102141</v>
      </c>
      <c r="CR152" s="42">
        <v>0</v>
      </c>
      <c r="CS152" s="42">
        <v>0</v>
      </c>
      <c r="CT152" s="42">
        <v>30.535967699102141</v>
      </c>
      <c r="CU152" s="42">
        <v>0</v>
      </c>
      <c r="CV152" s="42">
        <v>0</v>
      </c>
      <c r="CW152" s="244">
        <v>9999</v>
      </c>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row>
    <row r="153" spans="1:131">
      <c r="A153" s="18" t="s">
        <v>520</v>
      </c>
      <c r="B153" s="18"/>
      <c r="C153" s="42">
        <v>7</v>
      </c>
      <c r="D153" s="42">
        <v>97.678938352799648</v>
      </c>
      <c r="E153" s="42">
        <v>1.8790153215572614</v>
      </c>
      <c r="F153" s="42">
        <v>19.913031082870759</v>
      </c>
      <c r="G153" s="42">
        <v>0</v>
      </c>
      <c r="H153" s="42">
        <v>0</v>
      </c>
      <c r="I153" s="42"/>
      <c r="J153" s="42"/>
      <c r="K153" s="42"/>
      <c r="L153" s="42">
        <v>104.98486468699653</v>
      </c>
      <c r="M153" s="42">
        <v>1.9735723576826202E-2</v>
      </c>
      <c r="N153" s="42">
        <v>1.9593279974407161E-2</v>
      </c>
      <c r="O153" s="42">
        <v>1.897805432353576</v>
      </c>
      <c r="P153" s="42">
        <v>0</v>
      </c>
      <c r="Q153" s="42">
        <v>0</v>
      </c>
      <c r="R153" s="42">
        <v>3.9709244061934057</v>
      </c>
      <c r="S153" s="42">
        <v>9.176202328520203</v>
      </c>
      <c r="T153" s="42">
        <v>0</v>
      </c>
      <c r="U153" s="42">
        <v>37.581494057302038</v>
      </c>
      <c r="V153" s="42">
        <v>1.1947818649722455</v>
      </c>
      <c r="W153" s="42">
        <v>2.7878243516019059</v>
      </c>
      <c r="X153" s="42">
        <v>0</v>
      </c>
      <c r="Y153" s="42">
        <v>0</v>
      </c>
      <c r="Z153" s="42">
        <v>0</v>
      </c>
      <c r="AA153" s="42">
        <v>0</v>
      </c>
      <c r="AB153" s="42">
        <v>0</v>
      </c>
      <c r="AC153" s="42">
        <v>0</v>
      </c>
      <c r="AD153" s="42">
        <v>0</v>
      </c>
      <c r="AE153" s="42">
        <v>0</v>
      </c>
      <c r="AF153" s="42">
        <v>0</v>
      </c>
      <c r="AG153" s="42">
        <v>0</v>
      </c>
      <c r="AH153" s="42">
        <v>5.165706271165651</v>
      </c>
      <c r="AI153" s="42">
        <v>11.964026680122108</v>
      </c>
      <c r="AJ153" s="42">
        <v>0</v>
      </c>
      <c r="AK153" s="42">
        <v>37.581494057302038</v>
      </c>
      <c r="AL153" s="42">
        <v>54.711227008589809</v>
      </c>
      <c r="AM153" s="42">
        <v>54.640261944653595</v>
      </c>
      <c r="AN153" s="42">
        <v>6.9735880256416651</v>
      </c>
      <c r="AO153" s="42">
        <v>0</v>
      </c>
      <c r="AP153" s="42">
        <v>0</v>
      </c>
      <c r="AQ153" s="42">
        <v>61.613849970295263</v>
      </c>
      <c r="AR153" s="42">
        <v>5.165706271165651</v>
      </c>
      <c r="AS153" s="244">
        <v>11.927478400043057</v>
      </c>
      <c r="AT153" s="42">
        <v>54.640261944653595</v>
      </c>
      <c r="AU153" s="42">
        <v>8.2546511396359143</v>
      </c>
      <c r="AV153" s="42">
        <v>0</v>
      </c>
      <c r="AW153" s="42">
        <v>0</v>
      </c>
      <c r="AX153" s="42">
        <v>62.894913084289513</v>
      </c>
      <c r="AY153" s="42">
        <v>11.964026680122108</v>
      </c>
      <c r="AZ153" s="244">
        <v>5.2570020751280699</v>
      </c>
      <c r="BA153" s="42">
        <v>54.640261944653595</v>
      </c>
      <c r="BB153" s="42">
        <v>15.228239165277579</v>
      </c>
      <c r="BC153" s="42">
        <v>0</v>
      </c>
      <c r="BD153" s="42">
        <v>0</v>
      </c>
      <c r="BE153" s="42">
        <v>69.868501109931174</v>
      </c>
      <c r="BF153" s="42">
        <v>17.12973295128776</v>
      </c>
      <c r="BG153" s="42">
        <v>1.3327182106752822</v>
      </c>
      <c r="BH153" s="244">
        <v>4.078785192309649</v>
      </c>
      <c r="BI153" s="42">
        <v>3.6205381628026494</v>
      </c>
      <c r="BJ153" s="42">
        <v>8.3853422750645095</v>
      </c>
      <c r="BK153" s="42">
        <v>0</v>
      </c>
      <c r="BL153" s="42">
        <v>26.340102651423045</v>
      </c>
      <c r="BM153" s="42">
        <v>38.345983089290208</v>
      </c>
      <c r="BN153" s="42">
        <v>54.640261944653595</v>
      </c>
      <c r="BO153" s="42">
        <v>12.333525929283168</v>
      </c>
      <c r="BP153" s="42">
        <v>15.228239165277579</v>
      </c>
      <c r="BQ153" s="42">
        <v>0</v>
      </c>
      <c r="BR153" s="42">
        <v>0</v>
      </c>
      <c r="BS153" s="42">
        <v>0</v>
      </c>
      <c r="BT153" s="42">
        <v>0</v>
      </c>
      <c r="BU153" s="42">
        <v>0</v>
      </c>
      <c r="BV153" s="42">
        <v>0</v>
      </c>
      <c r="BW153" s="42">
        <v>0</v>
      </c>
      <c r="BX153" s="42">
        <v>50.728620792015654</v>
      </c>
      <c r="BY153" s="42">
        <v>3.982606216574152</v>
      </c>
      <c r="BZ153" s="42">
        <v>0</v>
      </c>
      <c r="CA153" s="42">
        <v>0</v>
      </c>
      <c r="CB153" s="42">
        <v>82.202027039214343</v>
      </c>
      <c r="CC153" s="42">
        <v>54.711227008589809</v>
      </c>
      <c r="CD153" s="244">
        <v>1.5024709101535669</v>
      </c>
      <c r="CE153" s="42">
        <v>19.028504099811833</v>
      </c>
      <c r="CF153" s="42">
        <v>0.99736565262229981</v>
      </c>
      <c r="CG153" s="42">
        <v>0.2220432355853682</v>
      </c>
      <c r="CH153" s="42">
        <v>1.2194088882076679</v>
      </c>
      <c r="CI153" s="42">
        <v>4.9867810726323347E-2</v>
      </c>
      <c r="CJ153" s="42">
        <v>1.1102161779268422E-2</v>
      </c>
      <c r="CK153" s="42">
        <v>6.0969972505591767E-2</v>
      </c>
      <c r="CL153" s="42"/>
      <c r="CM153" s="42">
        <v>1.897805432353576</v>
      </c>
      <c r="CN153" s="42"/>
      <c r="CO153" s="42">
        <v>0</v>
      </c>
      <c r="CP153" s="42">
        <v>0</v>
      </c>
      <c r="CQ153" s="42">
        <v>12.333525929283168</v>
      </c>
      <c r="CR153" s="42">
        <v>0</v>
      </c>
      <c r="CS153" s="42">
        <v>0</v>
      </c>
      <c r="CT153" s="42">
        <v>12.333525929283168</v>
      </c>
      <c r="CU153" s="42">
        <v>0</v>
      </c>
      <c r="CV153" s="42">
        <v>0</v>
      </c>
      <c r="CW153" s="244">
        <v>9999</v>
      </c>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row>
    <row r="154" spans="1:131">
      <c r="A154" s="18" t="s">
        <v>513</v>
      </c>
      <c r="B154" s="18"/>
      <c r="C154" s="42">
        <v>7</v>
      </c>
      <c r="D154" s="42">
        <v>125.50444117598275</v>
      </c>
      <c r="E154" s="42">
        <v>1.938456045070329</v>
      </c>
      <c r="F154" s="42">
        <v>25.463820854268903</v>
      </c>
      <c r="G154" s="42">
        <v>0</v>
      </c>
      <c r="H154" s="42">
        <v>0</v>
      </c>
      <c r="I154" s="42"/>
      <c r="J154" s="42"/>
      <c r="K154" s="42"/>
      <c r="L154" s="42">
        <v>134.89158457975824</v>
      </c>
      <c r="M154" s="42">
        <v>2.5357779276500982E-2</v>
      </c>
      <c r="N154" s="42">
        <v>2.5174758197216464E-2</v>
      </c>
      <c r="O154" s="42">
        <v>1.9578405617598846</v>
      </c>
      <c r="P154" s="42">
        <v>0</v>
      </c>
      <c r="Q154" s="42">
        <v>0</v>
      </c>
      <c r="R154" s="42">
        <v>5.077826036847414</v>
      </c>
      <c r="S154" s="42">
        <v>11.734083638173974</v>
      </c>
      <c r="T154" s="42">
        <v>0</v>
      </c>
      <c r="U154" s="42">
        <v>48.0573965926311</v>
      </c>
      <c r="V154" s="42">
        <v>1.527829251256134</v>
      </c>
      <c r="W154" s="42">
        <v>3.5649349195976461</v>
      </c>
      <c r="X154" s="42">
        <v>0</v>
      </c>
      <c r="Y154" s="42">
        <v>0</v>
      </c>
      <c r="Z154" s="42">
        <v>0</v>
      </c>
      <c r="AA154" s="42">
        <v>0</v>
      </c>
      <c r="AB154" s="42">
        <v>0</v>
      </c>
      <c r="AC154" s="42">
        <v>0</v>
      </c>
      <c r="AD154" s="42">
        <v>0</v>
      </c>
      <c r="AE154" s="42">
        <v>0</v>
      </c>
      <c r="AF154" s="42">
        <v>0</v>
      </c>
      <c r="AG154" s="42">
        <v>0</v>
      </c>
      <c r="AH154" s="42">
        <v>6.6056552881035477</v>
      </c>
      <c r="AI154" s="42">
        <v>15.299018557771621</v>
      </c>
      <c r="AJ154" s="42">
        <v>0</v>
      </c>
      <c r="AK154" s="42">
        <v>48.0573965926311</v>
      </c>
      <c r="AL154" s="42">
        <v>69.962070438506274</v>
      </c>
      <c r="AM154" s="42">
        <v>70.20546759327587</v>
      </c>
      <c r="AN154" s="42">
        <v>8.9601328895339805</v>
      </c>
      <c r="AO154" s="42">
        <v>0</v>
      </c>
      <c r="AP154" s="42">
        <v>0</v>
      </c>
      <c r="AQ154" s="42">
        <v>79.16560048280985</v>
      </c>
      <c r="AR154" s="42">
        <v>6.6056552881035477</v>
      </c>
      <c r="AS154" s="244">
        <v>11.984518875119491</v>
      </c>
      <c r="AT154" s="42">
        <v>70.20546759327587</v>
      </c>
      <c r="AU154" s="42">
        <v>10.606128566230485</v>
      </c>
      <c r="AV154" s="42">
        <v>0</v>
      </c>
      <c r="AW154" s="42">
        <v>0</v>
      </c>
      <c r="AX154" s="42">
        <v>80.811596159506351</v>
      </c>
      <c r="AY154" s="42">
        <v>15.299018557771621</v>
      </c>
      <c r="AZ154" s="244">
        <v>5.2821425017786874</v>
      </c>
      <c r="BA154" s="42">
        <v>70.20546759327587</v>
      </c>
      <c r="BB154" s="42">
        <v>19.566261455764462</v>
      </c>
      <c r="BC154" s="42">
        <v>0</v>
      </c>
      <c r="BD154" s="42">
        <v>0</v>
      </c>
      <c r="BE154" s="42">
        <v>89.771729049040331</v>
      </c>
      <c r="BF154" s="42">
        <v>21.90467384587517</v>
      </c>
      <c r="BG154" s="42">
        <v>1.2755760649602301</v>
      </c>
      <c r="BH154" s="244">
        <v>4.0982910624777498</v>
      </c>
      <c r="BI154" s="42">
        <v>3.6033061638387731</v>
      </c>
      <c r="BJ154" s="42">
        <v>8.345432128313341</v>
      </c>
      <c r="BK154" s="42">
        <v>0</v>
      </c>
      <c r="BL154" s="42">
        <v>26.214736586714487</v>
      </c>
      <c r="BM154" s="42">
        <v>38.163474878866602</v>
      </c>
      <c r="BN154" s="42">
        <v>70.20546759327587</v>
      </c>
      <c r="BO154" s="42">
        <v>12.723684378920604</v>
      </c>
      <c r="BP154" s="42">
        <v>19.566261455764462</v>
      </c>
      <c r="BQ154" s="42">
        <v>0</v>
      </c>
      <c r="BR154" s="42">
        <v>0</v>
      </c>
      <c r="BS154" s="42">
        <v>0</v>
      </c>
      <c r="BT154" s="42">
        <v>0</v>
      </c>
      <c r="BU154" s="42">
        <v>0</v>
      </c>
      <c r="BV154" s="42">
        <v>0</v>
      </c>
      <c r="BW154" s="42">
        <v>0</v>
      </c>
      <c r="BX154" s="42">
        <v>64.86930626765249</v>
      </c>
      <c r="BY154" s="42">
        <v>5.0927641708537799</v>
      </c>
      <c r="BZ154" s="42">
        <v>0</v>
      </c>
      <c r="CA154" s="42">
        <v>0</v>
      </c>
      <c r="CB154" s="42">
        <v>102.49541342796094</v>
      </c>
      <c r="CC154" s="42">
        <v>69.962070438506274</v>
      </c>
      <c r="CD154" s="244">
        <v>1.4650140109568386</v>
      </c>
      <c r="CE154" s="42">
        <v>20.549694597948474</v>
      </c>
      <c r="CF154" s="42">
        <v>1.2814821802052614</v>
      </c>
      <c r="CG154" s="42">
        <v>0.22906734572590637</v>
      </c>
      <c r="CH154" s="42">
        <v>1.5105495259311676</v>
      </c>
      <c r="CI154" s="42">
        <v>6.4073502675385155E-2</v>
      </c>
      <c r="CJ154" s="42">
        <v>1.1453367286295323E-2</v>
      </c>
      <c r="CK154" s="42">
        <v>7.5526869961680482E-2</v>
      </c>
      <c r="CL154" s="42"/>
      <c r="CM154" s="42">
        <v>1.9578405617598846</v>
      </c>
      <c r="CN154" s="42"/>
      <c r="CO154" s="42">
        <v>0</v>
      </c>
      <c r="CP154" s="42">
        <v>0</v>
      </c>
      <c r="CQ154" s="42">
        <v>12.723684378920604</v>
      </c>
      <c r="CR154" s="42">
        <v>0</v>
      </c>
      <c r="CS154" s="42">
        <v>0</v>
      </c>
      <c r="CT154" s="42">
        <v>12.723684378920604</v>
      </c>
      <c r="CU154" s="42">
        <v>0</v>
      </c>
      <c r="CV154" s="42">
        <v>0</v>
      </c>
      <c r="CW154" s="244">
        <v>9999</v>
      </c>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row>
    <row r="155" spans="1:131">
      <c r="A155" s="18" t="s">
        <v>524</v>
      </c>
      <c r="B155" s="18"/>
      <c r="C155" s="42">
        <v>6.9999999999999991</v>
      </c>
      <c r="D155" s="42">
        <v>170.28522345996331</v>
      </c>
      <c r="E155" s="42">
        <v>12.015418645201027</v>
      </c>
      <c r="F155" s="42">
        <v>50.322059921932102</v>
      </c>
      <c r="G155" s="42">
        <v>0</v>
      </c>
      <c r="H155" s="42">
        <v>0</v>
      </c>
      <c r="I155" s="42"/>
      <c r="J155" s="42"/>
      <c r="K155" s="42"/>
      <c r="L155" s="42">
        <v>183.02175929235841</v>
      </c>
      <c r="M155" s="42">
        <v>3.4405596089564706E-2</v>
      </c>
      <c r="N155" s="42">
        <v>3.415727192595884E-2</v>
      </c>
      <c r="O155" s="42">
        <v>12.135572560401847</v>
      </c>
      <c r="P155" s="42">
        <v>0</v>
      </c>
      <c r="Q155" s="42">
        <v>0</v>
      </c>
      <c r="R155" s="42">
        <v>10.034890975780041</v>
      </c>
      <c r="S155" s="42">
        <v>23.189106746726182</v>
      </c>
      <c r="T155" s="42">
        <v>0</v>
      </c>
      <c r="U155" s="42">
        <v>94.971889916552428</v>
      </c>
      <c r="V155" s="42">
        <v>3.0193235953159263</v>
      </c>
      <c r="W155" s="42">
        <v>7.0450883890704947</v>
      </c>
      <c r="X155" s="42">
        <v>0</v>
      </c>
      <c r="Y155" s="42">
        <v>0</v>
      </c>
      <c r="Z155" s="42">
        <v>0</v>
      </c>
      <c r="AA155" s="42">
        <v>0</v>
      </c>
      <c r="AB155" s="42">
        <v>0</v>
      </c>
      <c r="AC155" s="42">
        <v>0</v>
      </c>
      <c r="AD155" s="42">
        <v>0</v>
      </c>
      <c r="AE155" s="42">
        <v>0</v>
      </c>
      <c r="AF155" s="42">
        <v>0</v>
      </c>
      <c r="AG155" s="42">
        <v>0</v>
      </c>
      <c r="AH155" s="42">
        <v>13.054214571095967</v>
      </c>
      <c r="AI155" s="42">
        <v>30.234195135796675</v>
      </c>
      <c r="AJ155" s="42">
        <v>0</v>
      </c>
      <c r="AK155" s="42">
        <v>94.971889916552428</v>
      </c>
      <c r="AL155" s="42">
        <v>138.26029962344509</v>
      </c>
      <c r="AM155" s="42">
        <v>95.255224637580056</v>
      </c>
      <c r="AN155" s="42">
        <v>12.157165252708534</v>
      </c>
      <c r="AO155" s="42">
        <v>0</v>
      </c>
      <c r="AP155" s="42">
        <v>0</v>
      </c>
      <c r="AQ155" s="42">
        <v>107.41238989028859</v>
      </c>
      <c r="AR155" s="42">
        <v>13.054214571095967</v>
      </c>
      <c r="AS155" s="244">
        <v>8.2281771381417386</v>
      </c>
      <c r="AT155" s="42">
        <v>95.255224637580056</v>
      </c>
      <c r="AU155" s="42">
        <v>14.390462648355088</v>
      </c>
      <c r="AV155" s="42">
        <v>0</v>
      </c>
      <c r="AW155" s="42">
        <v>0</v>
      </c>
      <c r="AX155" s="42">
        <v>109.64568728593514</v>
      </c>
      <c r="AY155" s="42">
        <v>30.234195135796675</v>
      </c>
      <c r="AZ155" s="244">
        <v>3.6265455982361132</v>
      </c>
      <c r="BA155" s="42">
        <v>95.255224637580056</v>
      </c>
      <c r="BB155" s="42">
        <v>26.547627901063624</v>
      </c>
      <c r="BC155" s="42">
        <v>0</v>
      </c>
      <c r="BD155" s="42">
        <v>0</v>
      </c>
      <c r="BE155" s="42">
        <v>121.80285253864368</v>
      </c>
      <c r="BF155" s="42">
        <v>43.288409706892651</v>
      </c>
      <c r="BG155" s="42">
        <v>6.7304348505079368</v>
      </c>
      <c r="BH155" s="244">
        <v>2.8137520727459173</v>
      </c>
      <c r="BI155" s="42">
        <v>5.2482937603738646</v>
      </c>
      <c r="BJ155" s="42">
        <v>12.155303317325949</v>
      </c>
      <c r="BK155" s="42">
        <v>0</v>
      </c>
      <c r="BL155" s="42">
        <v>38.182333724127616</v>
      </c>
      <c r="BM155" s="42">
        <v>55.585930801827438</v>
      </c>
      <c r="BN155" s="42">
        <v>95.255224637580056</v>
      </c>
      <c r="BO155" s="42">
        <v>78.867093690839411</v>
      </c>
      <c r="BP155" s="42">
        <v>26.547627901063624</v>
      </c>
      <c r="BQ155" s="42">
        <v>0</v>
      </c>
      <c r="BR155" s="42">
        <v>0</v>
      </c>
      <c r="BS155" s="42">
        <v>0</v>
      </c>
      <c r="BT155" s="42">
        <v>0</v>
      </c>
      <c r="BU155" s="42">
        <v>0</v>
      </c>
      <c r="BV155" s="42">
        <v>0</v>
      </c>
      <c r="BW155" s="42">
        <v>0</v>
      </c>
      <c r="BX155" s="42">
        <v>128.19588763905867</v>
      </c>
      <c r="BY155" s="42">
        <v>10.064411984386421</v>
      </c>
      <c r="BZ155" s="42">
        <v>0</v>
      </c>
      <c r="CA155" s="42">
        <v>0</v>
      </c>
      <c r="CB155" s="42">
        <v>200.66994622948309</v>
      </c>
      <c r="CC155" s="42">
        <v>138.26029962344509</v>
      </c>
      <c r="CD155" s="244">
        <v>1.45139238650583</v>
      </c>
      <c r="CE155" s="42">
        <v>13.205179162635952</v>
      </c>
      <c r="CF155" s="42">
        <v>1.7387231668577263</v>
      </c>
      <c r="CG155" s="42">
        <v>1.4198619895670164</v>
      </c>
      <c r="CH155" s="42">
        <v>3.1585851564247429</v>
      </c>
      <c r="CI155" s="42">
        <v>8.6935335663870239E-2</v>
      </c>
      <c r="CJ155" s="42">
        <v>7.0993099478350807E-2</v>
      </c>
      <c r="CK155" s="42">
        <v>0.15792843514222105</v>
      </c>
      <c r="CL155" s="42"/>
      <c r="CM155" s="42">
        <v>12.135572560401847</v>
      </c>
      <c r="CN155" s="42"/>
      <c r="CO155" s="42">
        <v>0</v>
      </c>
      <c r="CP155" s="42">
        <v>0</v>
      </c>
      <c r="CQ155" s="42">
        <v>78.867093690839411</v>
      </c>
      <c r="CR155" s="42">
        <v>0</v>
      </c>
      <c r="CS155" s="42">
        <v>0</v>
      </c>
      <c r="CT155" s="42">
        <v>78.867093690839411</v>
      </c>
      <c r="CU155" s="42">
        <v>0</v>
      </c>
      <c r="CV155" s="42">
        <v>0</v>
      </c>
      <c r="CW155" s="244">
        <v>9999</v>
      </c>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row>
    <row r="156" spans="1:131">
      <c r="A156" s="18" t="s">
        <v>523</v>
      </c>
      <c r="B156" s="18"/>
      <c r="C156" s="42">
        <v>7</v>
      </c>
      <c r="D156" s="42">
        <v>143.13064902853927</v>
      </c>
      <c r="E156" s="42">
        <v>9.7838598097291349</v>
      </c>
      <c r="F156" s="42">
        <v>42.297440439819695</v>
      </c>
      <c r="G156" s="42">
        <v>0</v>
      </c>
      <c r="H156" s="42">
        <v>0</v>
      </c>
      <c r="I156" s="42"/>
      <c r="J156" s="42"/>
      <c r="K156" s="42"/>
      <c r="L156" s="42">
        <v>153.83615008744098</v>
      </c>
      <c r="M156" s="42">
        <v>2.8919099370186947E-2</v>
      </c>
      <c r="N156" s="42">
        <v>2.8710374279517333E-2</v>
      </c>
      <c r="O156" s="42">
        <v>9.8816981869532547</v>
      </c>
      <c r="P156" s="42">
        <v>0</v>
      </c>
      <c r="Q156" s="42">
        <v>0</v>
      </c>
      <c r="R156" s="42">
        <v>8.4346746541500437</v>
      </c>
      <c r="S156" s="42">
        <v>19.491250218967842</v>
      </c>
      <c r="T156" s="42">
        <v>0</v>
      </c>
      <c r="U156" s="42">
        <v>79.827174472476457</v>
      </c>
      <c r="V156" s="42">
        <v>2.5378464263891818</v>
      </c>
      <c r="W156" s="42">
        <v>5.9216416615747569</v>
      </c>
      <c r="X156" s="42">
        <v>0</v>
      </c>
      <c r="Y156" s="42">
        <v>0</v>
      </c>
      <c r="Z156" s="42">
        <v>0</v>
      </c>
      <c r="AA156" s="42">
        <v>0</v>
      </c>
      <c r="AB156" s="42">
        <v>0</v>
      </c>
      <c r="AC156" s="42">
        <v>0</v>
      </c>
      <c r="AD156" s="42">
        <v>0</v>
      </c>
      <c r="AE156" s="42">
        <v>0</v>
      </c>
      <c r="AF156" s="42">
        <v>0</v>
      </c>
      <c r="AG156" s="42">
        <v>0</v>
      </c>
      <c r="AH156" s="42">
        <v>10.972521080539225</v>
      </c>
      <c r="AI156" s="42">
        <v>25.412891880542599</v>
      </c>
      <c r="AJ156" s="42">
        <v>0</v>
      </c>
      <c r="AK156" s="42">
        <v>79.827174472476457</v>
      </c>
      <c r="AL156" s="42">
        <v>116.2125874335583</v>
      </c>
      <c r="AM156" s="42">
        <v>80.065327153543052</v>
      </c>
      <c r="AN156" s="42">
        <v>10.218519949128142</v>
      </c>
      <c r="AO156" s="42">
        <v>0</v>
      </c>
      <c r="AP156" s="42">
        <v>0</v>
      </c>
      <c r="AQ156" s="42">
        <v>90.283847102671189</v>
      </c>
      <c r="AR156" s="42">
        <v>10.972521080539225</v>
      </c>
      <c r="AS156" s="244">
        <v>8.2281771381417421</v>
      </c>
      <c r="AT156" s="42">
        <v>80.065327153543052</v>
      </c>
      <c r="AU156" s="42">
        <v>12.09568403428902</v>
      </c>
      <c r="AV156" s="42">
        <v>0</v>
      </c>
      <c r="AW156" s="42">
        <v>0</v>
      </c>
      <c r="AX156" s="42">
        <v>92.161011187832074</v>
      </c>
      <c r="AY156" s="42">
        <v>25.412891880542599</v>
      </c>
      <c r="AZ156" s="244">
        <v>3.626545598236115</v>
      </c>
      <c r="BA156" s="42">
        <v>80.065327153543052</v>
      </c>
      <c r="BB156" s="42">
        <v>22.314203983417162</v>
      </c>
      <c r="BC156" s="42">
        <v>0</v>
      </c>
      <c r="BD156" s="42">
        <v>0</v>
      </c>
      <c r="BE156" s="42">
        <v>102.37953113696021</v>
      </c>
      <c r="BF156" s="42">
        <v>36.385412961081826</v>
      </c>
      <c r="BG156" s="42">
        <v>6.7304348505079359</v>
      </c>
      <c r="BH156" s="244">
        <v>2.8137520727459191</v>
      </c>
      <c r="BI156" s="42">
        <v>5.2482937603738655</v>
      </c>
      <c r="BJ156" s="42">
        <v>12.155303317325954</v>
      </c>
      <c r="BK156" s="42">
        <v>0</v>
      </c>
      <c r="BL156" s="42">
        <v>38.182333724127623</v>
      </c>
      <c r="BM156" s="42">
        <v>55.585930801827445</v>
      </c>
      <c r="BN156" s="42">
        <v>80.065327153543052</v>
      </c>
      <c r="BO156" s="42">
        <v>64.219534171631508</v>
      </c>
      <c r="BP156" s="42">
        <v>22.314203983417162</v>
      </c>
      <c r="BQ156" s="42">
        <v>0</v>
      </c>
      <c r="BR156" s="42">
        <v>0</v>
      </c>
      <c r="BS156" s="42">
        <v>0</v>
      </c>
      <c r="BT156" s="42">
        <v>0</v>
      </c>
      <c r="BU156" s="42">
        <v>0</v>
      </c>
      <c r="BV156" s="42">
        <v>0</v>
      </c>
      <c r="BW156" s="42">
        <v>0</v>
      </c>
      <c r="BX156" s="42">
        <v>107.75309934559435</v>
      </c>
      <c r="BY156" s="42">
        <v>8.4594880879639405</v>
      </c>
      <c r="BZ156" s="42">
        <v>0</v>
      </c>
      <c r="CA156" s="42">
        <v>0</v>
      </c>
      <c r="CB156" s="42">
        <v>166.59906530859172</v>
      </c>
      <c r="CC156" s="42">
        <v>116.2125874335583</v>
      </c>
      <c r="CD156" s="244">
        <v>1.4335716034533752</v>
      </c>
      <c r="CE156" s="42">
        <v>14.195763976224121</v>
      </c>
      <c r="CF156" s="42">
        <v>1.461457255636839</v>
      </c>
      <c r="CG156" s="42">
        <v>1.1561586878735308</v>
      </c>
      <c r="CH156" s="42">
        <v>2.6176159435103701</v>
      </c>
      <c r="CI156" s="42">
        <v>7.3072171291534496E-2</v>
      </c>
      <c r="CJ156" s="42">
        <v>5.7807934393676534E-2</v>
      </c>
      <c r="CK156" s="42">
        <v>0.13088010568521102</v>
      </c>
      <c r="CL156" s="42"/>
      <c r="CM156" s="42">
        <v>9.8816981869532547</v>
      </c>
      <c r="CN156" s="42"/>
      <c r="CO156" s="42">
        <v>0</v>
      </c>
      <c r="CP156" s="42">
        <v>0</v>
      </c>
      <c r="CQ156" s="42">
        <v>64.219534171631508</v>
      </c>
      <c r="CR156" s="42">
        <v>0</v>
      </c>
      <c r="CS156" s="42">
        <v>0</v>
      </c>
      <c r="CT156" s="42">
        <v>64.219534171631508</v>
      </c>
      <c r="CU156" s="42">
        <v>0</v>
      </c>
      <c r="CV156" s="42">
        <v>0</v>
      </c>
      <c r="CW156" s="244">
        <v>9999</v>
      </c>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row>
    <row r="157" spans="1:131">
      <c r="A157" s="18" t="s">
        <v>507</v>
      </c>
      <c r="B157" s="18"/>
      <c r="C157" s="42">
        <v>7</v>
      </c>
      <c r="D157" s="42">
        <v>854.59288094355622</v>
      </c>
      <c r="E157" s="42">
        <v>27.324891953717845</v>
      </c>
      <c r="F157" s="42">
        <v>213.31730769230768</v>
      </c>
      <c r="G157" s="42">
        <v>0</v>
      </c>
      <c r="H157" s="42">
        <v>0</v>
      </c>
      <c r="I157" s="42"/>
      <c r="J157" s="42"/>
      <c r="K157" s="42"/>
      <c r="L157" s="42">
        <v>918.51241916941115</v>
      </c>
      <c r="M157" s="42">
        <v>0.17266781512416141</v>
      </c>
      <c r="N157" s="42">
        <v>0.171421576266368</v>
      </c>
      <c r="O157" s="42">
        <v>27.598140256388504</v>
      </c>
      <c r="P157" s="42">
        <v>0</v>
      </c>
      <c r="Q157" s="42">
        <v>0</v>
      </c>
      <c r="R157" s="42">
        <v>42.538320753564335</v>
      </c>
      <c r="S157" s="42">
        <v>98.299589219423851</v>
      </c>
      <c r="T157" s="42">
        <v>0</v>
      </c>
      <c r="U157" s="42">
        <v>402.58979650035246</v>
      </c>
      <c r="V157" s="42">
        <v>12.79903846153846</v>
      </c>
      <c r="W157" s="42">
        <v>29.864423076923078</v>
      </c>
      <c r="X157" s="42">
        <v>0</v>
      </c>
      <c r="Y157" s="42">
        <v>0</v>
      </c>
      <c r="Z157" s="42">
        <v>0</v>
      </c>
      <c r="AA157" s="42">
        <v>0</v>
      </c>
      <c r="AB157" s="42">
        <v>0</v>
      </c>
      <c r="AC157" s="42">
        <v>0</v>
      </c>
      <c r="AD157" s="42">
        <v>0</v>
      </c>
      <c r="AE157" s="42">
        <v>0</v>
      </c>
      <c r="AF157" s="42">
        <v>0</v>
      </c>
      <c r="AG157" s="42">
        <v>0</v>
      </c>
      <c r="AH157" s="42">
        <v>55.337359215102794</v>
      </c>
      <c r="AI157" s="42">
        <v>128.16401229634693</v>
      </c>
      <c r="AJ157" s="42">
        <v>0</v>
      </c>
      <c r="AK157" s="42">
        <v>402.58979650035246</v>
      </c>
      <c r="AL157" s="42">
        <v>586.09116801180221</v>
      </c>
      <c r="AM157" s="42">
        <v>478.04756745140952</v>
      </c>
      <c r="AN157" s="42">
        <v>61.011910877057403</v>
      </c>
      <c r="AO157" s="42">
        <v>0</v>
      </c>
      <c r="AP157" s="42">
        <v>0</v>
      </c>
      <c r="AQ157" s="42">
        <v>539.05947832846687</v>
      </c>
      <c r="AR157" s="42">
        <v>55.337359215102794</v>
      </c>
      <c r="AS157" s="244">
        <v>9.7413300160038272</v>
      </c>
      <c r="AT157" s="42">
        <v>478.04756745140952</v>
      </c>
      <c r="AU157" s="42">
        <v>72.219930084889967</v>
      </c>
      <c r="AV157" s="42">
        <v>0</v>
      </c>
      <c r="AW157" s="42">
        <v>0</v>
      </c>
      <c r="AX157" s="42">
        <v>550.26749753629952</v>
      </c>
      <c r="AY157" s="42">
        <v>128.16401229634693</v>
      </c>
      <c r="AZ157" s="244">
        <v>4.2934634120531809</v>
      </c>
      <c r="BA157" s="42">
        <v>478.04756745140952</v>
      </c>
      <c r="BB157" s="42">
        <v>133.23184096194737</v>
      </c>
      <c r="BC157" s="42">
        <v>0</v>
      </c>
      <c r="BD157" s="42">
        <v>0</v>
      </c>
      <c r="BE157" s="42">
        <v>611.27940841335692</v>
      </c>
      <c r="BF157" s="42">
        <v>183.50137151144975</v>
      </c>
      <c r="BG157" s="42">
        <v>4.0270767915971204</v>
      </c>
      <c r="BH157" s="244">
        <v>3.331198036169531</v>
      </c>
      <c r="BI157" s="42">
        <v>4.4330590034845594</v>
      </c>
      <c r="BJ157" s="42">
        <v>10.267180015304442</v>
      </c>
      <c r="BK157" s="42">
        <v>0</v>
      </c>
      <c r="BL157" s="42">
        <v>32.251346059893272</v>
      </c>
      <c r="BM157" s="42">
        <v>46.951585078682285</v>
      </c>
      <c r="BN157" s="42">
        <v>478.04756745140952</v>
      </c>
      <c r="BO157" s="42">
        <v>179.3557825524999</v>
      </c>
      <c r="BP157" s="42">
        <v>133.23184096194737</v>
      </c>
      <c r="BQ157" s="42">
        <v>0</v>
      </c>
      <c r="BR157" s="42">
        <v>0</v>
      </c>
      <c r="BS157" s="42">
        <v>0</v>
      </c>
      <c r="BT157" s="42">
        <v>0</v>
      </c>
      <c r="BU157" s="42">
        <v>0</v>
      </c>
      <c r="BV157" s="42">
        <v>0</v>
      </c>
      <c r="BW157" s="42">
        <v>0</v>
      </c>
      <c r="BX157" s="42">
        <v>543.42770647334066</v>
      </c>
      <c r="BY157" s="42">
        <v>42.66346153846154</v>
      </c>
      <c r="BZ157" s="42">
        <v>0</v>
      </c>
      <c r="CA157" s="42">
        <v>0</v>
      </c>
      <c r="CB157" s="42">
        <v>790.63519096585674</v>
      </c>
      <c r="CC157" s="42">
        <v>586.09116801180221</v>
      </c>
      <c r="CD157" s="244">
        <v>1.3489969378790154</v>
      </c>
      <c r="CE157" s="42">
        <v>21.910285702394578</v>
      </c>
      <c r="CF157" s="42">
        <v>8.7259505559952917</v>
      </c>
      <c r="CG157" s="42">
        <v>3.2289824099974598</v>
      </c>
      <c r="CH157" s="42">
        <v>11.954932965992752</v>
      </c>
      <c r="CI157" s="42">
        <v>0.43629339910547016</v>
      </c>
      <c r="CJ157" s="42">
        <v>0.16144912049987278</v>
      </c>
      <c r="CK157" s="42">
        <v>0.59774251960534297</v>
      </c>
      <c r="CL157" s="42"/>
      <c r="CM157" s="42">
        <v>27.598140256388504</v>
      </c>
      <c r="CN157" s="42"/>
      <c r="CO157" s="42">
        <v>0</v>
      </c>
      <c r="CP157" s="42">
        <v>0</v>
      </c>
      <c r="CQ157" s="42">
        <v>179.3557825524999</v>
      </c>
      <c r="CR157" s="42">
        <v>0</v>
      </c>
      <c r="CS157" s="42">
        <v>0</v>
      </c>
      <c r="CT157" s="42">
        <v>179.3557825524999</v>
      </c>
      <c r="CU157" s="42">
        <v>0</v>
      </c>
      <c r="CV157" s="42">
        <v>0</v>
      </c>
      <c r="CW157" s="244">
        <v>9999</v>
      </c>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row>
    <row r="158" spans="1:131">
      <c r="A158" s="18" t="s">
        <v>508</v>
      </c>
      <c r="B158" s="18"/>
      <c r="C158" s="42">
        <v>7.0000000000000009</v>
      </c>
      <c r="D158" s="42">
        <v>270.09230769230766</v>
      </c>
      <c r="E158" s="42">
        <v>12.953728571165545</v>
      </c>
      <c r="F158" s="42">
        <v>87.836538461538453</v>
      </c>
      <c r="G158" s="42">
        <v>0</v>
      </c>
      <c r="H158" s="42">
        <v>0</v>
      </c>
      <c r="I158" s="42"/>
      <c r="J158" s="42"/>
      <c r="K158" s="42"/>
      <c r="L158" s="42">
        <v>290.29394518662707</v>
      </c>
      <c r="M158" s="42">
        <v>5.4571304876284955E-2</v>
      </c>
      <c r="N158" s="42">
        <v>5.417743366983914E-2</v>
      </c>
      <c r="O158" s="42">
        <v>13.083265564443421</v>
      </c>
      <c r="P158" s="42">
        <v>0</v>
      </c>
      <c r="Q158" s="42">
        <v>0</v>
      </c>
      <c r="R158" s="42">
        <v>17.515779133820605</v>
      </c>
      <c r="S158" s="42">
        <v>40.476301443292165</v>
      </c>
      <c r="T158" s="42">
        <v>0</v>
      </c>
      <c r="U158" s="42">
        <v>165.77226914720393</v>
      </c>
      <c r="V158" s="42">
        <v>5.270192307692307</v>
      </c>
      <c r="W158" s="42">
        <v>12.297115384615383</v>
      </c>
      <c r="X158" s="42">
        <v>0</v>
      </c>
      <c r="Y158" s="42">
        <v>0</v>
      </c>
      <c r="Z158" s="42">
        <v>0</v>
      </c>
      <c r="AA158" s="42">
        <v>0</v>
      </c>
      <c r="AB158" s="42">
        <v>0</v>
      </c>
      <c r="AC158" s="42">
        <v>0</v>
      </c>
      <c r="AD158" s="42">
        <v>0</v>
      </c>
      <c r="AE158" s="42">
        <v>0</v>
      </c>
      <c r="AF158" s="42">
        <v>0</v>
      </c>
      <c r="AG158" s="42">
        <v>0</v>
      </c>
      <c r="AH158" s="42">
        <v>22.785971441512913</v>
      </c>
      <c r="AI158" s="42">
        <v>52.773416827907546</v>
      </c>
      <c r="AJ158" s="42">
        <v>0</v>
      </c>
      <c r="AK158" s="42">
        <v>165.77226914720393</v>
      </c>
      <c r="AL158" s="42">
        <v>241.33165741662438</v>
      </c>
      <c r="AM158" s="42">
        <v>151.08594227591422</v>
      </c>
      <c r="AN158" s="42">
        <v>19.282687900825412</v>
      </c>
      <c r="AO158" s="42">
        <v>0</v>
      </c>
      <c r="AP158" s="42">
        <v>0</v>
      </c>
      <c r="AQ158" s="42">
        <v>170.36863017673963</v>
      </c>
      <c r="AR158" s="42">
        <v>22.785971441512913</v>
      </c>
      <c r="AS158" s="244">
        <v>7.4769087907461937</v>
      </c>
      <c r="AT158" s="42">
        <v>151.08594227591422</v>
      </c>
      <c r="AU158" s="42">
        <v>22.824959127284576</v>
      </c>
      <c r="AV158" s="42">
        <v>0</v>
      </c>
      <c r="AW158" s="42">
        <v>0</v>
      </c>
      <c r="AX158" s="42">
        <v>173.91090140319881</v>
      </c>
      <c r="AY158" s="42">
        <v>52.773416827907546</v>
      </c>
      <c r="AZ158" s="244">
        <v>3.2954262175276008</v>
      </c>
      <c r="BA158" s="42">
        <v>151.08594227591422</v>
      </c>
      <c r="BB158" s="42">
        <v>42.107647028109987</v>
      </c>
      <c r="BC158" s="42">
        <v>0</v>
      </c>
      <c r="BD158" s="42">
        <v>0</v>
      </c>
      <c r="BE158" s="42">
        <v>193.19358930402421</v>
      </c>
      <c r="BF158" s="42">
        <v>75.559388269420467</v>
      </c>
      <c r="BG158" s="42">
        <v>8.479121638219393</v>
      </c>
      <c r="BH158" s="244">
        <v>2.5568442747995528</v>
      </c>
      <c r="BI158" s="42">
        <v>5.7756342817511417</v>
      </c>
      <c r="BJ158" s="42">
        <v>13.376649583660134</v>
      </c>
      <c r="BK158" s="42">
        <v>0</v>
      </c>
      <c r="BL158" s="42">
        <v>42.018836155738519</v>
      </c>
      <c r="BM158" s="42">
        <v>61.171120021149797</v>
      </c>
      <c r="BN158" s="42">
        <v>151.08594227591422</v>
      </c>
      <c r="BO158" s="42">
        <v>85.025994934920973</v>
      </c>
      <c r="BP158" s="42">
        <v>42.107647028109987</v>
      </c>
      <c r="BQ158" s="42">
        <v>0</v>
      </c>
      <c r="BR158" s="42">
        <v>0</v>
      </c>
      <c r="BS158" s="42">
        <v>0</v>
      </c>
      <c r="BT158" s="42">
        <v>0</v>
      </c>
      <c r="BU158" s="42">
        <v>0</v>
      </c>
      <c r="BV158" s="42">
        <v>0</v>
      </c>
      <c r="BW158" s="42">
        <v>0</v>
      </c>
      <c r="BX158" s="42">
        <v>223.7643497243167</v>
      </c>
      <c r="BY158" s="42">
        <v>17.56730769230769</v>
      </c>
      <c r="BZ158" s="42">
        <v>0</v>
      </c>
      <c r="CA158" s="42">
        <v>0</v>
      </c>
      <c r="CB158" s="42">
        <v>278.21958423894517</v>
      </c>
      <c r="CC158" s="42">
        <v>241.33165741662438</v>
      </c>
      <c r="CD158" s="244">
        <v>1.1528515869703704</v>
      </c>
      <c r="CE158" s="42">
        <v>28.94614235143305</v>
      </c>
      <c r="CF158" s="42">
        <v>2.7578185765783374</v>
      </c>
      <c r="CG158" s="42">
        <v>1.5307420710398805</v>
      </c>
      <c r="CH158" s="42">
        <v>4.2885606476182181</v>
      </c>
      <c r="CI158" s="42">
        <v>0.13788962396364787</v>
      </c>
      <c r="CJ158" s="42">
        <v>7.6537103551994015E-2</v>
      </c>
      <c r="CK158" s="42">
        <v>0.2144267275156419</v>
      </c>
      <c r="CL158" s="42"/>
      <c r="CM158" s="42">
        <v>13.083265564443421</v>
      </c>
      <c r="CN158" s="42"/>
      <c r="CO158" s="42">
        <v>0</v>
      </c>
      <c r="CP158" s="42">
        <v>0</v>
      </c>
      <c r="CQ158" s="42">
        <v>85.025994934920973</v>
      </c>
      <c r="CR158" s="42">
        <v>0</v>
      </c>
      <c r="CS158" s="42">
        <v>0</v>
      </c>
      <c r="CT158" s="42">
        <v>85.025994934920973</v>
      </c>
      <c r="CU158" s="42">
        <v>0</v>
      </c>
      <c r="CV158" s="42">
        <v>0</v>
      </c>
      <c r="CW158" s="244">
        <v>9999</v>
      </c>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row>
    <row r="159" spans="1:131">
      <c r="A159" s="18" t="s">
        <v>519</v>
      </c>
      <c r="B159" s="18"/>
      <c r="C159" s="42">
        <v>7</v>
      </c>
      <c r="D159" s="42">
        <v>43.866764741155535</v>
      </c>
      <c r="E159" s="42">
        <v>1.5303098205920076</v>
      </c>
      <c r="F159" s="42">
        <v>13.120216352037032</v>
      </c>
      <c r="G159" s="42">
        <v>0</v>
      </c>
      <c r="H159" s="42">
        <v>0</v>
      </c>
      <c r="I159" s="42"/>
      <c r="J159" s="42"/>
      <c r="K159" s="42"/>
      <c r="L159" s="42">
        <v>47.147792945627636</v>
      </c>
      <c r="M159" s="42">
        <v>8.8631424311165011E-3</v>
      </c>
      <c r="N159" s="42">
        <v>8.7991722436680051E-3</v>
      </c>
      <c r="O159" s="42">
        <v>1.5456128842507868</v>
      </c>
      <c r="P159" s="42">
        <v>0</v>
      </c>
      <c r="Q159" s="42">
        <v>0</v>
      </c>
      <c r="R159" s="42">
        <v>2.6163464070348232</v>
      </c>
      <c r="S159" s="42">
        <v>6.0459786026153539</v>
      </c>
      <c r="T159" s="42">
        <v>0</v>
      </c>
      <c r="U159" s="42">
        <v>24.761540862995147</v>
      </c>
      <c r="V159" s="42">
        <v>0.78721298112222193</v>
      </c>
      <c r="W159" s="42">
        <v>1.8368302892851844</v>
      </c>
      <c r="X159" s="42">
        <v>0</v>
      </c>
      <c r="Y159" s="42">
        <v>0</v>
      </c>
      <c r="Z159" s="42">
        <v>0</v>
      </c>
      <c r="AA159" s="42">
        <v>0</v>
      </c>
      <c r="AB159" s="42">
        <v>0</v>
      </c>
      <c r="AC159" s="42">
        <v>0</v>
      </c>
      <c r="AD159" s="42">
        <v>0</v>
      </c>
      <c r="AE159" s="42">
        <v>0</v>
      </c>
      <c r="AF159" s="42">
        <v>0</v>
      </c>
      <c r="AG159" s="42">
        <v>0</v>
      </c>
      <c r="AH159" s="42">
        <v>3.4035593881570452</v>
      </c>
      <c r="AI159" s="42">
        <v>7.8828088919005381</v>
      </c>
      <c r="AJ159" s="42">
        <v>0</v>
      </c>
      <c r="AK159" s="42">
        <v>24.761540862995147</v>
      </c>
      <c r="AL159" s="42">
        <v>36.047909143052728</v>
      </c>
      <c r="AM159" s="42">
        <v>24.538468133878258</v>
      </c>
      <c r="AN159" s="42">
        <v>3.1317779501008913</v>
      </c>
      <c r="AO159" s="42">
        <v>0</v>
      </c>
      <c r="AP159" s="42">
        <v>0</v>
      </c>
      <c r="AQ159" s="42">
        <v>27.670246083979148</v>
      </c>
      <c r="AR159" s="42">
        <v>3.4035593881570452</v>
      </c>
      <c r="AS159" s="244">
        <v>8.1297967593161342</v>
      </c>
      <c r="AT159" s="42">
        <v>24.538468133878258</v>
      </c>
      <c r="AU159" s="42">
        <v>3.7070922930679213</v>
      </c>
      <c r="AV159" s="42">
        <v>0</v>
      </c>
      <c r="AW159" s="42">
        <v>0</v>
      </c>
      <c r="AX159" s="42">
        <v>28.245560426946177</v>
      </c>
      <c r="AY159" s="42">
        <v>7.8828088919005381</v>
      </c>
      <c r="AZ159" s="244">
        <v>3.5831847269528563</v>
      </c>
      <c r="BA159" s="42">
        <v>24.538468133878258</v>
      </c>
      <c r="BB159" s="42">
        <v>6.8388702431688131</v>
      </c>
      <c r="BC159" s="42">
        <v>0</v>
      </c>
      <c r="BD159" s="42">
        <v>0</v>
      </c>
      <c r="BE159" s="42">
        <v>31.377338377047067</v>
      </c>
      <c r="BF159" s="42">
        <v>11.286368280057584</v>
      </c>
      <c r="BG159" s="42">
        <v>6.9410394356066138</v>
      </c>
      <c r="BH159" s="244">
        <v>2.7801093849196086</v>
      </c>
      <c r="BI159" s="42">
        <v>5.3118044659449453</v>
      </c>
      <c r="BJ159" s="42">
        <v>12.302397196853546</v>
      </c>
      <c r="BK159" s="42">
        <v>0</v>
      </c>
      <c r="BL159" s="42">
        <v>38.644386167433893</v>
      </c>
      <c r="BM159" s="42">
        <v>56.258587830232372</v>
      </c>
      <c r="BN159" s="42">
        <v>24.538468133878258</v>
      </c>
      <c r="BO159" s="42">
        <v>10.044684381001206</v>
      </c>
      <c r="BP159" s="42">
        <v>6.8388702431688131</v>
      </c>
      <c r="BQ159" s="42">
        <v>0</v>
      </c>
      <c r="BR159" s="42">
        <v>0</v>
      </c>
      <c r="BS159" s="42">
        <v>0</v>
      </c>
      <c r="BT159" s="42">
        <v>0</v>
      </c>
      <c r="BU159" s="42">
        <v>0</v>
      </c>
      <c r="BV159" s="42">
        <v>0</v>
      </c>
      <c r="BW159" s="42">
        <v>0</v>
      </c>
      <c r="BX159" s="42">
        <v>33.423865872645322</v>
      </c>
      <c r="BY159" s="42">
        <v>2.6240432704074066</v>
      </c>
      <c r="BZ159" s="42">
        <v>0</v>
      </c>
      <c r="CA159" s="42">
        <v>0</v>
      </c>
      <c r="CB159" s="42">
        <v>41.422022758048271</v>
      </c>
      <c r="CC159" s="42">
        <v>36.047909143052728</v>
      </c>
      <c r="CD159" s="244">
        <v>1.149082533293925</v>
      </c>
      <c r="CE159" s="42">
        <v>29.909072330150956</v>
      </c>
      <c r="CF159" s="42">
        <v>0.44790827155051133</v>
      </c>
      <c r="CG159" s="42">
        <v>0.18083670745734212</v>
      </c>
      <c r="CH159" s="42">
        <v>0.62874497900785342</v>
      </c>
      <c r="CI159" s="42">
        <v>2.2395201649173118E-2</v>
      </c>
      <c r="CJ159" s="42">
        <v>9.0418353728671033E-3</v>
      </c>
      <c r="CK159" s="42">
        <v>3.1437037022040218E-2</v>
      </c>
      <c r="CL159" s="42"/>
      <c r="CM159" s="42">
        <v>1.5456128842507868</v>
      </c>
      <c r="CN159" s="42"/>
      <c r="CO159" s="42">
        <v>0</v>
      </c>
      <c r="CP159" s="42">
        <v>0</v>
      </c>
      <c r="CQ159" s="42">
        <v>10.044684381001206</v>
      </c>
      <c r="CR159" s="42">
        <v>0</v>
      </c>
      <c r="CS159" s="42">
        <v>0</v>
      </c>
      <c r="CT159" s="42">
        <v>10.044684381001206</v>
      </c>
      <c r="CU159" s="42">
        <v>0</v>
      </c>
      <c r="CV159" s="42">
        <v>0</v>
      </c>
      <c r="CW159" s="244">
        <v>9999</v>
      </c>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row>
    <row r="160" spans="1:131">
      <c r="A160" s="18" t="s">
        <v>515</v>
      </c>
      <c r="B160" s="18"/>
      <c r="C160" s="42">
        <v>7.0000000000000009</v>
      </c>
      <c r="D160" s="42">
        <v>732.11004281221403</v>
      </c>
      <c r="E160" s="42">
        <v>24.247195731472992</v>
      </c>
      <c r="F160" s="42">
        <v>216.82180597992453</v>
      </c>
      <c r="G160" s="42">
        <v>0</v>
      </c>
      <c r="H160" s="42">
        <v>0</v>
      </c>
      <c r="I160" s="42"/>
      <c r="J160" s="42"/>
      <c r="K160" s="42"/>
      <c r="L160" s="42">
        <v>786.86843936637206</v>
      </c>
      <c r="M160" s="42">
        <v>0.14792054127957388</v>
      </c>
      <c r="N160" s="42">
        <v>0.1468529171466347</v>
      </c>
      <c r="O160" s="42">
        <v>24.489667141400993</v>
      </c>
      <c r="P160" s="42">
        <v>0</v>
      </c>
      <c r="Q160" s="42">
        <v>0</v>
      </c>
      <c r="R160" s="42">
        <v>43.23716452696312</v>
      </c>
      <c r="S160" s="42">
        <v>99.914510886210536</v>
      </c>
      <c r="T160" s="42">
        <v>0</v>
      </c>
      <c r="U160" s="42">
        <v>409.20377108924316</v>
      </c>
      <c r="V160" s="42">
        <v>13.009308358795472</v>
      </c>
      <c r="W160" s="42">
        <v>30.355052837189433</v>
      </c>
      <c r="X160" s="42">
        <v>0</v>
      </c>
      <c r="Y160" s="42">
        <v>0</v>
      </c>
      <c r="Z160" s="42">
        <v>0</v>
      </c>
      <c r="AA160" s="42">
        <v>0</v>
      </c>
      <c r="AB160" s="42">
        <v>0</v>
      </c>
      <c r="AC160" s="42">
        <v>0</v>
      </c>
      <c r="AD160" s="42">
        <v>0</v>
      </c>
      <c r="AE160" s="42">
        <v>0</v>
      </c>
      <c r="AF160" s="42">
        <v>0</v>
      </c>
      <c r="AG160" s="42">
        <v>0</v>
      </c>
      <c r="AH160" s="42">
        <v>56.246472885758592</v>
      </c>
      <c r="AI160" s="42">
        <v>130.26956372339998</v>
      </c>
      <c r="AJ160" s="42">
        <v>0</v>
      </c>
      <c r="AK160" s="42">
        <v>409.20377108924316</v>
      </c>
      <c r="AL160" s="42">
        <v>595.71980769840172</v>
      </c>
      <c r="AM160" s="42">
        <v>409.53234326818824</v>
      </c>
      <c r="AN160" s="42">
        <v>52.267499156955488</v>
      </c>
      <c r="AO160" s="42">
        <v>0</v>
      </c>
      <c r="AP160" s="42">
        <v>0</v>
      </c>
      <c r="AQ160" s="42">
        <v>461.79984242514371</v>
      </c>
      <c r="AR160" s="42">
        <v>56.246472885758592</v>
      </c>
      <c r="AS160" s="244">
        <v>8.2102897965370865</v>
      </c>
      <c r="AT160" s="42">
        <v>409.53234326818824</v>
      </c>
      <c r="AU160" s="42">
        <v>61.869151130731247</v>
      </c>
      <c r="AV160" s="42">
        <v>0</v>
      </c>
      <c r="AW160" s="42">
        <v>0</v>
      </c>
      <c r="AX160" s="42">
        <v>471.40149439891951</v>
      </c>
      <c r="AY160" s="42">
        <v>130.26956372339998</v>
      </c>
      <c r="AZ160" s="244">
        <v>3.6186618034573406</v>
      </c>
      <c r="BA160" s="42">
        <v>409.53234326818824</v>
      </c>
      <c r="BB160" s="42">
        <v>114.13665028768673</v>
      </c>
      <c r="BC160" s="42">
        <v>0</v>
      </c>
      <c r="BD160" s="42">
        <v>0</v>
      </c>
      <c r="BE160" s="42">
        <v>523.66899355587498</v>
      </c>
      <c r="BF160" s="42">
        <v>186.51603660915856</v>
      </c>
      <c r="BG160" s="42">
        <v>6.7683511840105446</v>
      </c>
      <c r="BH160" s="244">
        <v>2.8076352204138626</v>
      </c>
      <c r="BI160" s="42">
        <v>5.2597279515729358</v>
      </c>
      <c r="BJ160" s="42">
        <v>12.181785459629493</v>
      </c>
      <c r="BK160" s="42">
        <v>0</v>
      </c>
      <c r="BL160" s="42">
        <v>38.265519636380617</v>
      </c>
      <c r="BM160" s="42">
        <v>55.707033047583046</v>
      </c>
      <c r="BN160" s="42">
        <v>409.53234326818824</v>
      </c>
      <c r="BO160" s="42">
        <v>159.15432611729918</v>
      </c>
      <c r="BP160" s="42">
        <v>114.13665028768673</v>
      </c>
      <c r="BQ160" s="42">
        <v>0</v>
      </c>
      <c r="BR160" s="42">
        <v>0</v>
      </c>
      <c r="BS160" s="42">
        <v>0</v>
      </c>
      <c r="BT160" s="42">
        <v>0</v>
      </c>
      <c r="BU160" s="42">
        <v>0</v>
      </c>
      <c r="BV160" s="42">
        <v>0</v>
      </c>
      <c r="BW160" s="42">
        <v>0</v>
      </c>
      <c r="BX160" s="42">
        <v>552.35544650241684</v>
      </c>
      <c r="BY160" s="42">
        <v>43.364361195984912</v>
      </c>
      <c r="BZ160" s="42">
        <v>0</v>
      </c>
      <c r="CA160" s="42">
        <v>0</v>
      </c>
      <c r="CB160" s="42">
        <v>682.82331967317418</v>
      </c>
      <c r="CC160" s="42">
        <v>595.71980769840172</v>
      </c>
      <c r="CD160" s="244">
        <v>1.1462155712285311</v>
      </c>
      <c r="CE160" s="42">
        <v>30.151009464921778</v>
      </c>
      <c r="CF160" s="42">
        <v>7.4753209131271747</v>
      </c>
      <c r="CG160" s="42">
        <v>2.8652910555439179</v>
      </c>
      <c r="CH160" s="42">
        <v>10.340611968671093</v>
      </c>
      <c r="CI160" s="42">
        <v>0.37376250869902672</v>
      </c>
      <c r="CJ160" s="42">
        <v>0.1432645527771958</v>
      </c>
      <c r="CK160" s="42">
        <v>0.51702706147622246</v>
      </c>
      <c r="CL160" s="42"/>
      <c r="CM160" s="42">
        <v>24.489667141400993</v>
      </c>
      <c r="CN160" s="42"/>
      <c r="CO160" s="42">
        <v>0</v>
      </c>
      <c r="CP160" s="42">
        <v>0</v>
      </c>
      <c r="CQ160" s="42">
        <v>159.15432611729918</v>
      </c>
      <c r="CR160" s="42">
        <v>0</v>
      </c>
      <c r="CS160" s="42">
        <v>0</v>
      </c>
      <c r="CT160" s="42">
        <v>159.15432611729918</v>
      </c>
      <c r="CU160" s="42">
        <v>0</v>
      </c>
      <c r="CV160" s="42">
        <v>0</v>
      </c>
      <c r="CW160" s="244">
        <v>9999</v>
      </c>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row>
    <row r="161" spans="1:131">
      <c r="A161" s="18" t="s">
        <v>510</v>
      </c>
      <c r="B161" s="18"/>
      <c r="C161" s="42">
        <v>7</v>
      </c>
      <c r="D161" s="42">
        <v>30.22286392173876</v>
      </c>
      <c r="E161" s="42">
        <v>0.50772487836400126</v>
      </c>
      <c r="F161" s="42">
        <v>9.8287573310080454</v>
      </c>
      <c r="G161" s="42">
        <v>0</v>
      </c>
      <c r="H161" s="42">
        <v>0</v>
      </c>
      <c r="I161" s="42"/>
      <c r="J161" s="42"/>
      <c r="K161" s="42"/>
      <c r="L161" s="42">
        <v>32.483392354420594</v>
      </c>
      <c r="M161" s="42">
        <v>6.1064350014239654E-3</v>
      </c>
      <c r="N161" s="42">
        <v>6.0623614919752484E-3</v>
      </c>
      <c r="O161" s="42">
        <v>0.51280211568562051</v>
      </c>
      <c r="P161" s="42">
        <v>0</v>
      </c>
      <c r="Q161" s="42">
        <v>0</v>
      </c>
      <c r="R161" s="42">
        <v>1.9599855092791612</v>
      </c>
      <c r="S161" s="42">
        <v>4.5292283998310179</v>
      </c>
      <c r="T161" s="42">
        <v>0</v>
      </c>
      <c r="U161" s="42">
        <v>18.549631328787701</v>
      </c>
      <c r="V161" s="42">
        <v>0.58972543986048276</v>
      </c>
      <c r="W161" s="42">
        <v>1.3760260263411264</v>
      </c>
      <c r="X161" s="42">
        <v>0</v>
      </c>
      <c r="Y161" s="42">
        <v>0</v>
      </c>
      <c r="Z161" s="42">
        <v>0</v>
      </c>
      <c r="AA161" s="42">
        <v>0</v>
      </c>
      <c r="AB161" s="42">
        <v>0</v>
      </c>
      <c r="AC161" s="42">
        <v>0</v>
      </c>
      <c r="AD161" s="42">
        <v>0</v>
      </c>
      <c r="AE161" s="42">
        <v>0</v>
      </c>
      <c r="AF161" s="42">
        <v>0</v>
      </c>
      <c r="AG161" s="42">
        <v>0</v>
      </c>
      <c r="AH161" s="42">
        <v>2.5497109491396439</v>
      </c>
      <c r="AI161" s="42">
        <v>5.905254426172144</v>
      </c>
      <c r="AJ161" s="42">
        <v>0</v>
      </c>
      <c r="AK161" s="42">
        <v>18.549631328787701</v>
      </c>
      <c r="AL161" s="42">
        <v>27.004596704099491</v>
      </c>
      <c r="AM161" s="42">
        <v>16.906256653168196</v>
      </c>
      <c r="AN161" s="42">
        <v>2.1576995563158072</v>
      </c>
      <c r="AO161" s="42">
        <v>0</v>
      </c>
      <c r="AP161" s="42">
        <v>0</v>
      </c>
      <c r="AQ161" s="42">
        <v>19.063956209484004</v>
      </c>
      <c r="AR161" s="42">
        <v>2.5497109491396439</v>
      </c>
      <c r="AS161" s="244">
        <v>7.4769087907461858</v>
      </c>
      <c r="AT161" s="42">
        <v>16.906256653168196</v>
      </c>
      <c r="AU161" s="42">
        <v>2.5540736040103735</v>
      </c>
      <c r="AV161" s="42">
        <v>0</v>
      </c>
      <c r="AW161" s="42">
        <v>0</v>
      </c>
      <c r="AX161" s="42">
        <v>19.460330257178569</v>
      </c>
      <c r="AY161" s="42">
        <v>5.905254426172144</v>
      </c>
      <c r="AZ161" s="244">
        <v>3.2954262175275972</v>
      </c>
      <c r="BA161" s="42">
        <v>16.906256653168196</v>
      </c>
      <c r="BB161" s="42">
        <v>4.7117731603261808</v>
      </c>
      <c r="BC161" s="42">
        <v>0</v>
      </c>
      <c r="BD161" s="42">
        <v>0</v>
      </c>
      <c r="BE161" s="42">
        <v>21.618029813494378</v>
      </c>
      <c r="BF161" s="42">
        <v>8.4549653753117884</v>
      </c>
      <c r="BG161" s="42">
        <v>8.4791216382193948</v>
      </c>
      <c r="BH161" s="244">
        <v>2.5568442747995506</v>
      </c>
      <c r="BI161" s="42">
        <v>5.7756342817511426</v>
      </c>
      <c r="BJ161" s="42">
        <v>13.376649583660136</v>
      </c>
      <c r="BK161" s="42">
        <v>0</v>
      </c>
      <c r="BL161" s="42">
        <v>42.018836155738519</v>
      </c>
      <c r="BM161" s="42">
        <v>61.171120021149804</v>
      </c>
      <c r="BN161" s="42">
        <v>16.906256653168196</v>
      </c>
      <c r="BO161" s="42">
        <v>3.3326167596413176</v>
      </c>
      <c r="BP161" s="42">
        <v>4.7117731603261808</v>
      </c>
      <c r="BQ161" s="42">
        <v>0</v>
      </c>
      <c r="BR161" s="42">
        <v>0</v>
      </c>
      <c r="BS161" s="42">
        <v>0</v>
      </c>
      <c r="BT161" s="42">
        <v>0</v>
      </c>
      <c r="BU161" s="42">
        <v>0</v>
      </c>
      <c r="BV161" s="42">
        <v>0</v>
      </c>
      <c r="BW161" s="42">
        <v>0</v>
      </c>
      <c r="BX161" s="42">
        <v>25.038845237897881</v>
      </c>
      <c r="BY161" s="42">
        <v>1.9657514662016093</v>
      </c>
      <c r="BZ161" s="42">
        <v>0</v>
      </c>
      <c r="CA161" s="42">
        <v>0</v>
      </c>
      <c r="CB161" s="42">
        <v>24.950646573135696</v>
      </c>
      <c r="CC161" s="42">
        <v>27.004596704099491</v>
      </c>
      <c r="CD161" s="245">
        <v>0.92394072189006282</v>
      </c>
      <c r="CE161" s="42">
        <v>42.948876353405723</v>
      </c>
      <c r="CF161" s="42">
        <v>0.30859514761050849</v>
      </c>
      <c r="CG161" s="42">
        <v>5.9997847535217648E-2</v>
      </c>
      <c r="CH161" s="42">
        <v>0.36859299514572613</v>
      </c>
      <c r="CI161" s="42">
        <v>1.5429611368349781E-2</v>
      </c>
      <c r="CJ161" s="42">
        <v>2.9998923767608804E-3</v>
      </c>
      <c r="CK161" s="42">
        <v>1.8429503745110661E-2</v>
      </c>
      <c r="CL161" s="42"/>
      <c r="CM161" s="42">
        <v>0.51280211568562051</v>
      </c>
      <c r="CN161" s="42"/>
      <c r="CO161" s="42">
        <v>0</v>
      </c>
      <c r="CP161" s="42">
        <v>0</v>
      </c>
      <c r="CQ161" s="42">
        <v>3.3326167596413176</v>
      </c>
      <c r="CR161" s="42">
        <v>0</v>
      </c>
      <c r="CS161" s="42">
        <v>0</v>
      </c>
      <c r="CT161" s="42">
        <v>3.3326167596413176</v>
      </c>
      <c r="CU161" s="42">
        <v>0</v>
      </c>
      <c r="CV161" s="42">
        <v>0</v>
      </c>
      <c r="CW161" s="244">
        <v>9999</v>
      </c>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row>
    <row r="162" spans="1:131">
      <c r="A162" s="18" t="s">
        <v>514</v>
      </c>
      <c r="B162" s="18"/>
      <c r="C162" s="42">
        <v>7</v>
      </c>
      <c r="D162" s="42">
        <v>168.91847811004158</v>
      </c>
      <c r="E162" s="42">
        <v>6.690154884316704</v>
      </c>
      <c r="F162" s="42">
        <v>82.30234988560494</v>
      </c>
      <c r="G162" s="42">
        <v>0</v>
      </c>
      <c r="H162" s="42">
        <v>0</v>
      </c>
      <c r="I162" s="42"/>
      <c r="J162" s="42"/>
      <c r="K162" s="42"/>
      <c r="L162" s="42">
        <v>181.55278780226234</v>
      </c>
      <c r="M162" s="42">
        <v>3.4129449472076467E-2</v>
      </c>
      <c r="N162" s="42">
        <v>3.3883118410919455E-2</v>
      </c>
      <c r="O162" s="42">
        <v>6.7570562821278903</v>
      </c>
      <c r="P162" s="42">
        <v>0</v>
      </c>
      <c r="Q162" s="42">
        <v>0</v>
      </c>
      <c r="R162" s="42">
        <v>16.412188003309353</v>
      </c>
      <c r="S162" s="42">
        <v>37.926070195944071</v>
      </c>
      <c r="T162" s="42">
        <v>0</v>
      </c>
      <c r="U162" s="42">
        <v>155.32769774002421</v>
      </c>
      <c r="V162" s="42">
        <v>4.9381409931362965</v>
      </c>
      <c r="W162" s="42">
        <v>11.522328983984693</v>
      </c>
      <c r="X162" s="42">
        <v>0</v>
      </c>
      <c r="Y162" s="42">
        <v>0</v>
      </c>
      <c r="Z162" s="42">
        <v>0</v>
      </c>
      <c r="AA162" s="42">
        <v>0</v>
      </c>
      <c r="AB162" s="42">
        <v>0</v>
      </c>
      <c r="AC162" s="42">
        <v>0</v>
      </c>
      <c r="AD162" s="42">
        <v>0</v>
      </c>
      <c r="AE162" s="42">
        <v>0</v>
      </c>
      <c r="AF162" s="42">
        <v>0</v>
      </c>
      <c r="AG162" s="42">
        <v>0</v>
      </c>
      <c r="AH162" s="42">
        <v>21.350328996445651</v>
      </c>
      <c r="AI162" s="42">
        <v>49.448399179928764</v>
      </c>
      <c r="AJ162" s="42">
        <v>0</v>
      </c>
      <c r="AK162" s="42">
        <v>155.32769774002421</v>
      </c>
      <c r="AL162" s="42">
        <v>226.12642591639863</v>
      </c>
      <c r="AM162" s="42">
        <v>94.490685984819265</v>
      </c>
      <c r="AN162" s="42">
        <v>12.059589263789711</v>
      </c>
      <c r="AO162" s="42">
        <v>0</v>
      </c>
      <c r="AP162" s="42">
        <v>0</v>
      </c>
      <c r="AQ162" s="42">
        <v>106.55027524860898</v>
      </c>
      <c r="AR162" s="42">
        <v>21.350328996445651</v>
      </c>
      <c r="AS162" s="244">
        <v>4.9905683076990153</v>
      </c>
      <c r="AT162" s="42">
        <v>94.490685984819265</v>
      </c>
      <c r="AU162" s="42">
        <v>14.274961740476925</v>
      </c>
      <c r="AV162" s="42">
        <v>0</v>
      </c>
      <c r="AW162" s="42">
        <v>0</v>
      </c>
      <c r="AX162" s="42">
        <v>108.76564772529619</v>
      </c>
      <c r="AY162" s="42">
        <v>49.448399179928764</v>
      </c>
      <c r="AZ162" s="244">
        <v>2.1995787432779919</v>
      </c>
      <c r="BA162" s="42">
        <v>94.490685984819265</v>
      </c>
      <c r="BB162" s="42">
        <v>26.334551004266636</v>
      </c>
      <c r="BC162" s="42">
        <v>0</v>
      </c>
      <c r="BD162" s="42">
        <v>0</v>
      </c>
      <c r="BE162" s="42">
        <v>120.82523698908591</v>
      </c>
      <c r="BF162" s="42">
        <v>70.798728176374411</v>
      </c>
      <c r="BG162" s="42">
        <v>18.020940481560494</v>
      </c>
      <c r="BH162" s="244">
        <v>1.7066018006437209</v>
      </c>
      <c r="BI162" s="42">
        <v>8.6531008235554747</v>
      </c>
      <c r="BJ162" s="42">
        <v>20.041001885196906</v>
      </c>
      <c r="BK162" s="42">
        <v>0</v>
      </c>
      <c r="BL162" s="42">
        <v>62.952951659852005</v>
      </c>
      <c r="BM162" s="42">
        <v>91.647054368604387</v>
      </c>
      <c r="BN162" s="42">
        <v>94.490685984819265</v>
      </c>
      <c r="BO162" s="42">
        <v>43.912999425814391</v>
      </c>
      <c r="BP162" s="42">
        <v>26.334551004266636</v>
      </c>
      <c r="BQ162" s="42">
        <v>0</v>
      </c>
      <c r="BR162" s="42">
        <v>0</v>
      </c>
      <c r="BS162" s="42">
        <v>0</v>
      </c>
      <c r="BT162" s="42">
        <v>0</v>
      </c>
      <c r="BU162" s="42">
        <v>0</v>
      </c>
      <c r="BV162" s="42">
        <v>0</v>
      </c>
      <c r="BW162" s="42">
        <v>0</v>
      </c>
      <c r="BX162" s="42">
        <v>209.66595593927764</v>
      </c>
      <c r="BY162" s="42">
        <v>16.46046997712099</v>
      </c>
      <c r="BZ162" s="42">
        <v>0</v>
      </c>
      <c r="CA162" s="42">
        <v>0</v>
      </c>
      <c r="CB162" s="42">
        <v>164.73823641490031</v>
      </c>
      <c r="CC162" s="42">
        <v>226.12642591639863</v>
      </c>
      <c r="CD162" s="245">
        <v>0.72852270913177486</v>
      </c>
      <c r="CE162" s="42">
        <v>63.176339159462458</v>
      </c>
      <c r="CF162" s="42">
        <v>1.7247678056418865</v>
      </c>
      <c r="CG162" s="42">
        <v>0.79057558500896274</v>
      </c>
      <c r="CH162" s="42">
        <v>2.5153433906508491</v>
      </c>
      <c r="CI162" s="42">
        <v>8.6237574206074599E-2</v>
      </c>
      <c r="CJ162" s="42">
        <v>3.9528779250448155E-2</v>
      </c>
      <c r="CK162" s="42">
        <v>0.12576635345652276</v>
      </c>
      <c r="CL162" s="42"/>
      <c r="CM162" s="42">
        <v>6.7570562821278903</v>
      </c>
      <c r="CN162" s="42"/>
      <c r="CO162" s="42">
        <v>0</v>
      </c>
      <c r="CP162" s="42">
        <v>0</v>
      </c>
      <c r="CQ162" s="42">
        <v>43.912999425814391</v>
      </c>
      <c r="CR162" s="42">
        <v>0</v>
      </c>
      <c r="CS162" s="42">
        <v>0</v>
      </c>
      <c r="CT162" s="42">
        <v>43.912999425814391</v>
      </c>
      <c r="CU162" s="42">
        <v>0</v>
      </c>
      <c r="CV162" s="42">
        <v>0</v>
      </c>
      <c r="CW162" s="244">
        <v>9999</v>
      </c>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row>
    <row r="163" spans="1:131">
      <c r="A163" s="18" t="s">
        <v>516</v>
      </c>
      <c r="B163" s="18"/>
      <c r="C163" s="42">
        <v>7</v>
      </c>
      <c r="D163" s="42">
        <v>26.568521570564172</v>
      </c>
      <c r="E163" s="42">
        <v>0.9942480249625304</v>
      </c>
      <c r="F163" s="42">
        <v>14.592559195953809</v>
      </c>
      <c r="G163" s="42">
        <v>0</v>
      </c>
      <c r="H163" s="42">
        <v>0</v>
      </c>
      <c r="I163" s="42"/>
      <c r="J163" s="42"/>
      <c r="K163" s="42"/>
      <c r="L163" s="42">
        <v>28.555722339495329</v>
      </c>
      <c r="M163" s="42">
        <v>5.368086574280115E-3</v>
      </c>
      <c r="N163" s="42">
        <v>5.3293421326709115E-3</v>
      </c>
      <c r="O163" s="42">
        <v>1.0041904827667487</v>
      </c>
      <c r="P163" s="42">
        <v>0</v>
      </c>
      <c r="Q163" s="42">
        <v>0</v>
      </c>
      <c r="R163" s="42">
        <v>2.9099512384069075</v>
      </c>
      <c r="S163" s="42">
        <v>6.7244547108734771</v>
      </c>
      <c r="T163" s="42">
        <v>0</v>
      </c>
      <c r="U163" s="42">
        <v>27.540266191584976</v>
      </c>
      <c r="V163" s="42">
        <v>0.8755535517572286</v>
      </c>
      <c r="W163" s="42">
        <v>2.0429582874335335</v>
      </c>
      <c r="X163" s="42">
        <v>0</v>
      </c>
      <c r="Y163" s="42">
        <v>0</v>
      </c>
      <c r="Z163" s="42">
        <v>0</v>
      </c>
      <c r="AA163" s="42">
        <v>0</v>
      </c>
      <c r="AB163" s="42">
        <v>0</v>
      </c>
      <c r="AC163" s="42">
        <v>0</v>
      </c>
      <c r="AD163" s="42">
        <v>0</v>
      </c>
      <c r="AE163" s="42">
        <v>0</v>
      </c>
      <c r="AF163" s="42">
        <v>0</v>
      </c>
      <c r="AG163" s="42">
        <v>0</v>
      </c>
      <c r="AH163" s="42">
        <v>3.7855047901641363</v>
      </c>
      <c r="AI163" s="42">
        <v>8.7674129983070106</v>
      </c>
      <c r="AJ163" s="42">
        <v>0</v>
      </c>
      <c r="AK163" s="42">
        <v>27.540266191584976</v>
      </c>
      <c r="AL163" s="42">
        <v>40.093183980056125</v>
      </c>
      <c r="AM163" s="42">
        <v>14.862067530407344</v>
      </c>
      <c r="AN163" s="42">
        <v>1.8968052582051658</v>
      </c>
      <c r="AO163" s="42">
        <v>0</v>
      </c>
      <c r="AP163" s="42">
        <v>0</v>
      </c>
      <c r="AQ163" s="42">
        <v>16.758872788612511</v>
      </c>
      <c r="AR163" s="42">
        <v>3.7855047901641363</v>
      </c>
      <c r="AS163" s="244">
        <v>4.4271170471523451</v>
      </c>
      <c r="AT163" s="42">
        <v>14.862067530407344</v>
      </c>
      <c r="AU163" s="42">
        <v>2.245252462396496</v>
      </c>
      <c r="AV163" s="42">
        <v>0</v>
      </c>
      <c r="AW163" s="42">
        <v>0</v>
      </c>
      <c r="AX163" s="42">
        <v>17.107319992803841</v>
      </c>
      <c r="AY163" s="42">
        <v>8.7674129983070106</v>
      </c>
      <c r="AZ163" s="244">
        <v>1.951239207746603</v>
      </c>
      <c r="BA163" s="42">
        <v>14.862067530407344</v>
      </c>
      <c r="BB163" s="42">
        <v>4.1420577206016613</v>
      </c>
      <c r="BC163" s="42">
        <v>0</v>
      </c>
      <c r="BD163" s="42">
        <v>0</v>
      </c>
      <c r="BE163" s="42">
        <v>19.004125251009008</v>
      </c>
      <c r="BF163" s="42">
        <v>12.552917788471147</v>
      </c>
      <c r="BG163" s="42">
        <v>21.672917189947164</v>
      </c>
      <c r="BH163" s="244">
        <v>1.5139209521839441</v>
      </c>
      <c r="BI163" s="42">
        <v>9.754404564735264</v>
      </c>
      <c r="BJ163" s="42">
        <v>22.591674852403784</v>
      </c>
      <c r="BK163" s="42">
        <v>0</v>
      </c>
      <c r="BL163" s="42">
        <v>70.965145507469501</v>
      </c>
      <c r="BM163" s="42">
        <v>103.31122492460857</v>
      </c>
      <c r="BN163" s="42">
        <v>14.862067530407344</v>
      </c>
      <c r="BO163" s="42">
        <v>6.5260690827423149</v>
      </c>
      <c r="BP163" s="42">
        <v>4.1420577206016613</v>
      </c>
      <c r="BQ163" s="42">
        <v>0</v>
      </c>
      <c r="BR163" s="42">
        <v>0</v>
      </c>
      <c r="BS163" s="42">
        <v>0</v>
      </c>
      <c r="BT163" s="42">
        <v>0</v>
      </c>
      <c r="BU163" s="42">
        <v>0</v>
      </c>
      <c r="BV163" s="42">
        <v>0</v>
      </c>
      <c r="BW163" s="42">
        <v>0</v>
      </c>
      <c r="BX163" s="42">
        <v>37.174672140865361</v>
      </c>
      <c r="BY163" s="42">
        <v>2.9185118391907623</v>
      </c>
      <c r="BZ163" s="42">
        <v>0</v>
      </c>
      <c r="CA163" s="42">
        <v>0</v>
      </c>
      <c r="CB163" s="42">
        <v>25.530194333751322</v>
      </c>
      <c r="CC163" s="42">
        <v>40.093183980056125</v>
      </c>
      <c r="CD163" s="245">
        <v>0.63677143592414642</v>
      </c>
      <c r="CE163" s="42">
        <v>75.821833005703837</v>
      </c>
      <c r="CF163" s="42">
        <v>0.2712819293728112</v>
      </c>
      <c r="CG163" s="42">
        <v>0.11749028648370959</v>
      </c>
      <c r="CH163" s="42">
        <v>0.38877221585652078</v>
      </c>
      <c r="CI163" s="42">
        <v>1.3563968111260281E-2</v>
      </c>
      <c r="CJ163" s="42">
        <v>5.8745143241854788E-3</v>
      </c>
      <c r="CK163" s="42">
        <v>1.9438482435445759E-2</v>
      </c>
      <c r="CL163" s="42"/>
      <c r="CM163" s="42">
        <v>1.0041904827667487</v>
      </c>
      <c r="CN163" s="42"/>
      <c r="CO163" s="42">
        <v>0</v>
      </c>
      <c r="CP163" s="42">
        <v>0</v>
      </c>
      <c r="CQ163" s="42">
        <v>6.5260690827423149</v>
      </c>
      <c r="CR163" s="42">
        <v>0</v>
      </c>
      <c r="CS163" s="42">
        <v>0</v>
      </c>
      <c r="CT163" s="42">
        <v>6.5260690827423149</v>
      </c>
      <c r="CU163" s="42">
        <v>0</v>
      </c>
      <c r="CV163" s="42">
        <v>0</v>
      </c>
      <c r="CW163" s="244">
        <v>9999</v>
      </c>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row>
    <row r="164" spans="1:131">
      <c r="A164" s="18" t="s">
        <v>512</v>
      </c>
      <c r="B164" s="18"/>
      <c r="C164" s="42">
        <v>7</v>
      </c>
      <c r="D164" s="42">
        <v>32.580534206915488</v>
      </c>
      <c r="E164" s="42">
        <v>0.49943654141691707</v>
      </c>
      <c r="F164" s="42">
        <v>15.378181835946439</v>
      </c>
      <c r="G164" s="42">
        <v>0</v>
      </c>
      <c r="H164" s="42">
        <v>0</v>
      </c>
      <c r="I164" s="42"/>
      <c r="J164" s="42"/>
      <c r="K164" s="42"/>
      <c r="L164" s="42">
        <v>35.017405316066764</v>
      </c>
      <c r="M164" s="42">
        <v>6.5827948986362517E-3</v>
      </c>
      <c r="N164" s="42">
        <v>6.5352832370699932E-3</v>
      </c>
      <c r="O164" s="42">
        <v>0.50443089555617682</v>
      </c>
      <c r="P164" s="42">
        <v>0</v>
      </c>
      <c r="Q164" s="42">
        <v>0</v>
      </c>
      <c r="R164" s="42">
        <v>3.0666148875631802</v>
      </c>
      <c r="S164" s="42">
        <v>7.0864805756670979</v>
      </c>
      <c r="T164" s="42">
        <v>0</v>
      </c>
      <c r="U164" s="42">
        <v>29.022957222061116</v>
      </c>
      <c r="V164" s="42">
        <v>0.92269091015678628</v>
      </c>
      <c r="W164" s="42">
        <v>2.1529454570325011</v>
      </c>
      <c r="X164" s="42">
        <v>0</v>
      </c>
      <c r="Y164" s="42">
        <v>0</v>
      </c>
      <c r="Z164" s="42">
        <v>0</v>
      </c>
      <c r="AA164" s="42">
        <v>0</v>
      </c>
      <c r="AB164" s="42">
        <v>0</v>
      </c>
      <c r="AC164" s="42">
        <v>0</v>
      </c>
      <c r="AD164" s="42">
        <v>0</v>
      </c>
      <c r="AE164" s="42">
        <v>0</v>
      </c>
      <c r="AF164" s="42">
        <v>0</v>
      </c>
      <c r="AG164" s="42">
        <v>0</v>
      </c>
      <c r="AH164" s="42">
        <v>3.9893057977199664</v>
      </c>
      <c r="AI164" s="42">
        <v>9.2394260326995994</v>
      </c>
      <c r="AJ164" s="42">
        <v>0</v>
      </c>
      <c r="AK164" s="42">
        <v>29.022957222061116</v>
      </c>
      <c r="AL164" s="42">
        <v>42.251689052480685</v>
      </c>
      <c r="AM164" s="42">
        <v>18.225105159648617</v>
      </c>
      <c r="AN164" s="42">
        <v>2.3260206042958336</v>
      </c>
      <c r="AO164" s="42">
        <v>0</v>
      </c>
      <c r="AP164" s="42">
        <v>0</v>
      </c>
      <c r="AQ164" s="42">
        <v>20.551125763944452</v>
      </c>
      <c r="AR164" s="42">
        <v>3.9893057977199664</v>
      </c>
      <c r="AS164" s="244">
        <v>5.1515543821409153</v>
      </c>
      <c r="AT164" s="42">
        <v>18.225105159648617</v>
      </c>
      <c r="AU164" s="42">
        <v>2.7533155904059186</v>
      </c>
      <c r="AV164" s="42">
        <v>0</v>
      </c>
      <c r="AW164" s="42">
        <v>0</v>
      </c>
      <c r="AX164" s="42">
        <v>20.978420750054536</v>
      </c>
      <c r="AY164" s="42">
        <v>9.2394260326995994</v>
      </c>
      <c r="AZ164" s="244">
        <v>2.2705328962869578</v>
      </c>
      <c r="BA164" s="42">
        <v>18.225105159648617</v>
      </c>
      <c r="BB164" s="42">
        <v>5.0793361947017521</v>
      </c>
      <c r="BC164" s="42">
        <v>0</v>
      </c>
      <c r="BD164" s="42">
        <v>0</v>
      </c>
      <c r="BE164" s="42">
        <v>23.30444135435037</v>
      </c>
      <c r="BF164" s="42">
        <v>13.228731830419566</v>
      </c>
      <c r="BG164" s="42">
        <v>17.12424977191198</v>
      </c>
      <c r="BH164" s="244">
        <v>1.7616534716322267</v>
      </c>
      <c r="BI164" s="42">
        <v>8.3826914228193647</v>
      </c>
      <c r="BJ164" s="42">
        <v>19.414720576284498</v>
      </c>
      <c r="BK164" s="42">
        <v>0</v>
      </c>
      <c r="BL164" s="42">
        <v>60.985671920481607</v>
      </c>
      <c r="BM164" s="42">
        <v>88.783083919585479</v>
      </c>
      <c r="BN164" s="42">
        <v>18.225105159648617</v>
      </c>
      <c r="BO164" s="42">
        <v>3.2782135743800183</v>
      </c>
      <c r="BP164" s="42">
        <v>5.0793361947017521</v>
      </c>
      <c r="BQ164" s="42">
        <v>0</v>
      </c>
      <c r="BR164" s="42">
        <v>0</v>
      </c>
      <c r="BS164" s="42">
        <v>0</v>
      </c>
      <c r="BT164" s="42">
        <v>0</v>
      </c>
      <c r="BU164" s="42">
        <v>0</v>
      </c>
      <c r="BV164" s="42">
        <v>0</v>
      </c>
      <c r="BW164" s="42">
        <v>0</v>
      </c>
      <c r="BX164" s="42">
        <v>39.176052685291396</v>
      </c>
      <c r="BY164" s="42">
        <v>3.0756363671892877</v>
      </c>
      <c r="BZ164" s="42">
        <v>0</v>
      </c>
      <c r="CA164" s="42">
        <v>0</v>
      </c>
      <c r="CB164" s="42">
        <v>26.582654928730388</v>
      </c>
      <c r="CC164" s="42">
        <v>42.251689052480685</v>
      </c>
      <c r="CD164" s="245">
        <v>0.6291501126904574</v>
      </c>
      <c r="CE164" s="42">
        <v>71.221441789992696</v>
      </c>
      <c r="CF164" s="42">
        <v>0.33266849855286207</v>
      </c>
      <c r="CG164" s="42">
        <v>5.9018414780072699E-2</v>
      </c>
      <c r="CH164" s="42">
        <v>0.39168691333293476</v>
      </c>
      <c r="CI164" s="42">
        <v>1.6633267525131709E-2</v>
      </c>
      <c r="CJ164" s="42">
        <v>2.9509207390036344E-3</v>
      </c>
      <c r="CK164" s="42">
        <v>1.9584188264135344E-2</v>
      </c>
      <c r="CL164" s="42"/>
      <c r="CM164" s="42">
        <v>0.50443089555617682</v>
      </c>
      <c r="CN164" s="42"/>
      <c r="CO164" s="42">
        <v>0</v>
      </c>
      <c r="CP164" s="42">
        <v>0</v>
      </c>
      <c r="CQ164" s="42">
        <v>3.2782135743800183</v>
      </c>
      <c r="CR164" s="42">
        <v>0</v>
      </c>
      <c r="CS164" s="42">
        <v>0</v>
      </c>
      <c r="CT164" s="42">
        <v>3.2782135743800183</v>
      </c>
      <c r="CU164" s="42">
        <v>0</v>
      </c>
      <c r="CV164" s="42">
        <v>0</v>
      </c>
      <c r="CW164" s="244">
        <v>9999</v>
      </c>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row>
    <row r="165" spans="1:131">
      <c r="A165" s="18" t="s">
        <v>511</v>
      </c>
      <c r="B165" s="18"/>
      <c r="C165" s="42">
        <v>6.9999999999999991</v>
      </c>
      <c r="D165" s="42">
        <v>218.90343684195983</v>
      </c>
      <c r="E165" s="42">
        <v>2.3089148903798749</v>
      </c>
      <c r="F165" s="42">
        <v>143.75452147683055</v>
      </c>
      <c r="G165" s="42">
        <v>0</v>
      </c>
      <c r="H165" s="42">
        <v>0</v>
      </c>
      <c r="I165" s="42"/>
      <c r="J165" s="42"/>
      <c r="K165" s="42"/>
      <c r="L165" s="42">
        <v>235.27638694603962</v>
      </c>
      <c r="M165" s="42">
        <v>4.4228753837662151E-2</v>
      </c>
      <c r="N165" s="42">
        <v>4.3909530526562525E-2</v>
      </c>
      <c r="O165" s="42">
        <v>2.3320039871593217</v>
      </c>
      <c r="P165" s="42">
        <v>0</v>
      </c>
      <c r="Q165" s="42">
        <v>0</v>
      </c>
      <c r="R165" s="42">
        <v>28.666571927567425</v>
      </c>
      <c r="S165" s="42">
        <v>66.244087563631169</v>
      </c>
      <c r="T165" s="42">
        <v>0</v>
      </c>
      <c r="U165" s="42">
        <v>271.30524088013198</v>
      </c>
      <c r="V165" s="42">
        <v>8.6252712886098326</v>
      </c>
      <c r="W165" s="42">
        <v>20.125633006756274</v>
      </c>
      <c r="X165" s="42">
        <v>0</v>
      </c>
      <c r="Y165" s="42">
        <v>0</v>
      </c>
      <c r="Z165" s="42">
        <v>0</v>
      </c>
      <c r="AA165" s="42">
        <v>0</v>
      </c>
      <c r="AB165" s="42">
        <v>0</v>
      </c>
      <c r="AC165" s="42">
        <v>0</v>
      </c>
      <c r="AD165" s="42">
        <v>0</v>
      </c>
      <c r="AE165" s="42">
        <v>0</v>
      </c>
      <c r="AF165" s="42">
        <v>0</v>
      </c>
      <c r="AG165" s="42">
        <v>0</v>
      </c>
      <c r="AH165" s="42">
        <v>37.291843216177256</v>
      </c>
      <c r="AI165" s="42">
        <v>86.369720570387443</v>
      </c>
      <c r="AJ165" s="42">
        <v>0</v>
      </c>
      <c r="AK165" s="42">
        <v>271.30524088013198</v>
      </c>
      <c r="AL165" s="42">
        <v>394.9668046666967</v>
      </c>
      <c r="AM165" s="42">
        <v>122.4515881451203</v>
      </c>
      <c r="AN165" s="42">
        <v>15.628163160611834</v>
      </c>
      <c r="AO165" s="42">
        <v>0</v>
      </c>
      <c r="AP165" s="42">
        <v>0</v>
      </c>
      <c r="AQ165" s="42">
        <v>138.07975130573215</v>
      </c>
      <c r="AR165" s="42">
        <v>37.291843216177256</v>
      </c>
      <c r="AS165" s="244">
        <v>3.7026797121637833</v>
      </c>
      <c r="AT165" s="42">
        <v>122.4515881451203</v>
      </c>
      <c r="AU165" s="42">
        <v>18.499090334819471</v>
      </c>
      <c r="AV165" s="42">
        <v>0</v>
      </c>
      <c r="AW165" s="42">
        <v>0</v>
      </c>
      <c r="AX165" s="42">
        <v>140.95067847993977</v>
      </c>
      <c r="AY165" s="42">
        <v>86.369720570387443</v>
      </c>
      <c r="AZ165" s="244">
        <v>1.6319455192062511</v>
      </c>
      <c r="BA165" s="42">
        <v>122.4515881451203</v>
      </c>
      <c r="BB165" s="42">
        <v>34.127253495431304</v>
      </c>
      <c r="BC165" s="42">
        <v>0</v>
      </c>
      <c r="BD165" s="42">
        <v>0</v>
      </c>
      <c r="BE165" s="42">
        <v>156.57884164055162</v>
      </c>
      <c r="BF165" s="42">
        <v>123.6615637865647</v>
      </c>
      <c r="BG165" s="42">
        <v>28.001497945474366</v>
      </c>
      <c r="BH165" s="244">
        <v>1.2661884327356634</v>
      </c>
      <c r="BI165" s="42">
        <v>11.662875023053033</v>
      </c>
      <c r="BJ165" s="42">
        <v>27.011785149613225</v>
      </c>
      <c r="BK165" s="42">
        <v>0</v>
      </c>
      <c r="BL165" s="42">
        <v>84.849630498061387</v>
      </c>
      <c r="BM165" s="42">
        <v>123.52429067072765</v>
      </c>
      <c r="BN165" s="42">
        <v>122.4515881451203</v>
      </c>
      <c r="BO165" s="42">
        <v>15.155311051645604</v>
      </c>
      <c r="BP165" s="42">
        <v>34.127253495431304</v>
      </c>
      <c r="BQ165" s="42">
        <v>0</v>
      </c>
      <c r="BR165" s="42">
        <v>0</v>
      </c>
      <c r="BS165" s="42">
        <v>0</v>
      </c>
      <c r="BT165" s="42">
        <v>0</v>
      </c>
      <c r="BU165" s="42">
        <v>0</v>
      </c>
      <c r="BV165" s="42">
        <v>0</v>
      </c>
      <c r="BW165" s="42">
        <v>0</v>
      </c>
      <c r="BX165" s="42">
        <v>366.21590037133058</v>
      </c>
      <c r="BY165" s="42">
        <v>28.750904295366112</v>
      </c>
      <c r="BZ165" s="42">
        <v>0</v>
      </c>
      <c r="CA165" s="42">
        <v>0</v>
      </c>
      <c r="CB165" s="42">
        <v>171.73415269219723</v>
      </c>
      <c r="CC165" s="42">
        <v>394.9668046666967</v>
      </c>
      <c r="CD165" s="245">
        <v>0.43480654744420782</v>
      </c>
      <c r="CE165" s="42">
        <v>108.11136544211456</v>
      </c>
      <c r="CF165" s="42">
        <v>2.2351468272370711</v>
      </c>
      <c r="CG165" s="42">
        <v>0.27284446649764116</v>
      </c>
      <c r="CH165" s="42">
        <v>2.5079912937347122</v>
      </c>
      <c r="CI165" s="42">
        <v>0.11175628379936882</v>
      </c>
      <c r="CJ165" s="42">
        <v>1.3642223324882029E-2</v>
      </c>
      <c r="CK165" s="42">
        <v>0.12539850712425085</v>
      </c>
      <c r="CL165" s="42"/>
      <c r="CM165" s="42">
        <v>2.3320039871593217</v>
      </c>
      <c r="CN165" s="42"/>
      <c r="CO165" s="42">
        <v>0</v>
      </c>
      <c r="CP165" s="42">
        <v>0</v>
      </c>
      <c r="CQ165" s="42">
        <v>15.155311051645604</v>
      </c>
      <c r="CR165" s="42">
        <v>0</v>
      </c>
      <c r="CS165" s="42">
        <v>0</v>
      </c>
      <c r="CT165" s="42">
        <v>15.155311051645604</v>
      </c>
      <c r="CU165" s="42">
        <v>0</v>
      </c>
      <c r="CV165" s="42">
        <v>0</v>
      </c>
      <c r="CW165" s="244">
        <v>9999</v>
      </c>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row>
    <row r="166" spans="1:131">
      <c r="A166" s="18" t="s">
        <v>509</v>
      </c>
      <c r="B166" s="18"/>
      <c r="C166" s="42">
        <v>6.9999999999999991</v>
      </c>
      <c r="D166" s="42">
        <v>18.099990932422756</v>
      </c>
      <c r="E166" s="42">
        <v>0.75958814106530248</v>
      </c>
      <c r="F166" s="42">
        <v>16.176643769731875</v>
      </c>
      <c r="G166" s="42">
        <v>0</v>
      </c>
      <c r="H166" s="42">
        <v>0</v>
      </c>
      <c r="I166" s="42"/>
      <c r="J166" s="42"/>
      <c r="K166" s="42"/>
      <c r="L166" s="42">
        <v>19.453785339199513</v>
      </c>
      <c r="M166" s="42">
        <v>3.6570464811477724E-3</v>
      </c>
      <c r="N166" s="42">
        <v>3.6306515596258573E-3</v>
      </c>
      <c r="O166" s="42">
        <v>0.76718400532805631</v>
      </c>
      <c r="P166" s="42">
        <v>0</v>
      </c>
      <c r="Q166" s="42">
        <v>0</v>
      </c>
      <c r="R166" s="42">
        <v>3.2258388634154729</v>
      </c>
      <c r="S166" s="42">
        <v>7.4544229660317285</v>
      </c>
      <c r="T166" s="42">
        <v>0</v>
      </c>
      <c r="U166" s="42">
        <v>30.529879613466996</v>
      </c>
      <c r="V166" s="42">
        <v>0.97059862618391246</v>
      </c>
      <c r="W166" s="42">
        <v>2.2647301277624625</v>
      </c>
      <c r="X166" s="42">
        <v>0</v>
      </c>
      <c r="Y166" s="42">
        <v>0</v>
      </c>
      <c r="Z166" s="42">
        <v>0</v>
      </c>
      <c r="AA166" s="42">
        <v>0</v>
      </c>
      <c r="AB166" s="42">
        <v>0</v>
      </c>
      <c r="AC166" s="42">
        <v>0</v>
      </c>
      <c r="AD166" s="42">
        <v>0</v>
      </c>
      <c r="AE166" s="42">
        <v>0</v>
      </c>
      <c r="AF166" s="42">
        <v>0</v>
      </c>
      <c r="AG166" s="42">
        <v>0</v>
      </c>
      <c r="AH166" s="42">
        <v>4.1964374895993855</v>
      </c>
      <c r="AI166" s="42">
        <v>9.7191530937941906</v>
      </c>
      <c r="AJ166" s="42">
        <v>0</v>
      </c>
      <c r="AK166" s="42">
        <v>30.529879613466996</v>
      </c>
      <c r="AL166" s="42">
        <v>44.445470196860569</v>
      </c>
      <c r="AM166" s="42">
        <v>10.124887334170005</v>
      </c>
      <c r="AN166" s="42">
        <v>1.2922118335753623</v>
      </c>
      <c r="AO166" s="42">
        <v>0</v>
      </c>
      <c r="AP166" s="42">
        <v>0</v>
      </c>
      <c r="AQ166" s="42">
        <v>11.417099167745366</v>
      </c>
      <c r="AR166" s="42">
        <v>4.1964374895993855</v>
      </c>
      <c r="AS166" s="244">
        <v>2.7206646580681713</v>
      </c>
      <c r="AT166" s="42">
        <v>10.124887334170005</v>
      </c>
      <c r="AU166" s="42">
        <v>1.5295939257456201</v>
      </c>
      <c r="AV166" s="42">
        <v>0</v>
      </c>
      <c r="AW166" s="42">
        <v>0</v>
      </c>
      <c r="AX166" s="42">
        <v>11.654481259915626</v>
      </c>
      <c r="AY166" s="42">
        <v>9.7191530937941906</v>
      </c>
      <c r="AZ166" s="244">
        <v>1.1991251858515499</v>
      </c>
      <c r="BA166" s="42">
        <v>10.124887334170005</v>
      </c>
      <c r="BB166" s="42">
        <v>2.8218057593209829</v>
      </c>
      <c r="BC166" s="42">
        <v>0</v>
      </c>
      <c r="BD166" s="42">
        <v>0</v>
      </c>
      <c r="BE166" s="42">
        <v>12.946693093490987</v>
      </c>
      <c r="BF166" s="42">
        <v>13.915590583393575</v>
      </c>
      <c r="BG166" s="42">
        <v>41.960990670519571</v>
      </c>
      <c r="BH166" s="245">
        <v>0.93037323970577002</v>
      </c>
      <c r="BI166" s="42">
        <v>15.872551806521873</v>
      </c>
      <c r="BJ166" s="42">
        <v>36.761601091189576</v>
      </c>
      <c r="BK166" s="42">
        <v>0</v>
      </c>
      <c r="BL166" s="42">
        <v>115.47582848848589</v>
      </c>
      <c r="BM166" s="42">
        <v>168.10998138619732</v>
      </c>
      <c r="BN166" s="42">
        <v>10.124887334170005</v>
      </c>
      <c r="BO166" s="42">
        <v>4.9858028968282779</v>
      </c>
      <c r="BP166" s="42">
        <v>2.8218057593209829</v>
      </c>
      <c r="BQ166" s="42">
        <v>0</v>
      </c>
      <c r="BR166" s="42">
        <v>0</v>
      </c>
      <c r="BS166" s="42">
        <v>0</v>
      </c>
      <c r="BT166" s="42">
        <v>0</v>
      </c>
      <c r="BU166" s="42">
        <v>0</v>
      </c>
      <c r="BV166" s="42">
        <v>0</v>
      </c>
      <c r="BW166" s="42">
        <v>0</v>
      </c>
      <c r="BX166" s="42">
        <v>41.210141442914193</v>
      </c>
      <c r="BY166" s="42">
        <v>3.2353287539463751</v>
      </c>
      <c r="BZ166" s="42">
        <v>0</v>
      </c>
      <c r="CA166" s="42">
        <v>0</v>
      </c>
      <c r="CB166" s="42">
        <v>17.932495990319264</v>
      </c>
      <c r="CC166" s="42">
        <v>44.445470196860569</v>
      </c>
      <c r="CD166" s="245">
        <v>0.40347184788217039</v>
      </c>
      <c r="CE166" s="42">
        <v>138.57858167229179</v>
      </c>
      <c r="CF166" s="42">
        <v>0.18481270960963617</v>
      </c>
      <c r="CG166" s="42">
        <v>8.9760528623382546E-2</v>
      </c>
      <c r="CH166" s="42">
        <v>0.27457323823301871</v>
      </c>
      <c r="CI166" s="42">
        <v>9.2405480361197664E-3</v>
      </c>
      <c r="CJ166" s="42">
        <v>4.488026431169129E-3</v>
      </c>
      <c r="CK166" s="42">
        <v>1.3728574467288895E-2</v>
      </c>
      <c r="CL166" s="42"/>
      <c r="CM166" s="42">
        <v>0.76718400532805631</v>
      </c>
      <c r="CN166" s="42"/>
      <c r="CO166" s="42">
        <v>0</v>
      </c>
      <c r="CP166" s="42">
        <v>0</v>
      </c>
      <c r="CQ166" s="42">
        <v>4.9858028968282779</v>
      </c>
      <c r="CR166" s="42">
        <v>0</v>
      </c>
      <c r="CS166" s="42">
        <v>0</v>
      </c>
      <c r="CT166" s="42">
        <v>4.9858028968282779</v>
      </c>
      <c r="CU166" s="42">
        <v>0</v>
      </c>
      <c r="CV166" s="42">
        <v>0</v>
      </c>
      <c r="CW166" s="244">
        <v>9999</v>
      </c>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row>
    <row r="167" spans="1:131">
      <c r="A167" s="18"/>
      <c r="B167" s="18"/>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c r="AI167" s="42"/>
      <c r="AJ167" s="42"/>
      <c r="AK167" s="42"/>
      <c r="AL167" s="42"/>
      <c r="AM167" s="42"/>
      <c r="AN167" s="42"/>
      <c r="AO167" s="42"/>
      <c r="AP167" s="42"/>
      <c r="AQ167" s="42"/>
      <c r="AR167" s="42"/>
      <c r="AS167" s="245"/>
      <c r="AT167" s="42"/>
      <c r="AU167" s="42"/>
      <c r="AV167" s="42"/>
      <c r="AW167" s="42"/>
      <c r="AX167" s="42"/>
      <c r="AY167" s="42"/>
      <c r="AZ167" s="245"/>
      <c r="BA167" s="42"/>
      <c r="BB167" s="42"/>
      <c r="BC167" s="42"/>
      <c r="BD167" s="42"/>
      <c r="BE167" s="42"/>
      <c r="BF167" s="42"/>
      <c r="BG167" s="42"/>
      <c r="BH167" s="245"/>
      <c r="BI167" s="42"/>
      <c r="BJ167" s="42"/>
      <c r="BK167" s="42"/>
      <c r="BL167" s="42"/>
      <c r="BM167" s="42"/>
      <c r="BN167" s="42"/>
      <c r="BO167" s="42"/>
      <c r="BP167" s="42"/>
      <c r="BQ167" s="42"/>
      <c r="BR167" s="42"/>
      <c r="BS167" s="42"/>
      <c r="BT167" s="42"/>
      <c r="BU167" s="42"/>
      <c r="BV167" s="42"/>
      <c r="BW167" s="42"/>
      <c r="BX167" s="42"/>
      <c r="BY167" s="42"/>
      <c r="BZ167" s="42"/>
      <c r="CA167" s="42"/>
      <c r="CB167" s="42"/>
      <c r="CC167" s="42"/>
      <c r="CD167" s="245"/>
      <c r="CE167" s="42"/>
      <c r="CF167" s="42"/>
      <c r="CG167" s="42"/>
      <c r="CH167" s="42"/>
      <c r="CI167" s="42"/>
      <c r="CJ167" s="42"/>
      <c r="CK167" s="42"/>
      <c r="CL167" s="42"/>
      <c r="CM167" s="42"/>
      <c r="CN167" s="42"/>
      <c r="CO167" s="42"/>
      <c r="CP167" s="42"/>
      <c r="CQ167" s="42"/>
      <c r="CR167" s="42"/>
      <c r="CS167" s="42"/>
      <c r="CT167" s="42"/>
      <c r="CU167" s="42"/>
      <c r="CV167" s="42"/>
      <c r="CW167" s="245"/>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row>
    <row r="168" spans="1:131">
      <c r="A168" s="18"/>
      <c r="B168" s="18"/>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245"/>
      <c r="AT168" s="42"/>
      <c r="AU168" s="42"/>
      <c r="AV168" s="42"/>
      <c r="AW168" s="42"/>
      <c r="AX168" s="42"/>
      <c r="AY168" s="42"/>
      <c r="AZ168" s="245"/>
      <c r="BA168" s="42"/>
      <c r="BB168" s="42"/>
      <c r="BC168" s="42"/>
      <c r="BD168" s="42"/>
      <c r="BE168" s="42"/>
      <c r="BF168" s="42"/>
      <c r="BG168" s="42"/>
      <c r="BH168" s="245"/>
      <c r="BI168" s="42"/>
      <c r="BJ168" s="42"/>
      <c r="BK168" s="42"/>
      <c r="BL168" s="42"/>
      <c r="BM168" s="42"/>
      <c r="BN168" s="42"/>
      <c r="BO168" s="42"/>
      <c r="BP168" s="42"/>
      <c r="BQ168" s="42"/>
      <c r="BR168" s="42"/>
      <c r="BS168" s="42"/>
      <c r="BT168" s="42"/>
      <c r="BU168" s="42"/>
      <c r="BV168" s="42"/>
      <c r="BW168" s="42"/>
      <c r="BX168" s="42"/>
      <c r="BY168" s="42"/>
      <c r="BZ168" s="42"/>
      <c r="CA168" s="42"/>
      <c r="CB168" s="42"/>
      <c r="CC168" s="42"/>
      <c r="CD168" s="245"/>
      <c r="CE168" s="42"/>
      <c r="CF168" s="42"/>
      <c r="CG168" s="42"/>
      <c r="CH168" s="42"/>
      <c r="CI168" s="42"/>
      <c r="CJ168" s="42"/>
      <c r="CK168" s="42"/>
      <c r="CL168" s="42"/>
      <c r="CM168" s="42"/>
      <c r="CN168" s="42"/>
      <c r="CO168" s="42"/>
      <c r="CP168" s="42"/>
      <c r="CQ168" s="42"/>
      <c r="CR168" s="42"/>
      <c r="CS168" s="42"/>
      <c r="CT168" s="42"/>
      <c r="CU168" s="42"/>
      <c r="CV168" s="42"/>
      <c r="CW168" s="245"/>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row>
    <row r="169" spans="1:131" ht="13.5" thickBot="1">
      <c r="A169" s="222" t="s">
        <v>754</v>
      </c>
      <c r="B169" s="224"/>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c r="AK169" s="42"/>
      <c r="AL169" s="42"/>
      <c r="AM169" s="42"/>
      <c r="AN169" s="42"/>
      <c r="AO169" s="42"/>
      <c r="AP169" s="42"/>
      <c r="AQ169" s="42"/>
      <c r="AR169" s="42"/>
      <c r="AS169" s="245"/>
      <c r="AT169" s="42"/>
      <c r="AU169" s="42"/>
      <c r="AV169" s="42"/>
      <c r="AW169" s="42"/>
      <c r="AX169" s="42"/>
      <c r="AY169" s="42"/>
      <c r="AZ169" s="245"/>
      <c r="BA169" s="42"/>
      <c r="BB169" s="42"/>
      <c r="BC169" s="42"/>
      <c r="BD169" s="42"/>
      <c r="BE169" s="42"/>
      <c r="BF169" s="42"/>
      <c r="BG169" s="42"/>
      <c r="BH169" s="245"/>
      <c r="BI169" s="42"/>
      <c r="BJ169" s="42"/>
      <c r="BK169" s="42"/>
      <c r="BL169" s="42"/>
      <c r="BM169" s="42"/>
      <c r="BN169" s="42"/>
      <c r="BO169" s="42"/>
      <c r="BP169" s="42"/>
      <c r="BQ169" s="42"/>
      <c r="BR169" s="42"/>
      <c r="BS169" s="42"/>
      <c r="BT169" s="42"/>
      <c r="BU169" s="42"/>
      <c r="BV169" s="42"/>
      <c r="BW169" s="42"/>
      <c r="BX169" s="42"/>
      <c r="BY169" s="42"/>
      <c r="BZ169" s="42"/>
      <c r="CA169" s="42"/>
      <c r="CB169" s="42"/>
      <c r="CC169" s="42"/>
      <c r="CD169" s="245"/>
      <c r="CE169" s="42"/>
      <c r="CF169" s="42"/>
      <c r="CG169" s="42"/>
      <c r="CH169" s="42"/>
      <c r="CI169" s="42"/>
      <c r="CJ169" s="42"/>
      <c r="CK169" s="42"/>
      <c r="CL169" s="42"/>
      <c r="CM169" s="42"/>
      <c r="CN169" s="42"/>
      <c r="CO169" s="42"/>
      <c r="CP169" s="42"/>
      <c r="CQ169" s="42"/>
      <c r="CR169" s="42"/>
      <c r="CS169" s="42"/>
      <c r="CT169" s="42"/>
      <c r="CU169" s="42"/>
      <c r="CV169" s="42"/>
      <c r="CW169" s="245"/>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row>
    <row r="170" spans="1:131" ht="13.5" thickBot="1">
      <c r="A170" s="246" t="s">
        <v>755</v>
      </c>
      <c r="B170" s="247"/>
      <c r="C170" s="248"/>
      <c r="D170" s="248"/>
      <c r="E170" s="248"/>
      <c r="F170" s="248"/>
      <c r="G170" s="248"/>
      <c r="H170" s="248"/>
      <c r="I170" s="248"/>
      <c r="J170" s="248"/>
      <c r="K170" s="248"/>
      <c r="L170" s="249"/>
      <c r="M170" s="250"/>
      <c r="N170" s="251" t="s">
        <v>788</v>
      </c>
      <c r="O170" s="248"/>
      <c r="P170" s="248"/>
      <c r="Q170" s="248"/>
      <c r="R170" s="248"/>
      <c r="S170" s="248"/>
      <c r="T170" s="248"/>
      <c r="U170" s="248"/>
      <c r="V170" s="248"/>
      <c r="W170" s="248"/>
      <c r="X170" s="248"/>
      <c r="Y170" s="249"/>
      <c r="Z170" s="250"/>
      <c r="AA170" s="251" t="s">
        <v>789</v>
      </c>
      <c r="AB170" s="248"/>
      <c r="AC170" s="248"/>
      <c r="AD170" s="248"/>
      <c r="AE170" s="248"/>
      <c r="AF170" s="248"/>
      <c r="AG170" s="248"/>
      <c r="AH170" s="248"/>
      <c r="AI170" s="248"/>
      <c r="AJ170" s="248"/>
      <c r="AK170" s="248"/>
      <c r="AL170" s="249"/>
      <c r="AM170" s="42"/>
      <c r="AN170" s="42"/>
      <c r="AO170" s="42"/>
      <c r="AP170" s="42"/>
      <c r="AQ170" s="42"/>
      <c r="AR170" s="42"/>
      <c r="AS170" s="245"/>
      <c r="AT170" s="42"/>
      <c r="AU170" s="42"/>
      <c r="AV170" s="42"/>
      <c r="AW170" s="42"/>
      <c r="AX170" s="42"/>
      <c r="AY170" s="42"/>
      <c r="AZ170" s="245"/>
      <c r="BA170" s="42"/>
      <c r="BB170" s="42"/>
      <c r="BC170" s="42"/>
      <c r="BD170" s="42"/>
      <c r="BE170" s="42"/>
      <c r="BF170" s="42"/>
      <c r="BG170" s="42"/>
      <c r="BH170" s="245"/>
      <c r="BI170" s="42"/>
      <c r="BJ170" s="42"/>
      <c r="BK170" s="42"/>
      <c r="BL170" s="42"/>
      <c r="BM170" s="42"/>
      <c r="BN170" s="42"/>
      <c r="BO170" s="42"/>
      <c r="BP170" s="42"/>
      <c r="BQ170" s="42"/>
      <c r="BR170" s="42"/>
      <c r="BS170" s="42"/>
      <c r="BT170" s="42"/>
      <c r="BU170" s="42"/>
      <c r="BV170" s="42"/>
      <c r="BW170" s="42"/>
      <c r="BX170" s="42"/>
      <c r="BY170" s="42"/>
      <c r="BZ170" s="42"/>
      <c r="CA170" s="42"/>
      <c r="CB170" s="42"/>
      <c r="CC170" s="42"/>
      <c r="CD170" s="245"/>
      <c r="CE170" s="42"/>
      <c r="CF170" s="42"/>
      <c r="CG170" s="42"/>
      <c r="CH170" s="42"/>
      <c r="CI170" s="42"/>
      <c r="CJ170" s="42"/>
      <c r="CK170" s="42"/>
      <c r="CL170" s="42"/>
      <c r="CM170" s="42"/>
      <c r="CN170" s="42"/>
      <c r="CO170" s="42"/>
      <c r="CP170" s="42"/>
      <c r="CQ170" s="42"/>
      <c r="CR170" s="42"/>
      <c r="CS170" s="42"/>
      <c r="CT170" s="42"/>
      <c r="CU170" s="42"/>
      <c r="CV170" s="42"/>
      <c r="CW170" s="245"/>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row>
    <row r="171" spans="1:131" ht="102">
      <c r="A171" s="240"/>
      <c r="B171" s="241" t="s">
        <v>756</v>
      </c>
      <c r="C171" s="242" t="s">
        <v>757</v>
      </c>
      <c r="D171" s="242" t="s">
        <v>758</v>
      </c>
      <c r="E171" s="242" t="s">
        <v>759</v>
      </c>
      <c r="F171" s="242" t="s">
        <v>760</v>
      </c>
      <c r="G171" s="242" t="s">
        <v>761</v>
      </c>
      <c r="H171" s="242" t="s">
        <v>762</v>
      </c>
      <c r="I171" s="242" t="s">
        <v>763</v>
      </c>
      <c r="J171" s="242" t="s">
        <v>764</v>
      </c>
      <c r="K171" s="242" t="s">
        <v>734</v>
      </c>
      <c r="L171" s="242" t="s">
        <v>733</v>
      </c>
      <c r="M171" s="242" t="s">
        <v>765</v>
      </c>
      <c r="N171" s="242" t="s">
        <v>766</v>
      </c>
      <c r="O171" s="242" t="s">
        <v>767</v>
      </c>
      <c r="P171" s="242" t="s">
        <v>768</v>
      </c>
      <c r="Q171" s="242" t="s">
        <v>769</v>
      </c>
      <c r="R171" s="242" t="s">
        <v>770</v>
      </c>
      <c r="S171" s="242" t="s">
        <v>771</v>
      </c>
      <c r="T171" s="242" t="s">
        <v>772</v>
      </c>
      <c r="U171" s="242" t="s">
        <v>773</v>
      </c>
      <c r="V171" s="242" t="s">
        <v>774</v>
      </c>
      <c r="W171" s="242" t="s">
        <v>775</v>
      </c>
      <c r="X171" s="242" t="s">
        <v>776</v>
      </c>
      <c r="Y171" s="242" t="s">
        <v>777</v>
      </c>
      <c r="Z171" s="242"/>
      <c r="AA171" s="242" t="s">
        <v>766</v>
      </c>
      <c r="AB171" s="242" t="s">
        <v>767</v>
      </c>
      <c r="AC171" s="242" t="s">
        <v>768</v>
      </c>
      <c r="AD171" s="242" t="s">
        <v>769</v>
      </c>
      <c r="AE171" s="242" t="s">
        <v>770</v>
      </c>
      <c r="AF171" s="242" t="s">
        <v>771</v>
      </c>
      <c r="AG171" s="242" t="s">
        <v>772</v>
      </c>
      <c r="AH171" s="242" t="s">
        <v>773</v>
      </c>
      <c r="AI171" s="242" t="s">
        <v>774</v>
      </c>
      <c r="AJ171" s="242" t="s">
        <v>775</v>
      </c>
      <c r="AK171" s="242" t="s">
        <v>776</v>
      </c>
      <c r="AL171" s="242" t="s">
        <v>777</v>
      </c>
      <c r="AM171" s="42"/>
      <c r="AN171" s="42"/>
      <c r="AO171" s="42"/>
      <c r="AP171" s="42"/>
      <c r="AQ171" s="42"/>
      <c r="AR171" s="42"/>
      <c r="AS171" s="245"/>
      <c r="AT171" s="42"/>
      <c r="AU171" s="42"/>
      <c r="AV171" s="42"/>
      <c r="AW171" s="42"/>
      <c r="AX171" s="42"/>
      <c r="AY171" s="42"/>
      <c r="AZ171" s="245"/>
      <c r="BA171" s="42"/>
      <c r="BB171" s="42"/>
      <c r="BC171" s="42"/>
      <c r="BD171" s="42"/>
      <c r="BE171" s="42"/>
      <c r="BF171" s="42"/>
      <c r="BG171" s="42"/>
      <c r="BH171" s="245"/>
      <c r="BI171" s="42"/>
      <c r="BJ171" s="42"/>
      <c r="BK171" s="42"/>
      <c r="BL171" s="42"/>
      <c r="BM171" s="42"/>
      <c r="BN171" s="42"/>
      <c r="BO171" s="42"/>
      <c r="BP171" s="42"/>
      <c r="BQ171" s="42"/>
      <c r="BR171" s="42"/>
      <c r="BS171" s="42"/>
      <c r="BT171" s="42"/>
      <c r="BU171" s="42"/>
      <c r="BV171" s="42"/>
      <c r="BW171" s="42"/>
      <c r="BX171" s="42"/>
      <c r="BY171" s="42"/>
      <c r="BZ171" s="42"/>
      <c r="CA171" s="42"/>
      <c r="CB171" s="42"/>
      <c r="CC171" s="42"/>
      <c r="CD171" s="245"/>
      <c r="CE171" s="42"/>
      <c r="CF171" s="42"/>
      <c r="CG171" s="42"/>
      <c r="CH171" s="42"/>
      <c r="CI171" s="42"/>
      <c r="CJ171" s="42"/>
      <c r="CK171" s="42"/>
      <c r="CL171" s="42"/>
      <c r="CM171" s="42"/>
      <c r="CN171" s="42"/>
      <c r="CO171" s="42"/>
      <c r="CP171" s="42"/>
      <c r="CQ171" s="42"/>
      <c r="CR171" s="42"/>
      <c r="CS171" s="42"/>
      <c r="CT171" s="42"/>
      <c r="CU171" s="42"/>
      <c r="CV171" s="42"/>
      <c r="CW171" s="245"/>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row>
    <row r="172" spans="1:131">
      <c r="A172" s="18"/>
      <c r="B172" s="252" t="s">
        <v>778</v>
      </c>
      <c r="C172" s="301">
        <v>4122.9893375010561</v>
      </c>
      <c r="D172" s="301">
        <v>876.8116101351369</v>
      </c>
      <c r="E172" s="301">
        <v>0</v>
      </c>
      <c r="F172" s="301">
        <v>876.8116101351369</v>
      </c>
      <c r="G172" s="301">
        <v>2233.6852431694033</v>
      </c>
      <c r="H172" s="301">
        <v>3728.2404320729779</v>
      </c>
      <c r="I172" s="301">
        <v>1862.937076970268</v>
      </c>
      <c r="J172" s="301">
        <v>-0.34179800757070561</v>
      </c>
      <c r="K172" s="301">
        <v>11.623368295436142</v>
      </c>
      <c r="L172" s="244">
        <v>1.7608520751501158</v>
      </c>
      <c r="M172" s="42">
        <v>56.890222879168242</v>
      </c>
      <c r="N172" s="32">
        <v>258.53259895244895</v>
      </c>
      <c r="O172" s="32">
        <v>232.46274410341204</v>
      </c>
      <c r="P172" s="32">
        <v>267.50485800125938</v>
      </c>
      <c r="Q172" s="32">
        <v>248.86537662466247</v>
      </c>
      <c r="R172" s="32">
        <v>254.07681024757565</v>
      </c>
      <c r="S172" s="32">
        <v>251.5016489216313</v>
      </c>
      <c r="T172" s="32">
        <v>238.93085965190409</v>
      </c>
      <c r="U172" s="32">
        <v>248.95688263854609</v>
      </c>
      <c r="V172" s="32">
        <v>232.60530773472937</v>
      </c>
      <c r="W172" s="32">
        <v>265.214250416011</v>
      </c>
      <c r="X172" s="32">
        <v>234.70019216105106</v>
      </c>
      <c r="Y172" s="32">
        <v>255.52715512231694</v>
      </c>
      <c r="Z172" s="32"/>
      <c r="AA172" s="32">
        <v>109.76251723392041</v>
      </c>
      <c r="AB172" s="32">
        <v>94.304733221481683</v>
      </c>
      <c r="AC172" s="32">
        <v>90.45809359597844</v>
      </c>
      <c r="AD172" s="32">
        <v>94.453330727793343</v>
      </c>
      <c r="AE172" s="32">
        <v>92.671381469670735</v>
      </c>
      <c r="AF172" s="32">
        <v>81.316567342797399</v>
      </c>
      <c r="AG172" s="32">
        <v>95.47598668607769</v>
      </c>
      <c r="AH172" s="32">
        <v>78.299966471660198</v>
      </c>
      <c r="AI172" s="32">
        <v>96.395752005113749</v>
      </c>
      <c r="AJ172" s="32">
        <v>86.578422332674933</v>
      </c>
      <c r="AK172" s="32">
        <v>103.87631584763903</v>
      </c>
      <c r="AL172" s="32">
        <v>110.5175859906993</v>
      </c>
      <c r="AM172" s="42"/>
      <c r="AN172" s="42"/>
      <c r="AO172" s="42"/>
      <c r="AP172" s="42"/>
      <c r="AQ172" s="42"/>
      <c r="AR172" s="42"/>
      <c r="AS172" s="245"/>
      <c r="AT172" s="42"/>
      <c r="AU172" s="42"/>
      <c r="AV172" s="42"/>
      <c r="AW172" s="42"/>
      <c r="AX172" s="42"/>
      <c r="AY172" s="42"/>
      <c r="AZ172" s="245"/>
      <c r="BA172" s="42"/>
      <c r="BB172" s="42"/>
      <c r="BC172" s="42"/>
      <c r="BD172" s="42"/>
      <c r="BE172" s="42"/>
      <c r="BF172" s="42"/>
      <c r="BG172" s="42"/>
      <c r="BH172" s="245"/>
      <c r="BI172" s="42"/>
      <c r="BJ172" s="42"/>
      <c r="BK172" s="42"/>
      <c r="BL172" s="42"/>
      <c r="BM172" s="42"/>
      <c r="BN172" s="42"/>
      <c r="BO172" s="42"/>
      <c r="BP172" s="42"/>
      <c r="BQ172" s="42"/>
      <c r="BR172" s="42"/>
      <c r="BS172" s="42"/>
      <c r="BT172" s="42"/>
      <c r="BU172" s="42"/>
      <c r="BV172" s="42"/>
      <c r="BW172" s="42"/>
      <c r="BX172" s="42"/>
      <c r="BY172" s="42"/>
      <c r="BZ172" s="42"/>
      <c r="CA172" s="42"/>
      <c r="CB172" s="42"/>
      <c r="CC172" s="42"/>
      <c r="CD172" s="245"/>
      <c r="CE172" s="42"/>
      <c r="CF172" s="42"/>
      <c r="CG172" s="42"/>
      <c r="CH172" s="42"/>
      <c r="CI172" s="42"/>
      <c r="CJ172" s="42"/>
      <c r="CK172" s="42"/>
      <c r="CL172" s="42"/>
      <c r="CM172" s="42"/>
      <c r="CN172" s="42"/>
      <c r="CO172" s="42"/>
      <c r="CP172" s="42"/>
      <c r="CQ172" s="42"/>
      <c r="CR172" s="42"/>
      <c r="CS172" s="42"/>
      <c r="CT172" s="42"/>
      <c r="CU172" s="42"/>
      <c r="CV172" s="42"/>
      <c r="CW172" s="245"/>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row>
    <row r="173" spans="1:131">
      <c r="A173" s="18"/>
      <c r="B173" s="252" t="s">
        <v>779</v>
      </c>
      <c r="C173" s="301">
        <v>4403.1542158408192</v>
      </c>
      <c r="D173" s="301">
        <v>952.22190677692652</v>
      </c>
      <c r="E173" s="301">
        <v>190.4443813553853</v>
      </c>
      <c r="F173" s="301">
        <v>1142.6662881323118</v>
      </c>
      <c r="G173" s="301">
        <v>2616.2380145651878</v>
      </c>
      <c r="H173" s="301">
        <v>3904.8343379599446</v>
      </c>
      <c r="I173" s="301">
        <v>2273.315035850409</v>
      </c>
      <c r="J173" s="301">
        <v>3.0153928399261796</v>
      </c>
      <c r="K173" s="301">
        <v>16.762324598605399</v>
      </c>
      <c r="L173" s="244">
        <v>1.5830352320994521</v>
      </c>
      <c r="M173" s="42">
        <v>59.374326276083536</v>
      </c>
      <c r="N173" s="32">
        <v>29.679324680991868</v>
      </c>
      <c r="O173" s="32">
        <v>26.686527294565536</v>
      </c>
      <c r="P173" s="32">
        <v>30.709332465350975</v>
      </c>
      <c r="Q173" s="32">
        <v>28.569535697350084</v>
      </c>
      <c r="R173" s="32">
        <v>29.167803889348285</v>
      </c>
      <c r="S173" s="32">
        <v>28.872177537358937</v>
      </c>
      <c r="T173" s="32">
        <v>27.429061513521713</v>
      </c>
      <c r="U173" s="32">
        <v>28.580040510697877</v>
      </c>
      <c r="V173" s="32">
        <v>26.70289347940534</v>
      </c>
      <c r="W173" s="32">
        <v>30.446372643205553</v>
      </c>
      <c r="X173" s="32">
        <v>26.943384447700552</v>
      </c>
      <c r="Y173" s="32">
        <v>29.334302259810176</v>
      </c>
      <c r="Z173" s="32"/>
      <c r="AA173" s="32">
        <v>12.600644560834137</v>
      </c>
      <c r="AB173" s="32">
        <v>10.826103971319561</v>
      </c>
      <c r="AC173" s="32">
        <v>10.384512981097565</v>
      </c>
      <c r="AD173" s="32">
        <v>10.843162839928317</v>
      </c>
      <c r="AE173" s="32">
        <v>10.638596565457835</v>
      </c>
      <c r="AF173" s="32">
        <v>9.3350734641959701</v>
      </c>
      <c r="AG173" s="32">
        <v>10.960562882885586</v>
      </c>
      <c r="AH173" s="32">
        <v>8.9887702241008522</v>
      </c>
      <c r="AI173" s="32">
        <v>11.066151167088805</v>
      </c>
      <c r="AJ173" s="32">
        <v>9.9391299866680018</v>
      </c>
      <c r="AK173" s="32">
        <v>11.924913597740854</v>
      </c>
      <c r="AL173" s="32">
        <v>12.687325818361103</v>
      </c>
      <c r="AM173" s="42"/>
      <c r="AN173" s="42"/>
      <c r="AO173" s="42"/>
      <c r="AP173" s="42"/>
      <c r="AQ173" s="42"/>
      <c r="AR173" s="42"/>
      <c r="AS173" s="245"/>
      <c r="AT173" s="42"/>
      <c r="AU173" s="42"/>
      <c r="AV173" s="42"/>
      <c r="AW173" s="42"/>
      <c r="AX173" s="42"/>
      <c r="AY173" s="42"/>
      <c r="AZ173" s="245"/>
      <c r="BA173" s="42"/>
      <c r="BB173" s="42"/>
      <c r="BC173" s="42"/>
      <c r="BD173" s="42"/>
      <c r="BE173" s="42"/>
      <c r="BF173" s="42"/>
      <c r="BG173" s="42"/>
      <c r="BH173" s="245"/>
      <c r="BI173" s="42"/>
      <c r="BJ173" s="42"/>
      <c r="BK173" s="42"/>
      <c r="BL173" s="42"/>
      <c r="BM173" s="42"/>
      <c r="BN173" s="42"/>
      <c r="BO173" s="42"/>
      <c r="BP173" s="42"/>
      <c r="BQ173" s="42"/>
      <c r="BR173" s="42"/>
      <c r="BS173" s="42"/>
      <c r="BT173" s="42"/>
      <c r="BU173" s="42"/>
      <c r="BV173" s="42"/>
      <c r="BW173" s="42"/>
      <c r="BX173" s="42"/>
      <c r="BY173" s="42"/>
      <c r="BZ173" s="42"/>
      <c r="CA173" s="42"/>
      <c r="CB173" s="42"/>
      <c r="CC173" s="42"/>
      <c r="CD173" s="245"/>
      <c r="CE173" s="42"/>
      <c r="CF173" s="42"/>
      <c r="CG173" s="42"/>
      <c r="CH173" s="42"/>
      <c r="CI173" s="42"/>
      <c r="CJ173" s="42"/>
      <c r="CK173" s="42"/>
      <c r="CL173" s="42"/>
      <c r="CM173" s="42"/>
      <c r="CN173" s="42"/>
      <c r="CO173" s="42"/>
      <c r="CP173" s="42"/>
      <c r="CQ173" s="42"/>
      <c r="CR173" s="42"/>
      <c r="CS173" s="42"/>
      <c r="CT173" s="42"/>
      <c r="CU173" s="42"/>
      <c r="CV173" s="42"/>
      <c r="CW173" s="245"/>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row>
    <row r="174" spans="1:131">
      <c r="A174" s="18"/>
      <c r="B174" s="252" t="s">
        <v>780</v>
      </c>
      <c r="C174" s="253"/>
      <c r="D174" s="253"/>
      <c r="E174" s="253"/>
      <c r="F174" s="253"/>
      <c r="G174" s="253"/>
      <c r="H174" s="253"/>
      <c r="I174" s="253"/>
      <c r="J174" s="253"/>
      <c r="K174" s="253"/>
      <c r="L174" s="245"/>
      <c r="M174" s="254"/>
      <c r="N174" s="254"/>
      <c r="O174" s="254"/>
      <c r="P174" s="254"/>
      <c r="Q174" s="254"/>
      <c r="R174" s="254"/>
      <c r="S174" s="254"/>
      <c r="T174" s="254"/>
      <c r="U174" s="254"/>
      <c r="V174" s="254"/>
      <c r="W174" s="254"/>
      <c r="X174" s="254"/>
      <c r="Y174" s="254"/>
      <c r="Z174" s="254"/>
      <c r="AA174" s="254"/>
      <c r="AB174" s="254"/>
      <c r="AC174" s="254"/>
      <c r="AD174" s="254"/>
      <c r="AE174" s="254"/>
      <c r="AF174" s="254"/>
      <c r="AG174" s="254"/>
      <c r="AH174" s="254"/>
      <c r="AI174" s="254"/>
      <c r="AJ174" s="254"/>
      <c r="AK174" s="254"/>
      <c r="AL174" s="254"/>
      <c r="AM174" s="42"/>
      <c r="AN174" s="42"/>
      <c r="AO174" s="42"/>
      <c r="AP174" s="42"/>
      <c r="AQ174" s="42"/>
      <c r="AR174" s="42"/>
      <c r="AS174" s="245"/>
      <c r="AT174" s="42"/>
      <c r="AU174" s="42"/>
      <c r="AV174" s="42"/>
      <c r="AW174" s="42"/>
      <c r="AX174" s="42"/>
      <c r="AY174" s="42"/>
      <c r="AZ174" s="245"/>
      <c r="BA174" s="42"/>
      <c r="BB174" s="42"/>
      <c r="BC174" s="42"/>
      <c r="BD174" s="42"/>
      <c r="BE174" s="42"/>
      <c r="BF174" s="42"/>
      <c r="BG174" s="42"/>
      <c r="BH174" s="245"/>
      <c r="BI174" s="42"/>
      <c r="BJ174" s="42"/>
      <c r="BK174" s="42"/>
      <c r="BL174" s="42"/>
      <c r="BM174" s="42"/>
      <c r="BN174" s="42"/>
      <c r="BO174" s="42"/>
      <c r="BP174" s="42"/>
      <c r="BQ174" s="42"/>
      <c r="BR174" s="42"/>
      <c r="BS174" s="42"/>
      <c r="BT174" s="42"/>
      <c r="BU174" s="42"/>
      <c r="BV174" s="42"/>
      <c r="BW174" s="42"/>
      <c r="BX174" s="42"/>
      <c r="BY174" s="42"/>
      <c r="BZ174" s="42"/>
      <c r="CA174" s="42"/>
      <c r="CB174" s="42"/>
      <c r="CC174" s="42"/>
      <c r="CD174" s="245"/>
      <c r="CE174" s="42"/>
      <c r="CF174" s="42"/>
      <c r="CG174" s="42"/>
      <c r="CH174" s="42"/>
      <c r="CI174" s="42"/>
      <c r="CJ174" s="42"/>
      <c r="CK174" s="42"/>
      <c r="CL174" s="42"/>
      <c r="CM174" s="42"/>
      <c r="CN174" s="42"/>
      <c r="CO174" s="42"/>
      <c r="CP174" s="42"/>
      <c r="CQ174" s="42"/>
      <c r="CR174" s="42"/>
      <c r="CS174" s="42"/>
      <c r="CT174" s="42"/>
      <c r="CU174" s="42"/>
      <c r="CV174" s="42"/>
      <c r="CW174" s="245"/>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row>
    <row r="175" spans="1:131">
      <c r="A175" s="18"/>
      <c r="B175" s="18" t="s">
        <v>47</v>
      </c>
      <c r="C175" s="254">
        <v>0</v>
      </c>
      <c r="D175" s="254">
        <v>0</v>
      </c>
      <c r="E175" s="254">
        <v>0</v>
      </c>
      <c r="F175" s="254">
        <v>0</v>
      </c>
      <c r="G175" s="254">
        <v>0</v>
      </c>
      <c r="H175" s="254">
        <v>0</v>
      </c>
      <c r="I175" s="254">
        <v>0</v>
      </c>
      <c r="J175" s="254">
        <v>0</v>
      </c>
      <c r="K175" s="254">
        <v>0</v>
      </c>
      <c r="L175" s="245">
        <v>0</v>
      </c>
      <c r="M175" s="254">
        <v>0</v>
      </c>
      <c r="N175" s="254">
        <v>0</v>
      </c>
      <c r="O175" s="254">
        <v>0</v>
      </c>
      <c r="P175" s="254">
        <v>0</v>
      </c>
      <c r="Q175" s="254">
        <v>0</v>
      </c>
      <c r="R175" s="254">
        <v>0</v>
      </c>
      <c r="S175" s="254">
        <v>0</v>
      </c>
      <c r="T175" s="254">
        <v>0</v>
      </c>
      <c r="U175" s="254">
        <v>0</v>
      </c>
      <c r="V175" s="254">
        <v>0</v>
      </c>
      <c r="W175" s="254">
        <v>0</v>
      </c>
      <c r="X175" s="254">
        <v>0</v>
      </c>
      <c r="Y175" s="254">
        <v>0</v>
      </c>
      <c r="Z175" s="254"/>
      <c r="AA175" s="254">
        <v>0</v>
      </c>
      <c r="AB175" s="254">
        <v>0</v>
      </c>
      <c r="AC175" s="254">
        <v>0</v>
      </c>
      <c r="AD175" s="254">
        <v>0</v>
      </c>
      <c r="AE175" s="254">
        <v>0</v>
      </c>
      <c r="AF175" s="254">
        <v>0</v>
      </c>
      <c r="AG175" s="254">
        <v>0</v>
      </c>
      <c r="AH175" s="254">
        <v>0</v>
      </c>
      <c r="AI175" s="254">
        <v>0</v>
      </c>
      <c r="AJ175" s="254">
        <v>0</v>
      </c>
      <c r="AK175" s="254">
        <v>0</v>
      </c>
      <c r="AL175" s="254">
        <v>0</v>
      </c>
      <c r="AM175" s="42"/>
      <c r="AN175" s="42"/>
      <c r="AO175" s="42"/>
      <c r="AP175" s="42"/>
      <c r="AQ175" s="42"/>
      <c r="AR175" s="42"/>
      <c r="AS175" s="245"/>
      <c r="AT175" s="42"/>
      <c r="AU175" s="42"/>
      <c r="AV175" s="42"/>
      <c r="AW175" s="42"/>
      <c r="AX175" s="42"/>
      <c r="AY175" s="42"/>
      <c r="AZ175" s="245"/>
      <c r="BA175" s="42"/>
      <c r="BB175" s="42"/>
      <c r="BC175" s="42"/>
      <c r="BD175" s="42"/>
      <c r="BE175" s="42"/>
      <c r="BF175" s="42"/>
      <c r="BG175" s="42"/>
      <c r="BH175" s="245"/>
      <c r="BI175" s="42"/>
      <c r="BJ175" s="42"/>
      <c r="BK175" s="42"/>
      <c r="BL175" s="42"/>
      <c r="BM175" s="42"/>
      <c r="BN175" s="42"/>
      <c r="BO175" s="42"/>
      <c r="BP175" s="42"/>
      <c r="BQ175" s="42"/>
      <c r="BR175" s="42"/>
      <c r="BS175" s="42"/>
      <c r="BT175" s="42"/>
      <c r="BU175" s="42"/>
      <c r="BV175" s="42"/>
      <c r="BW175" s="42"/>
      <c r="BX175" s="42"/>
      <c r="BY175" s="42"/>
      <c r="BZ175" s="42"/>
      <c r="CA175" s="42"/>
      <c r="CB175" s="42"/>
      <c r="CC175" s="42"/>
      <c r="CD175" s="245"/>
      <c r="CE175" s="42"/>
      <c r="CF175" s="42"/>
      <c r="CG175" s="42"/>
      <c r="CH175" s="42"/>
      <c r="CI175" s="42"/>
      <c r="CJ175" s="42"/>
      <c r="CK175" s="42"/>
      <c r="CL175" s="42"/>
      <c r="CM175" s="42"/>
      <c r="CN175" s="42"/>
      <c r="CO175" s="42"/>
      <c r="CP175" s="42"/>
      <c r="CQ175" s="42"/>
      <c r="CR175" s="42"/>
      <c r="CS175" s="42"/>
      <c r="CT175" s="42"/>
      <c r="CU175" s="42"/>
      <c r="CV175" s="42"/>
      <c r="CW175" s="245"/>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row>
    <row r="176" spans="1:131">
      <c r="A176" s="18"/>
      <c r="B176" s="18" t="s">
        <v>50</v>
      </c>
      <c r="C176" s="42">
        <v>1675.8535312544009</v>
      </c>
      <c r="D176" s="42">
        <v>259.2223786696461</v>
      </c>
      <c r="E176" s="42">
        <v>51.844475733929222</v>
      </c>
      <c r="F176" s="42">
        <v>311.06685440357535</v>
      </c>
      <c r="G176" s="42">
        <v>712.21575189029613</v>
      </c>
      <c r="H176" s="42">
        <v>1457.527246914035</v>
      </c>
      <c r="I176" s="42">
        <v>1626.0046559890341</v>
      </c>
      <c r="J176" s="42">
        <v>-0.88232641170182191</v>
      </c>
      <c r="K176" s="42">
        <v>5.5718313717939774</v>
      </c>
      <c r="L176" s="244">
        <v>2.047484062222372</v>
      </c>
      <c r="M176" s="42">
        <v>22.081995206184843</v>
      </c>
      <c r="N176" s="32">
        <v>105.08462026764298</v>
      </c>
      <c r="O176" s="32">
        <v>94.488119832711405</v>
      </c>
      <c r="P176" s="32">
        <v>108.73153535265548</v>
      </c>
      <c r="Q176" s="32">
        <v>101.15522648335983</v>
      </c>
      <c r="R176" s="32">
        <v>103.27349522599752</v>
      </c>
      <c r="S176" s="32">
        <v>102.22678060988616</v>
      </c>
      <c r="T176" s="32">
        <v>97.117186608099132</v>
      </c>
      <c r="U176" s="32">
        <v>101.19242053455542</v>
      </c>
      <c r="V176" s="32">
        <v>94.546067051443842</v>
      </c>
      <c r="W176" s="32">
        <v>107.80048205704271</v>
      </c>
      <c r="X176" s="32">
        <v>95.397565606506518</v>
      </c>
      <c r="Y176" s="32">
        <v>103.86301059480155</v>
      </c>
      <c r="Z176" s="32"/>
      <c r="AA176" s="32">
        <v>44.614692653395785</v>
      </c>
      <c r="AB176" s="32">
        <v>38.3316344637973</v>
      </c>
      <c r="AC176" s="32">
        <v>36.76810759720351</v>
      </c>
      <c r="AD176" s="32">
        <v>38.392034245437031</v>
      </c>
      <c r="AE176" s="32">
        <v>37.667733086183752</v>
      </c>
      <c r="AF176" s="32">
        <v>33.052391208343366</v>
      </c>
      <c r="AG176" s="32">
        <v>38.807708761827584</v>
      </c>
      <c r="AH176" s="32">
        <v>31.82624658160405</v>
      </c>
      <c r="AI176" s="32">
        <v>39.181561767900654</v>
      </c>
      <c r="AJ176" s="32">
        <v>35.191154504558803</v>
      </c>
      <c r="AK176" s="32">
        <v>42.222153994818292</v>
      </c>
      <c r="AL176" s="32">
        <v>44.921602164627913</v>
      </c>
      <c r="AM176" s="42"/>
      <c r="AN176" s="42"/>
      <c r="AO176" s="42"/>
      <c r="AP176" s="42"/>
      <c r="AQ176" s="42"/>
      <c r="AR176" s="42"/>
      <c r="AS176" s="245"/>
      <c r="AT176" s="42"/>
      <c r="AU176" s="42"/>
      <c r="AV176" s="42"/>
      <c r="AW176" s="42"/>
      <c r="AX176" s="42"/>
      <c r="AY176" s="42"/>
      <c r="AZ176" s="245"/>
      <c r="BA176" s="42"/>
      <c r="BB176" s="42"/>
      <c r="BC176" s="42"/>
      <c r="BD176" s="42"/>
      <c r="BE176" s="42"/>
      <c r="BF176" s="42"/>
      <c r="BG176" s="42"/>
      <c r="BH176" s="245"/>
      <c r="BI176" s="42"/>
      <c r="BJ176" s="42"/>
      <c r="BK176" s="42"/>
      <c r="BL176" s="42"/>
      <c r="BM176" s="42"/>
      <c r="BN176" s="42"/>
      <c r="BO176" s="42"/>
      <c r="BP176" s="42"/>
      <c r="BQ176" s="42"/>
      <c r="BR176" s="42"/>
      <c r="BS176" s="42"/>
      <c r="BT176" s="42"/>
      <c r="BU176" s="42"/>
      <c r="BV176" s="42"/>
      <c r="BW176" s="42"/>
      <c r="BX176" s="42"/>
      <c r="BY176" s="42"/>
      <c r="BZ176" s="42"/>
      <c r="CA176" s="42"/>
      <c r="CB176" s="42"/>
      <c r="CC176" s="42"/>
      <c r="CD176" s="245"/>
      <c r="CE176" s="42"/>
      <c r="CF176" s="42"/>
      <c r="CG176" s="42"/>
      <c r="CH176" s="42"/>
      <c r="CI176" s="42"/>
      <c r="CJ176" s="42"/>
      <c r="CK176" s="42"/>
      <c r="CL176" s="42"/>
      <c r="CM176" s="42"/>
      <c r="CN176" s="42"/>
      <c r="CO176" s="42"/>
      <c r="CP176" s="42"/>
      <c r="CQ176" s="42"/>
      <c r="CR176" s="42"/>
      <c r="CS176" s="42"/>
      <c r="CT176" s="42"/>
      <c r="CU176" s="42"/>
      <c r="CV176" s="42"/>
      <c r="CW176" s="245"/>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row>
    <row r="177" spans="1:131">
      <c r="A177" s="18"/>
      <c r="B177" s="18" t="s">
        <v>53</v>
      </c>
      <c r="C177" s="42">
        <v>549.58650333862329</v>
      </c>
      <c r="D177" s="42">
        <v>136.43983876720384</v>
      </c>
      <c r="E177" s="42">
        <v>27.287967753440771</v>
      </c>
      <c r="F177" s="42">
        <v>163.72780652064461</v>
      </c>
      <c r="G177" s="42">
        <v>374.86964996650431</v>
      </c>
      <c r="H177" s="42">
        <v>551.71155998192376</v>
      </c>
      <c r="I177" s="42">
        <v>2609.6994311323938</v>
      </c>
      <c r="J177" s="42">
        <v>5.04090019193037</v>
      </c>
      <c r="K177" s="42">
        <v>14.619649735169421</v>
      </c>
      <c r="L177" s="244">
        <v>1.476770180042642</v>
      </c>
      <c r="M177" s="42">
        <v>8.5689309826776174</v>
      </c>
      <c r="N177" s="32">
        <v>34.461895344954101</v>
      </c>
      <c r="O177" s="32">
        <v>30.986834122091075</v>
      </c>
      <c r="P177" s="32">
        <v>35.657880120571484</v>
      </c>
      <c r="Q177" s="32">
        <v>33.17327330855916</v>
      </c>
      <c r="R177" s="32">
        <v>33.867947329698914</v>
      </c>
      <c r="S177" s="32">
        <v>33.524683306242473</v>
      </c>
      <c r="T177" s="32">
        <v>31.849021413033832</v>
      </c>
      <c r="U177" s="32">
        <v>33.185470883204175</v>
      </c>
      <c r="V177" s="32">
        <v>31.005837578376131</v>
      </c>
      <c r="W177" s="32">
        <v>35.352546560320128</v>
      </c>
      <c r="X177" s="32">
        <v>31.285081620141824</v>
      </c>
      <c r="Y177" s="32">
        <v>34.061275496011206</v>
      </c>
      <c r="Z177" s="32"/>
      <c r="AA177" s="32">
        <v>14.631131226935956</v>
      </c>
      <c r="AB177" s="32">
        <v>12.570638519014249</v>
      </c>
      <c r="AC177" s="32">
        <v>12.057888897724805</v>
      </c>
      <c r="AD177" s="32">
        <v>12.590446279164357</v>
      </c>
      <c r="AE177" s="32">
        <v>12.352915889989976</v>
      </c>
      <c r="AF177" s="32">
        <v>10.839341131188718</v>
      </c>
      <c r="AG177" s="32">
        <v>12.726764340217738</v>
      </c>
      <c r="AH177" s="32">
        <v>10.43723407026156</v>
      </c>
      <c r="AI177" s="32">
        <v>12.849367278086975</v>
      </c>
      <c r="AJ177" s="32">
        <v>11.540736223011688</v>
      </c>
      <c r="AK177" s="32">
        <v>13.846511968183755</v>
      </c>
      <c r="AL177" s="32">
        <v>14.731780431638935</v>
      </c>
      <c r="AM177" s="42"/>
      <c r="AN177" s="42"/>
      <c r="AO177" s="42"/>
      <c r="AP177" s="42"/>
      <c r="AQ177" s="42"/>
      <c r="AR177" s="42"/>
      <c r="AS177" s="245"/>
      <c r="AT177" s="42"/>
      <c r="AU177" s="42"/>
      <c r="AV177" s="42"/>
      <c r="AW177" s="42"/>
      <c r="AX177" s="42"/>
      <c r="AY177" s="42"/>
      <c r="AZ177" s="245"/>
      <c r="BA177" s="42"/>
      <c r="BB177" s="42"/>
      <c r="BC177" s="42"/>
      <c r="BD177" s="42"/>
      <c r="BE177" s="42"/>
      <c r="BF177" s="42"/>
      <c r="BG177" s="42"/>
      <c r="BH177" s="245"/>
      <c r="BI177" s="42"/>
      <c r="BJ177" s="42"/>
      <c r="BK177" s="42"/>
      <c r="BL177" s="42"/>
      <c r="BM177" s="42"/>
      <c r="BN177" s="42"/>
      <c r="BO177" s="42"/>
      <c r="BP177" s="42"/>
      <c r="BQ177" s="42"/>
      <c r="BR177" s="42"/>
      <c r="BS177" s="42"/>
      <c r="BT177" s="42"/>
      <c r="BU177" s="42"/>
      <c r="BV177" s="42"/>
      <c r="BW177" s="42"/>
      <c r="BX177" s="42"/>
      <c r="BY177" s="42"/>
      <c r="BZ177" s="42"/>
      <c r="CA177" s="42"/>
      <c r="CB177" s="42"/>
      <c r="CC177" s="42"/>
      <c r="CD177" s="245"/>
      <c r="CE177" s="42"/>
      <c r="CF177" s="42"/>
      <c r="CG177" s="42"/>
      <c r="CH177" s="42"/>
      <c r="CI177" s="42"/>
      <c r="CJ177" s="42"/>
      <c r="CK177" s="42"/>
      <c r="CL177" s="42"/>
      <c r="CM177" s="42"/>
      <c r="CN177" s="42"/>
      <c r="CO177" s="42"/>
      <c r="CP177" s="42"/>
      <c r="CQ177" s="42"/>
      <c r="CR177" s="42"/>
      <c r="CS177" s="42"/>
      <c r="CT177" s="42"/>
      <c r="CU177" s="42"/>
      <c r="CV177" s="42"/>
      <c r="CW177" s="245"/>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row>
    <row r="178" spans="1:131">
      <c r="A178" s="18"/>
      <c r="B178" s="18" t="s">
        <v>56</v>
      </c>
      <c r="C178" s="42">
        <v>1390.8457418814239</v>
      </c>
      <c r="D178" s="42">
        <v>339.73788336015207</v>
      </c>
      <c r="E178" s="42">
        <v>67.947576672030422</v>
      </c>
      <c r="F178" s="42">
        <v>407.6854600321825</v>
      </c>
      <c r="G178" s="42">
        <v>933.4328050099856</v>
      </c>
      <c r="H178" s="42">
        <v>1212.7722113908112</v>
      </c>
      <c r="I178" s="42">
        <v>2567.7359626171906</v>
      </c>
      <c r="J178" s="42">
        <v>4.7882210689232201</v>
      </c>
      <c r="K178" s="42">
        <v>23.517983351948466</v>
      </c>
      <c r="L178" s="244">
        <v>1.3125330782671401</v>
      </c>
      <c r="M178" s="42">
        <v>18.382788118549989</v>
      </c>
      <c r="N178" s="32">
        <v>87.213168639551327</v>
      </c>
      <c r="O178" s="32">
        <v>78.418785816765151</v>
      </c>
      <c r="P178" s="32">
        <v>90.239862931382476</v>
      </c>
      <c r="Q178" s="32">
        <v>83.952036021980163</v>
      </c>
      <c r="R178" s="32">
        <v>85.710056640078477</v>
      </c>
      <c r="S178" s="32">
        <v>84.84135389271259</v>
      </c>
      <c r="T178" s="32">
        <v>80.600734454563423</v>
      </c>
      <c r="U178" s="32">
        <v>83.98290458344087</v>
      </c>
      <c r="V178" s="32">
        <v>78.466878111780673</v>
      </c>
      <c r="W178" s="32">
        <v>89.467151302641028</v>
      </c>
      <c r="X178" s="32">
        <v>79.173564655347903</v>
      </c>
      <c r="Y178" s="32">
        <v>86.199314755530267</v>
      </c>
      <c r="Z178" s="32"/>
      <c r="AA178" s="32">
        <v>37.027194886105015</v>
      </c>
      <c r="AB178" s="32">
        <v>31.812679079073138</v>
      </c>
      <c r="AC178" s="32">
        <v>30.515056915702189</v>
      </c>
      <c r="AD178" s="32">
        <v>31.86280683638455</v>
      </c>
      <c r="AE178" s="32">
        <v>31.261685578231905</v>
      </c>
      <c r="AF178" s="32">
        <v>27.431262168068823</v>
      </c>
      <c r="AG178" s="32">
        <v>32.20778873387632</v>
      </c>
      <c r="AH178" s="32">
        <v>26.413644577255461</v>
      </c>
      <c r="AI178" s="32">
        <v>32.518061589999427</v>
      </c>
      <c r="AJ178" s="32">
        <v>29.206291887525822</v>
      </c>
      <c r="AK178" s="32">
        <v>35.0415486804498</v>
      </c>
      <c r="AL178" s="32">
        <v>37.28190914297722</v>
      </c>
      <c r="AM178" s="42"/>
      <c r="AN178" s="42"/>
      <c r="AO178" s="42"/>
      <c r="AP178" s="42"/>
      <c r="AQ178" s="42"/>
      <c r="AR178" s="42"/>
      <c r="AS178" s="245"/>
      <c r="AT178" s="42"/>
      <c r="AU178" s="42"/>
      <c r="AV178" s="42"/>
      <c r="AW178" s="42"/>
      <c r="AX178" s="42"/>
      <c r="AY178" s="42"/>
      <c r="AZ178" s="245"/>
      <c r="BA178" s="42"/>
      <c r="BB178" s="42"/>
      <c r="BC178" s="42"/>
      <c r="BD178" s="42"/>
      <c r="BE178" s="42"/>
      <c r="BF178" s="42"/>
      <c r="BG178" s="42"/>
      <c r="BH178" s="245"/>
      <c r="BI178" s="42"/>
      <c r="BJ178" s="42"/>
      <c r="BK178" s="42"/>
      <c r="BL178" s="42"/>
      <c r="BM178" s="42"/>
      <c r="BN178" s="42"/>
      <c r="BO178" s="42"/>
      <c r="BP178" s="42"/>
      <c r="BQ178" s="42"/>
      <c r="BR178" s="42"/>
      <c r="BS178" s="42"/>
      <c r="BT178" s="42"/>
      <c r="BU178" s="42"/>
      <c r="BV178" s="42"/>
      <c r="BW178" s="42"/>
      <c r="BX178" s="42"/>
      <c r="BY178" s="42"/>
      <c r="BZ178" s="42"/>
      <c r="CA178" s="42"/>
      <c r="CB178" s="42"/>
      <c r="CC178" s="42"/>
      <c r="CD178" s="245"/>
      <c r="CE178" s="42"/>
      <c r="CF178" s="42"/>
      <c r="CG178" s="42"/>
      <c r="CH178" s="42"/>
      <c r="CI178" s="42"/>
      <c r="CJ178" s="42"/>
      <c r="CK178" s="42"/>
      <c r="CL178" s="42"/>
      <c r="CM178" s="42"/>
      <c r="CN178" s="42"/>
      <c r="CO178" s="42"/>
      <c r="CP178" s="42"/>
      <c r="CQ178" s="42"/>
      <c r="CR178" s="42"/>
      <c r="CS178" s="42"/>
      <c r="CT178" s="42"/>
      <c r="CU178" s="42"/>
      <c r="CV178" s="42"/>
      <c r="CW178" s="245"/>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row>
    <row r="179" spans="1:131">
      <c r="A179" s="18"/>
      <c r="B179" s="18" t="s">
        <v>59</v>
      </c>
      <c r="C179" s="42">
        <v>786.86843936637206</v>
      </c>
      <c r="D179" s="42">
        <v>216.82180597992453</v>
      </c>
      <c r="E179" s="42">
        <v>43.364361195984912</v>
      </c>
      <c r="F179" s="42">
        <v>260.18616717590942</v>
      </c>
      <c r="G179" s="42">
        <v>595.71980769840172</v>
      </c>
      <c r="H179" s="42">
        <v>682.82331967317418</v>
      </c>
      <c r="I179" s="42">
        <v>2896.5843722189738</v>
      </c>
      <c r="J179" s="42">
        <v>6.7683511840105446</v>
      </c>
      <c r="K179" s="42">
        <v>30.151009464921778</v>
      </c>
      <c r="L179" s="244">
        <v>1.1462155712285311</v>
      </c>
      <c r="M179" s="42">
        <v>10.340611968671093</v>
      </c>
      <c r="N179" s="32">
        <v>49.340690943029529</v>
      </c>
      <c r="O179" s="32">
        <v>44.365284915905818</v>
      </c>
      <c r="P179" s="32">
        <v>51.053037713154183</v>
      </c>
      <c r="Q179" s="32">
        <v>47.49571111810387</v>
      </c>
      <c r="R179" s="32">
        <v>48.490308073382089</v>
      </c>
      <c r="S179" s="32">
        <v>47.998841079947987</v>
      </c>
      <c r="T179" s="32">
        <v>45.599718374413889</v>
      </c>
      <c r="U179" s="32">
        <v>47.513174950397186</v>
      </c>
      <c r="V179" s="32">
        <v>44.392493044014422</v>
      </c>
      <c r="W179" s="32">
        <v>50.615877519842201</v>
      </c>
      <c r="X179" s="32">
        <v>44.792299665923302</v>
      </c>
      <c r="Y179" s="32">
        <v>48.767104959018084</v>
      </c>
      <c r="Z179" s="32"/>
      <c r="AA179" s="32">
        <v>20.948067910630961</v>
      </c>
      <c r="AB179" s="32">
        <v>17.997965112329215</v>
      </c>
      <c r="AC179" s="32">
        <v>17.263837742317854</v>
      </c>
      <c r="AD179" s="32">
        <v>18.026324799515812</v>
      </c>
      <c r="AE179" s="32">
        <v>17.686241545112139</v>
      </c>
      <c r="AF179" s="32">
        <v>15.519186493564662</v>
      </c>
      <c r="AG179" s="32">
        <v>18.221497678229014</v>
      </c>
      <c r="AH179" s="32">
        <v>14.943471199306428</v>
      </c>
      <c r="AI179" s="32">
        <v>18.397033980152099</v>
      </c>
      <c r="AJ179" s="32">
        <v>16.523406316885037</v>
      </c>
      <c r="AK179" s="32">
        <v>19.824692194741619</v>
      </c>
      <c r="AL179" s="32">
        <v>21.092172036454627</v>
      </c>
      <c r="AM179" s="42"/>
      <c r="AN179" s="42"/>
      <c r="AO179" s="42"/>
      <c r="AP179" s="42"/>
      <c r="AQ179" s="42"/>
      <c r="AR179" s="42"/>
      <c r="AS179" s="245"/>
      <c r="AT179" s="42"/>
      <c r="AU179" s="42"/>
      <c r="AV179" s="42"/>
      <c r="AW179" s="42"/>
      <c r="AX179" s="42"/>
      <c r="AY179" s="42"/>
      <c r="AZ179" s="245"/>
      <c r="BA179" s="42"/>
      <c r="BB179" s="42"/>
      <c r="BC179" s="42"/>
      <c r="BD179" s="42"/>
      <c r="BE179" s="42"/>
      <c r="BF179" s="42"/>
      <c r="BG179" s="42"/>
      <c r="BH179" s="245"/>
      <c r="BI179" s="42"/>
      <c r="BJ179" s="42"/>
      <c r="BK179" s="42"/>
      <c r="BL179" s="42"/>
      <c r="BM179" s="42"/>
      <c r="BN179" s="42"/>
      <c r="BO179" s="42"/>
      <c r="BP179" s="42"/>
      <c r="BQ179" s="42"/>
      <c r="BR179" s="42"/>
      <c r="BS179" s="42"/>
      <c r="BT179" s="42"/>
      <c r="BU179" s="42"/>
      <c r="BV179" s="42"/>
      <c r="BW179" s="42"/>
      <c r="BX179" s="42"/>
      <c r="BY179" s="42"/>
      <c r="BZ179" s="42"/>
      <c r="CA179" s="42"/>
      <c r="CB179" s="42"/>
      <c r="CC179" s="42"/>
      <c r="CD179" s="245"/>
      <c r="CE179" s="42"/>
      <c r="CF179" s="42"/>
      <c r="CG179" s="42"/>
      <c r="CH179" s="42"/>
      <c r="CI179" s="42"/>
      <c r="CJ179" s="42"/>
      <c r="CK179" s="42"/>
      <c r="CL179" s="42"/>
      <c r="CM179" s="42"/>
      <c r="CN179" s="42"/>
      <c r="CO179" s="42"/>
      <c r="CP179" s="42"/>
      <c r="CQ179" s="42"/>
      <c r="CR179" s="42"/>
      <c r="CS179" s="42"/>
      <c r="CT179" s="42"/>
      <c r="CU179" s="42"/>
      <c r="CV179" s="42"/>
      <c r="CW179" s="245"/>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row>
    <row r="180" spans="1:131">
      <c r="A180" s="18"/>
      <c r="B180" s="18" t="s">
        <v>62</v>
      </c>
      <c r="C180" s="42">
        <v>32.483392354420594</v>
      </c>
      <c r="D180" s="42">
        <v>9.8287573310080454</v>
      </c>
      <c r="E180" s="42">
        <v>1.9657514662016091</v>
      </c>
      <c r="F180" s="42">
        <v>11.794508797209655</v>
      </c>
      <c r="G180" s="42">
        <v>27.004596704099491</v>
      </c>
      <c r="H180" s="42">
        <v>24.950646573135696</v>
      </c>
      <c r="I180" s="42">
        <v>3180.6991072930841</v>
      </c>
      <c r="J180" s="42">
        <v>8.4791216382193948</v>
      </c>
      <c r="K180" s="42">
        <v>42.948876353405723</v>
      </c>
      <c r="L180" s="245">
        <v>0.92394072189006282</v>
      </c>
      <c r="M180" s="42">
        <v>0.36859299514572613</v>
      </c>
      <c r="N180" s="32">
        <v>2.0368754708617569</v>
      </c>
      <c r="O180" s="32">
        <v>1.8314814583229495</v>
      </c>
      <c r="P180" s="32">
        <v>2.1075643296315589</v>
      </c>
      <c r="Q180" s="32">
        <v>1.9607112729593601</v>
      </c>
      <c r="R180" s="32">
        <v>2.0017700847206124</v>
      </c>
      <c r="S180" s="32">
        <v>1.981481413351581</v>
      </c>
      <c r="T180" s="32">
        <v>1.8824411669121406</v>
      </c>
      <c r="U180" s="32">
        <v>1.9614322124303245</v>
      </c>
      <c r="V180" s="32">
        <v>1.8326046604446316</v>
      </c>
      <c r="W180" s="32">
        <v>2.0895175439547535</v>
      </c>
      <c r="X180" s="32">
        <v>1.8491094212351644</v>
      </c>
      <c r="Y180" s="32">
        <v>2.0131967748618975</v>
      </c>
      <c r="Z180" s="32"/>
      <c r="AA180" s="32">
        <v>0.86477519616369258</v>
      </c>
      <c r="AB180" s="32">
        <v>0.74298946695046297</v>
      </c>
      <c r="AC180" s="32">
        <v>0.71268332401073486</v>
      </c>
      <c r="AD180" s="32">
        <v>0.74416020757220225</v>
      </c>
      <c r="AE180" s="32">
        <v>0.73012093844754611</v>
      </c>
      <c r="AF180" s="32">
        <v>0.64066087629315305</v>
      </c>
      <c r="AG180" s="32">
        <v>0.75221730692833844</v>
      </c>
      <c r="AH180" s="32">
        <v>0.61689427840686595</v>
      </c>
      <c r="AI180" s="32">
        <v>0.75946377188047587</v>
      </c>
      <c r="AJ180" s="32">
        <v>0.68211693794085426</v>
      </c>
      <c r="AK180" s="32">
        <v>0.81840015770104191</v>
      </c>
      <c r="AL180" s="32">
        <v>0.87072408243849408</v>
      </c>
      <c r="AM180" s="42"/>
      <c r="AN180" s="42"/>
      <c r="AO180" s="42"/>
      <c r="AP180" s="42"/>
      <c r="AQ180" s="42"/>
      <c r="AR180" s="42"/>
      <c r="AS180" s="245"/>
      <c r="AT180" s="42"/>
      <c r="AU180" s="42"/>
      <c r="AV180" s="42"/>
      <c r="AW180" s="42"/>
      <c r="AX180" s="42"/>
      <c r="AY180" s="42"/>
      <c r="AZ180" s="245"/>
      <c r="BA180" s="42"/>
      <c r="BB180" s="42"/>
      <c r="BC180" s="42"/>
      <c r="BD180" s="42"/>
      <c r="BE180" s="42"/>
      <c r="BF180" s="42"/>
      <c r="BG180" s="42"/>
      <c r="BH180" s="245"/>
      <c r="BI180" s="42"/>
      <c r="BJ180" s="42"/>
      <c r="BK180" s="42"/>
      <c r="BL180" s="42"/>
      <c r="BM180" s="42"/>
      <c r="BN180" s="42"/>
      <c r="BO180" s="42"/>
      <c r="BP180" s="42"/>
      <c r="BQ180" s="42"/>
      <c r="BR180" s="42"/>
      <c r="BS180" s="42"/>
      <c r="BT180" s="42"/>
      <c r="BU180" s="42"/>
      <c r="BV180" s="42"/>
      <c r="BW180" s="42"/>
      <c r="BX180" s="42"/>
      <c r="BY180" s="42"/>
      <c r="BZ180" s="42"/>
      <c r="CA180" s="42"/>
      <c r="CB180" s="42"/>
      <c r="CC180" s="42"/>
      <c r="CD180" s="245"/>
      <c r="CE180" s="42"/>
      <c r="CF180" s="42"/>
      <c r="CG180" s="42"/>
      <c r="CH180" s="42"/>
      <c r="CI180" s="42"/>
      <c r="CJ180" s="42"/>
      <c r="CK180" s="42"/>
      <c r="CL180" s="42"/>
      <c r="CM180" s="42"/>
      <c r="CN180" s="42"/>
      <c r="CO180" s="42"/>
      <c r="CP180" s="42"/>
      <c r="CQ180" s="42"/>
      <c r="CR180" s="42"/>
      <c r="CS180" s="42"/>
      <c r="CT180" s="42"/>
      <c r="CU180" s="42"/>
      <c r="CV180" s="42"/>
      <c r="CW180" s="245"/>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row>
    <row r="181" spans="1:131">
      <c r="A181" s="18"/>
      <c r="B181" s="18" t="s">
        <v>65</v>
      </c>
      <c r="C181" s="254">
        <v>0</v>
      </c>
      <c r="D181" s="254">
        <v>0</v>
      </c>
      <c r="E181" s="254">
        <v>0</v>
      </c>
      <c r="F181" s="254">
        <v>0</v>
      </c>
      <c r="G181" s="254">
        <v>0</v>
      </c>
      <c r="H181" s="254">
        <v>0</v>
      </c>
      <c r="I181" s="254">
        <v>0</v>
      </c>
      <c r="J181" s="254">
        <v>0</v>
      </c>
      <c r="K181" s="254">
        <v>0</v>
      </c>
      <c r="L181" s="255">
        <v>0</v>
      </c>
      <c r="M181" s="254">
        <v>0</v>
      </c>
      <c r="N181" s="254">
        <v>0</v>
      </c>
      <c r="O181" s="254">
        <v>0</v>
      </c>
      <c r="P181" s="254">
        <v>0</v>
      </c>
      <c r="Q181" s="254">
        <v>0</v>
      </c>
      <c r="R181" s="254">
        <v>0</v>
      </c>
      <c r="S181" s="254">
        <v>0</v>
      </c>
      <c r="T181" s="254">
        <v>0</v>
      </c>
      <c r="U181" s="254">
        <v>0</v>
      </c>
      <c r="V181" s="254">
        <v>0</v>
      </c>
      <c r="W181" s="254">
        <v>0</v>
      </c>
      <c r="X181" s="254">
        <v>0</v>
      </c>
      <c r="Y181" s="254">
        <v>0</v>
      </c>
      <c r="Z181" s="254"/>
      <c r="AA181" s="254">
        <v>0</v>
      </c>
      <c r="AB181" s="254">
        <v>0</v>
      </c>
      <c r="AC181" s="254">
        <v>0</v>
      </c>
      <c r="AD181" s="254">
        <v>0</v>
      </c>
      <c r="AE181" s="254">
        <v>0</v>
      </c>
      <c r="AF181" s="254">
        <v>0</v>
      </c>
      <c r="AG181" s="254">
        <v>0</v>
      </c>
      <c r="AH181" s="254">
        <v>0</v>
      </c>
      <c r="AI181" s="254">
        <v>0</v>
      </c>
      <c r="AJ181" s="254">
        <v>0</v>
      </c>
      <c r="AK181" s="254">
        <v>0</v>
      </c>
      <c r="AL181" s="254">
        <v>0</v>
      </c>
      <c r="AM181" s="42"/>
      <c r="AN181" s="42"/>
      <c r="AO181" s="42"/>
      <c r="AP181" s="42"/>
      <c r="AQ181" s="42"/>
      <c r="AR181" s="42"/>
      <c r="AS181" s="245"/>
      <c r="AT181" s="42"/>
      <c r="AU181" s="42"/>
      <c r="AV181" s="42"/>
      <c r="AW181" s="42"/>
      <c r="AX181" s="42"/>
      <c r="AY181" s="42"/>
      <c r="AZ181" s="245"/>
      <c r="BA181" s="42"/>
      <c r="BB181" s="42"/>
      <c r="BC181" s="42"/>
      <c r="BD181" s="42"/>
      <c r="BE181" s="42"/>
      <c r="BF181" s="42"/>
      <c r="BG181" s="42"/>
      <c r="BH181" s="245"/>
      <c r="BI181" s="42"/>
      <c r="BJ181" s="42"/>
      <c r="BK181" s="42"/>
      <c r="BL181" s="42"/>
      <c r="BM181" s="42"/>
      <c r="BN181" s="42"/>
      <c r="BO181" s="42"/>
      <c r="BP181" s="42"/>
      <c r="BQ181" s="42"/>
      <c r="BR181" s="42"/>
      <c r="BS181" s="42"/>
      <c r="BT181" s="42"/>
      <c r="BU181" s="42"/>
      <c r="BV181" s="42"/>
      <c r="BW181" s="42"/>
      <c r="BX181" s="42"/>
      <c r="BY181" s="42"/>
      <c r="BZ181" s="42"/>
      <c r="CA181" s="42"/>
      <c r="CB181" s="42"/>
      <c r="CC181" s="42"/>
      <c r="CD181" s="245"/>
      <c r="CE181" s="42"/>
      <c r="CF181" s="42"/>
      <c r="CG181" s="42"/>
      <c r="CH181" s="42"/>
      <c r="CI181" s="42"/>
      <c r="CJ181" s="42"/>
      <c r="CK181" s="42"/>
      <c r="CL181" s="42"/>
      <c r="CM181" s="42"/>
      <c r="CN181" s="42"/>
      <c r="CO181" s="42"/>
      <c r="CP181" s="42"/>
      <c r="CQ181" s="42"/>
      <c r="CR181" s="42"/>
      <c r="CS181" s="42"/>
      <c r="CT181" s="42"/>
      <c r="CU181" s="42"/>
      <c r="CV181" s="42"/>
      <c r="CW181" s="245"/>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row>
    <row r="182" spans="1:131">
      <c r="A182" s="18"/>
      <c r="B182" s="18" t="s">
        <v>68</v>
      </c>
      <c r="C182" s="42">
        <v>181.55278780226234</v>
      </c>
      <c r="D182" s="42">
        <v>82.30234988560494</v>
      </c>
      <c r="E182" s="42">
        <v>16.46046997712099</v>
      </c>
      <c r="F182" s="42">
        <v>98.762819862725934</v>
      </c>
      <c r="G182" s="42">
        <v>226.12642591639863</v>
      </c>
      <c r="H182" s="42">
        <v>164.73823641490031</v>
      </c>
      <c r="I182" s="42">
        <v>4765.3484833279899</v>
      </c>
      <c r="J182" s="42">
        <v>18.020940481560494</v>
      </c>
      <c r="K182" s="42">
        <v>63.176339159462458</v>
      </c>
      <c r="L182" s="245">
        <v>0.72852270913177486</v>
      </c>
      <c r="M182" s="42">
        <v>2.5153433906508491</v>
      </c>
      <c r="N182" s="32">
        <v>11.384291890027068</v>
      </c>
      <c r="O182" s="32">
        <v>10.236325102339066</v>
      </c>
      <c r="P182" s="32">
        <v>11.779378685032684</v>
      </c>
      <c r="Q182" s="32">
        <v>10.958602900742008</v>
      </c>
      <c r="R182" s="32">
        <v>11.188084528084705</v>
      </c>
      <c r="S182" s="32">
        <v>11.074689202631562</v>
      </c>
      <c r="T182" s="32">
        <v>10.521143789347272</v>
      </c>
      <c r="U182" s="32">
        <v>10.962632300422998</v>
      </c>
      <c r="V182" s="32">
        <v>10.242602786462442</v>
      </c>
      <c r="W182" s="32">
        <v>11.678513473211662</v>
      </c>
      <c r="X182" s="32">
        <v>10.334849473656826</v>
      </c>
      <c r="Y182" s="32">
        <v>11.25194939256277</v>
      </c>
      <c r="Z182" s="32"/>
      <c r="AA182" s="32">
        <v>4.8333113109844437</v>
      </c>
      <c r="AB182" s="32">
        <v>4.1526392182439738</v>
      </c>
      <c r="AC182" s="32">
        <v>3.9832552857344514</v>
      </c>
      <c r="AD182" s="32">
        <v>4.1591825995925404</v>
      </c>
      <c r="AE182" s="32">
        <v>4.0807157812110955</v>
      </c>
      <c r="AF182" s="32">
        <v>3.5807149345050888</v>
      </c>
      <c r="AG182" s="32">
        <v>4.2042144987780112</v>
      </c>
      <c r="AH182" s="32">
        <v>3.4478811449873019</v>
      </c>
      <c r="AI182" s="32">
        <v>4.244715684719969</v>
      </c>
      <c r="AJ182" s="32">
        <v>3.8124168294710659</v>
      </c>
      <c r="AK182" s="32">
        <v>4.574116783963758</v>
      </c>
      <c r="AL182" s="32">
        <v>4.8665602055495416</v>
      </c>
      <c r="AM182" s="42"/>
      <c r="AN182" s="42"/>
      <c r="AO182" s="42"/>
      <c r="AP182" s="42"/>
      <c r="AQ182" s="42"/>
      <c r="AR182" s="42"/>
      <c r="AS182" s="245"/>
      <c r="AT182" s="42"/>
      <c r="AU182" s="42"/>
      <c r="AV182" s="42"/>
      <c r="AW182" s="42"/>
      <c r="AX182" s="42"/>
      <c r="AY182" s="42"/>
      <c r="AZ182" s="245"/>
      <c r="BA182" s="42"/>
      <c r="BB182" s="42"/>
      <c r="BC182" s="42"/>
      <c r="BD182" s="42"/>
      <c r="BE182" s="42"/>
      <c r="BF182" s="42"/>
      <c r="BG182" s="42"/>
      <c r="BH182" s="245"/>
      <c r="BI182" s="42"/>
      <c r="BJ182" s="42"/>
      <c r="BK182" s="42"/>
      <c r="BL182" s="42"/>
      <c r="BM182" s="42"/>
      <c r="BN182" s="42"/>
      <c r="BO182" s="42"/>
      <c r="BP182" s="42"/>
      <c r="BQ182" s="42"/>
      <c r="BR182" s="42"/>
      <c r="BS182" s="42"/>
      <c r="BT182" s="42"/>
      <c r="BU182" s="42"/>
      <c r="BV182" s="42"/>
      <c r="BW182" s="42"/>
      <c r="BX182" s="42"/>
      <c r="BY182" s="42"/>
      <c r="BZ182" s="42"/>
      <c r="CA182" s="42"/>
      <c r="CB182" s="42"/>
      <c r="CC182" s="42"/>
      <c r="CD182" s="245"/>
      <c r="CE182" s="42"/>
      <c r="CF182" s="42"/>
      <c r="CG182" s="42"/>
      <c r="CH182" s="42"/>
      <c r="CI182" s="42"/>
      <c r="CJ182" s="42"/>
      <c r="CK182" s="42"/>
      <c r="CL182" s="42"/>
      <c r="CM182" s="42"/>
      <c r="CN182" s="42"/>
      <c r="CO182" s="42"/>
      <c r="CP182" s="42"/>
      <c r="CQ182" s="42"/>
      <c r="CR182" s="42"/>
      <c r="CS182" s="42"/>
      <c r="CT182" s="42"/>
      <c r="CU182" s="42"/>
      <c r="CV182" s="42"/>
      <c r="CW182" s="245"/>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row>
    <row r="183" spans="1:131">
      <c r="A183" s="18"/>
      <c r="B183" s="18" t="s">
        <v>71</v>
      </c>
      <c r="C183" s="42">
        <v>63.573127655562089</v>
      </c>
      <c r="D183" s="42">
        <v>29.970741031900246</v>
      </c>
      <c r="E183" s="42">
        <v>5.99414820638005</v>
      </c>
      <c r="F183" s="42">
        <v>35.964889238280293</v>
      </c>
      <c r="G183" s="42">
        <v>82.34487303253681</v>
      </c>
      <c r="H183" s="42">
        <v>52.11284926248171</v>
      </c>
      <c r="I183" s="42">
        <v>4955.7484639466384</v>
      </c>
      <c r="J183" s="42">
        <v>19.167416257409844</v>
      </c>
      <c r="K183" s="42">
        <v>73.287841526067467</v>
      </c>
      <c r="L183" s="245">
        <v>0.63257345205012994</v>
      </c>
      <c r="M183" s="42">
        <v>0.78045912918945559</v>
      </c>
      <c r="N183" s="32">
        <v>3.9863614894260113</v>
      </c>
      <c r="O183" s="32">
        <v>3.5843856232249331</v>
      </c>
      <c r="P183" s="32">
        <v>4.1247063948277116</v>
      </c>
      <c r="Q183" s="32">
        <v>3.8373008179541905</v>
      </c>
      <c r="R183" s="32">
        <v>3.917656867377969</v>
      </c>
      <c r="S183" s="32">
        <v>3.8779499832929494</v>
      </c>
      <c r="T183" s="32">
        <v>3.6841186814007365</v>
      </c>
      <c r="U183" s="32">
        <v>3.8387117659401486</v>
      </c>
      <c r="V183" s="32">
        <v>3.5865838379645023</v>
      </c>
      <c r="W183" s="32">
        <v>4.0893870969820236</v>
      </c>
      <c r="X183" s="32">
        <v>3.6188852445790811</v>
      </c>
      <c r="Y183" s="32">
        <v>3.9400200006094521</v>
      </c>
      <c r="Z183" s="32"/>
      <c r="AA183" s="32">
        <v>1.6924483545080398</v>
      </c>
      <c r="AB183" s="32">
        <v>1.4541019519702909</v>
      </c>
      <c r="AC183" s="32">
        <v>1.3947899111331261</v>
      </c>
      <c r="AD183" s="32">
        <v>1.456393204133406</v>
      </c>
      <c r="AE183" s="32">
        <v>1.428917002186441</v>
      </c>
      <c r="AF183" s="32">
        <v>1.2538350437086105</v>
      </c>
      <c r="AG183" s="32">
        <v>1.4721617236375426</v>
      </c>
      <c r="AH183" s="32">
        <v>1.2073215224335541</v>
      </c>
      <c r="AI183" s="32">
        <v>1.4863437535323081</v>
      </c>
      <c r="AJ183" s="32">
        <v>1.3349685494234931</v>
      </c>
      <c r="AK183" s="32">
        <v>1.6016879373677875</v>
      </c>
      <c r="AL183" s="32">
        <v>1.7040908979477773</v>
      </c>
      <c r="AM183" s="42"/>
      <c r="AN183" s="42"/>
      <c r="AO183" s="42"/>
      <c r="AP183" s="42"/>
      <c r="AQ183" s="42"/>
      <c r="AR183" s="42"/>
      <c r="AS183" s="245"/>
      <c r="AT183" s="42"/>
      <c r="AU183" s="42"/>
      <c r="AV183" s="42"/>
      <c r="AW183" s="42"/>
      <c r="AX183" s="42"/>
      <c r="AY183" s="42"/>
      <c r="AZ183" s="245"/>
      <c r="BA183" s="42"/>
      <c r="BB183" s="42"/>
      <c r="BC183" s="42"/>
      <c r="BD183" s="42"/>
      <c r="BE183" s="42"/>
      <c r="BF183" s="42"/>
      <c r="BG183" s="42"/>
      <c r="BH183" s="245"/>
      <c r="BI183" s="42"/>
      <c r="BJ183" s="42"/>
      <c r="BK183" s="42"/>
      <c r="BL183" s="42"/>
      <c r="BM183" s="42"/>
      <c r="BN183" s="42"/>
      <c r="BO183" s="42"/>
      <c r="BP183" s="42"/>
      <c r="BQ183" s="42"/>
      <c r="BR183" s="42"/>
      <c r="BS183" s="42"/>
      <c r="BT183" s="42"/>
      <c r="BU183" s="42"/>
      <c r="BV183" s="42"/>
      <c r="BW183" s="42"/>
      <c r="BX183" s="42"/>
      <c r="BY183" s="42"/>
      <c r="BZ183" s="42"/>
      <c r="CA183" s="42"/>
      <c r="CB183" s="42"/>
      <c r="CC183" s="42"/>
      <c r="CD183" s="245"/>
      <c r="CE183" s="42"/>
      <c r="CF183" s="42"/>
      <c r="CG183" s="42"/>
      <c r="CH183" s="42"/>
      <c r="CI183" s="42"/>
      <c r="CJ183" s="42"/>
      <c r="CK183" s="42"/>
      <c r="CL183" s="42"/>
      <c r="CM183" s="42"/>
      <c r="CN183" s="42"/>
      <c r="CO183" s="42"/>
      <c r="CP183" s="42"/>
      <c r="CQ183" s="42"/>
      <c r="CR183" s="42"/>
      <c r="CS183" s="42"/>
      <c r="CT183" s="42"/>
      <c r="CU183" s="42"/>
      <c r="CV183" s="42"/>
      <c r="CW183" s="245"/>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row>
    <row r="184" spans="1:131">
      <c r="A184" s="18"/>
      <c r="B184" s="18" t="s">
        <v>74</v>
      </c>
      <c r="C184" s="254">
        <v>0</v>
      </c>
      <c r="D184" s="254">
        <v>0</v>
      </c>
      <c r="E184" s="254">
        <v>0</v>
      </c>
      <c r="F184" s="254">
        <v>0</v>
      </c>
      <c r="G184" s="254">
        <v>0</v>
      </c>
      <c r="H184" s="254">
        <v>0</v>
      </c>
      <c r="I184" s="254">
        <v>0</v>
      </c>
      <c r="J184" s="254">
        <v>0</v>
      </c>
      <c r="K184" s="254">
        <v>0</v>
      </c>
      <c r="L184" s="255">
        <v>0</v>
      </c>
      <c r="M184" s="254">
        <v>0</v>
      </c>
      <c r="N184" s="254">
        <v>0</v>
      </c>
      <c r="O184" s="254">
        <v>0</v>
      </c>
      <c r="P184" s="254">
        <v>0</v>
      </c>
      <c r="Q184" s="254">
        <v>0</v>
      </c>
      <c r="R184" s="254">
        <v>0</v>
      </c>
      <c r="S184" s="254">
        <v>0</v>
      </c>
      <c r="T184" s="254">
        <v>0</v>
      </c>
      <c r="U184" s="254">
        <v>0</v>
      </c>
      <c r="V184" s="254">
        <v>0</v>
      </c>
      <c r="W184" s="254">
        <v>0</v>
      </c>
      <c r="X184" s="254">
        <v>0</v>
      </c>
      <c r="Y184" s="254">
        <v>0</v>
      </c>
      <c r="Z184" s="254"/>
      <c r="AA184" s="254">
        <v>0</v>
      </c>
      <c r="AB184" s="254">
        <v>0</v>
      </c>
      <c r="AC184" s="254">
        <v>0</v>
      </c>
      <c r="AD184" s="254">
        <v>0</v>
      </c>
      <c r="AE184" s="254">
        <v>0</v>
      </c>
      <c r="AF184" s="254">
        <v>0</v>
      </c>
      <c r="AG184" s="254">
        <v>0</v>
      </c>
      <c r="AH184" s="254">
        <v>0</v>
      </c>
      <c r="AI184" s="254">
        <v>0</v>
      </c>
      <c r="AJ184" s="254">
        <v>0</v>
      </c>
      <c r="AK184" s="254">
        <v>0</v>
      </c>
      <c r="AL184" s="254">
        <v>0</v>
      </c>
      <c r="AM184" s="42"/>
      <c r="AN184" s="42"/>
      <c r="AO184" s="42"/>
      <c r="AP184" s="42"/>
      <c r="AQ184" s="42"/>
      <c r="AR184" s="42"/>
      <c r="AS184" s="245"/>
      <c r="AT184" s="42"/>
      <c r="AU184" s="42"/>
      <c r="AV184" s="42"/>
      <c r="AW184" s="42"/>
      <c r="AX184" s="42"/>
      <c r="AY184" s="42"/>
      <c r="AZ184" s="245"/>
      <c r="BA184" s="42"/>
      <c r="BB184" s="42"/>
      <c r="BC184" s="42"/>
      <c r="BD184" s="42"/>
      <c r="BE184" s="42"/>
      <c r="BF184" s="42"/>
      <c r="BG184" s="42"/>
      <c r="BH184" s="245"/>
      <c r="BI184" s="42"/>
      <c r="BJ184" s="42"/>
      <c r="BK184" s="42"/>
      <c r="BL184" s="42"/>
      <c r="BM184" s="42"/>
      <c r="BN184" s="42"/>
      <c r="BO184" s="42"/>
      <c r="BP184" s="42"/>
      <c r="BQ184" s="42"/>
      <c r="BR184" s="42"/>
      <c r="BS184" s="42"/>
      <c r="BT184" s="42"/>
      <c r="BU184" s="42"/>
      <c r="BV184" s="42"/>
      <c r="BW184" s="42"/>
      <c r="BX184" s="42"/>
      <c r="BY184" s="42"/>
      <c r="BZ184" s="42"/>
      <c r="CA184" s="42"/>
      <c r="CB184" s="42"/>
      <c r="CC184" s="42"/>
      <c r="CD184" s="245"/>
      <c r="CE184" s="42"/>
      <c r="CF184" s="42"/>
      <c r="CG184" s="42"/>
      <c r="CH184" s="42"/>
      <c r="CI184" s="42"/>
      <c r="CJ184" s="42"/>
      <c r="CK184" s="42"/>
      <c r="CL184" s="42"/>
      <c r="CM184" s="42"/>
      <c r="CN184" s="42"/>
      <c r="CO184" s="42"/>
      <c r="CP184" s="42"/>
      <c r="CQ184" s="42"/>
      <c r="CR184" s="42"/>
      <c r="CS184" s="42"/>
      <c r="CT184" s="42"/>
      <c r="CU184" s="42"/>
      <c r="CV184" s="42"/>
      <c r="CW184" s="245"/>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row>
    <row r="185" spans="1:131">
      <c r="A185" s="18"/>
      <c r="B185" s="18" t="s">
        <v>77</v>
      </c>
      <c r="C185" s="254">
        <v>0</v>
      </c>
      <c r="D185" s="254">
        <v>0</v>
      </c>
      <c r="E185" s="254">
        <v>0</v>
      </c>
      <c r="F185" s="254">
        <v>0</v>
      </c>
      <c r="G185" s="254">
        <v>0</v>
      </c>
      <c r="H185" s="254">
        <v>0</v>
      </c>
      <c r="I185" s="254">
        <v>0</v>
      </c>
      <c r="J185" s="254">
        <v>0</v>
      </c>
      <c r="K185" s="254">
        <v>0</v>
      </c>
      <c r="L185" s="255">
        <v>0</v>
      </c>
      <c r="M185" s="254">
        <v>0</v>
      </c>
      <c r="N185" s="254">
        <v>0</v>
      </c>
      <c r="O185" s="254">
        <v>0</v>
      </c>
      <c r="P185" s="254">
        <v>0</v>
      </c>
      <c r="Q185" s="254">
        <v>0</v>
      </c>
      <c r="R185" s="254">
        <v>0</v>
      </c>
      <c r="S185" s="254">
        <v>0</v>
      </c>
      <c r="T185" s="254">
        <v>0</v>
      </c>
      <c r="U185" s="254">
        <v>0</v>
      </c>
      <c r="V185" s="254">
        <v>0</v>
      </c>
      <c r="W185" s="254">
        <v>0</v>
      </c>
      <c r="X185" s="254">
        <v>0</v>
      </c>
      <c r="Y185" s="254">
        <v>0</v>
      </c>
      <c r="Z185" s="254"/>
      <c r="AA185" s="254">
        <v>0</v>
      </c>
      <c r="AB185" s="254">
        <v>0</v>
      </c>
      <c r="AC185" s="254">
        <v>0</v>
      </c>
      <c r="AD185" s="254">
        <v>0</v>
      </c>
      <c r="AE185" s="254">
        <v>0</v>
      </c>
      <c r="AF185" s="254">
        <v>0</v>
      </c>
      <c r="AG185" s="254">
        <v>0</v>
      </c>
      <c r="AH185" s="254">
        <v>0</v>
      </c>
      <c r="AI185" s="254">
        <v>0</v>
      </c>
      <c r="AJ185" s="254">
        <v>0</v>
      </c>
      <c r="AK185" s="254">
        <v>0</v>
      </c>
      <c r="AL185" s="254">
        <v>0</v>
      </c>
      <c r="AM185" s="42"/>
      <c r="AN185" s="42"/>
      <c r="AO185" s="42"/>
      <c r="AP185" s="42"/>
      <c r="AQ185" s="42"/>
      <c r="AR185" s="42"/>
      <c r="AS185" s="245"/>
      <c r="AT185" s="42"/>
      <c r="AU185" s="42"/>
      <c r="AV185" s="42"/>
      <c r="AW185" s="42"/>
      <c r="AX185" s="42"/>
      <c r="AY185" s="42"/>
      <c r="AZ185" s="245"/>
      <c r="BA185" s="42"/>
      <c r="BB185" s="42"/>
      <c r="BC185" s="42"/>
      <c r="BD185" s="42"/>
      <c r="BE185" s="42"/>
      <c r="BF185" s="42"/>
      <c r="BG185" s="42"/>
      <c r="BH185" s="245"/>
      <c r="BI185" s="42"/>
      <c r="BJ185" s="42"/>
      <c r="BK185" s="42"/>
      <c r="BL185" s="42"/>
      <c r="BM185" s="42"/>
      <c r="BN185" s="42"/>
      <c r="BO185" s="42"/>
      <c r="BP185" s="42"/>
      <c r="BQ185" s="42"/>
      <c r="BR185" s="42"/>
      <c r="BS185" s="42"/>
      <c r="BT185" s="42"/>
      <c r="BU185" s="42"/>
      <c r="BV185" s="42"/>
      <c r="BW185" s="42"/>
      <c r="BX185" s="42"/>
      <c r="BY185" s="42"/>
      <c r="BZ185" s="42"/>
      <c r="CA185" s="42"/>
      <c r="CB185" s="42"/>
      <c r="CC185" s="42"/>
      <c r="CD185" s="245"/>
      <c r="CE185" s="42"/>
      <c r="CF185" s="42"/>
      <c r="CG185" s="42"/>
      <c r="CH185" s="42"/>
      <c r="CI185" s="42"/>
      <c r="CJ185" s="42"/>
      <c r="CK185" s="42"/>
      <c r="CL185" s="42"/>
      <c r="CM185" s="42"/>
      <c r="CN185" s="42"/>
      <c r="CO185" s="42"/>
      <c r="CP185" s="42"/>
      <c r="CQ185" s="42"/>
      <c r="CR185" s="42"/>
      <c r="CS185" s="42"/>
      <c r="CT185" s="42"/>
      <c r="CU185" s="42"/>
      <c r="CV185" s="42"/>
      <c r="CW185" s="245"/>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row>
    <row r="186" spans="1:131">
      <c r="A186" s="18"/>
      <c r="B186" s="18" t="s">
        <v>80</v>
      </c>
      <c r="C186" s="42">
        <v>235.27638694603962</v>
      </c>
      <c r="D186" s="42">
        <v>143.75452147683055</v>
      </c>
      <c r="E186" s="42">
        <v>28.750904295366112</v>
      </c>
      <c r="F186" s="42">
        <v>172.50542577219665</v>
      </c>
      <c r="G186" s="42">
        <v>394.9668046666967</v>
      </c>
      <c r="H186" s="42">
        <v>171.73415269219723</v>
      </c>
      <c r="I186" s="42">
        <v>6422.8609992681613</v>
      </c>
      <c r="J186" s="42">
        <v>28.00149794547437</v>
      </c>
      <c r="K186" s="42">
        <v>108.11136544211456</v>
      </c>
      <c r="L186" s="245">
        <v>0.43480654744420782</v>
      </c>
      <c r="M186" s="42">
        <v>2.5079912937347122</v>
      </c>
      <c r="N186" s="32">
        <v>14.753037374132205</v>
      </c>
      <c r="O186" s="32">
        <v>13.265373750726699</v>
      </c>
      <c r="P186" s="32">
        <v>15.265034985318726</v>
      </c>
      <c r="Q186" s="32">
        <v>14.201382020479452</v>
      </c>
      <c r="R186" s="32">
        <v>14.498769952690616</v>
      </c>
      <c r="S186" s="32">
        <v>14.35181962054676</v>
      </c>
      <c r="T186" s="32">
        <v>13.634473627545944</v>
      </c>
      <c r="U186" s="32">
        <v>14.206603766782443</v>
      </c>
      <c r="V186" s="32">
        <v>13.273509075206238</v>
      </c>
      <c r="W186" s="32">
        <v>15.134322574382665</v>
      </c>
      <c r="X186" s="32">
        <v>13.393052639001439</v>
      </c>
      <c r="Y186" s="32">
        <v>14.581533179568536</v>
      </c>
      <c r="Z186" s="32"/>
      <c r="AA186" s="32">
        <v>6.2635448125003998</v>
      </c>
      <c r="AB186" s="32">
        <v>5.3814538646632339</v>
      </c>
      <c r="AC186" s="32">
        <v>5.1619472400061843</v>
      </c>
      <c r="AD186" s="32">
        <v>5.3899335092929697</v>
      </c>
      <c r="AE186" s="32">
        <v>5.2882474391013918</v>
      </c>
      <c r="AF186" s="32">
        <v>4.6402904778947409</v>
      </c>
      <c r="AG186" s="32">
        <v>5.4482908755770678</v>
      </c>
      <c r="AH186" s="32">
        <v>4.4681496121971316</v>
      </c>
      <c r="AI186" s="32">
        <v>5.5007768374331425</v>
      </c>
      <c r="AJ186" s="32">
        <v>4.9405556809579929</v>
      </c>
      <c r="AK186" s="32">
        <v>5.9276515851265899</v>
      </c>
      <c r="AL186" s="32">
        <v>6.3066324449070477</v>
      </c>
      <c r="AM186" s="42"/>
      <c r="AN186" s="42"/>
      <c r="AO186" s="42"/>
      <c r="AP186" s="42"/>
      <c r="AQ186" s="42"/>
      <c r="AR186" s="42"/>
      <c r="AS186" s="245"/>
      <c r="AT186" s="42"/>
      <c r="AU186" s="42"/>
      <c r="AV186" s="42"/>
      <c r="AW186" s="42"/>
      <c r="AX186" s="42"/>
      <c r="AY186" s="42"/>
      <c r="AZ186" s="245"/>
      <c r="BA186" s="42"/>
      <c r="BB186" s="42"/>
      <c r="BC186" s="42"/>
      <c r="BD186" s="42"/>
      <c r="BE186" s="42"/>
      <c r="BF186" s="42"/>
      <c r="BG186" s="42"/>
      <c r="BH186" s="245"/>
      <c r="BI186" s="42"/>
      <c r="BJ186" s="42"/>
      <c r="BK186" s="42"/>
      <c r="BL186" s="42"/>
      <c r="BM186" s="42"/>
      <c r="BN186" s="42"/>
      <c r="BO186" s="42"/>
      <c r="BP186" s="42"/>
      <c r="BQ186" s="42"/>
      <c r="BR186" s="42"/>
      <c r="BS186" s="42"/>
      <c r="BT186" s="42"/>
      <c r="BU186" s="42"/>
      <c r="BV186" s="42"/>
      <c r="BW186" s="42"/>
      <c r="BX186" s="42"/>
      <c r="BY186" s="42"/>
      <c r="BZ186" s="42"/>
      <c r="CA186" s="42"/>
      <c r="CB186" s="42"/>
      <c r="CC186" s="42"/>
      <c r="CD186" s="245"/>
      <c r="CE186" s="42"/>
      <c r="CF186" s="42"/>
      <c r="CG186" s="42"/>
      <c r="CH186" s="42"/>
      <c r="CI186" s="42"/>
      <c r="CJ186" s="42"/>
      <c r="CK186" s="42"/>
      <c r="CL186" s="42"/>
      <c r="CM186" s="42"/>
      <c r="CN186" s="42"/>
      <c r="CO186" s="42"/>
      <c r="CP186" s="42"/>
      <c r="CQ186" s="42"/>
      <c r="CR186" s="42"/>
      <c r="CS186" s="42"/>
      <c r="CT186" s="42"/>
      <c r="CU186" s="42"/>
      <c r="CV186" s="42"/>
      <c r="CW186" s="245"/>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row>
    <row r="187" spans="1:131">
      <c r="A187" s="18"/>
      <c r="B187" s="18" t="s">
        <v>83</v>
      </c>
      <c r="C187" s="254">
        <v>0</v>
      </c>
      <c r="D187" s="254">
        <v>0</v>
      </c>
      <c r="E187" s="254">
        <v>0</v>
      </c>
      <c r="F187" s="254">
        <v>0</v>
      </c>
      <c r="G187" s="254">
        <v>0</v>
      </c>
      <c r="H187" s="254">
        <v>0</v>
      </c>
      <c r="I187" s="254">
        <v>0</v>
      </c>
      <c r="J187" s="254">
        <v>0</v>
      </c>
      <c r="K187" s="254">
        <v>0</v>
      </c>
      <c r="L187" s="255">
        <v>0</v>
      </c>
      <c r="M187" s="254">
        <v>0</v>
      </c>
      <c r="N187" s="254">
        <v>0</v>
      </c>
      <c r="O187" s="254">
        <v>0</v>
      </c>
      <c r="P187" s="254">
        <v>0</v>
      </c>
      <c r="Q187" s="254">
        <v>0</v>
      </c>
      <c r="R187" s="254">
        <v>0</v>
      </c>
      <c r="S187" s="254">
        <v>0</v>
      </c>
      <c r="T187" s="254">
        <v>0</v>
      </c>
      <c r="U187" s="254">
        <v>0</v>
      </c>
      <c r="V187" s="254">
        <v>0</v>
      </c>
      <c r="W187" s="254">
        <v>0</v>
      </c>
      <c r="X187" s="254">
        <v>0</v>
      </c>
      <c r="Y187" s="254">
        <v>0</v>
      </c>
      <c r="Z187" s="254"/>
      <c r="AA187" s="254">
        <v>0</v>
      </c>
      <c r="AB187" s="254">
        <v>0</v>
      </c>
      <c r="AC187" s="254">
        <v>0</v>
      </c>
      <c r="AD187" s="254">
        <v>0</v>
      </c>
      <c r="AE187" s="254">
        <v>0</v>
      </c>
      <c r="AF187" s="254">
        <v>0</v>
      </c>
      <c r="AG187" s="254">
        <v>0</v>
      </c>
      <c r="AH187" s="254">
        <v>0</v>
      </c>
      <c r="AI187" s="254">
        <v>0</v>
      </c>
      <c r="AJ187" s="254">
        <v>0</v>
      </c>
      <c r="AK187" s="254">
        <v>0</v>
      </c>
      <c r="AL187" s="254">
        <v>0</v>
      </c>
      <c r="AM187" s="42"/>
      <c r="AN187" s="42"/>
      <c r="AO187" s="42"/>
      <c r="AP187" s="42"/>
      <c r="AQ187" s="42"/>
      <c r="AR187" s="42"/>
      <c r="AS187" s="245"/>
      <c r="AT187" s="42"/>
      <c r="AU187" s="42"/>
      <c r="AV187" s="42"/>
      <c r="AW187" s="42"/>
      <c r="AX187" s="42"/>
      <c r="AY187" s="42"/>
      <c r="AZ187" s="245"/>
      <c r="BA187" s="42"/>
      <c r="BB187" s="42"/>
      <c r="BC187" s="42"/>
      <c r="BD187" s="42"/>
      <c r="BE187" s="42"/>
      <c r="BF187" s="42"/>
      <c r="BG187" s="42"/>
      <c r="BH187" s="245"/>
      <c r="BI187" s="42"/>
      <c r="BJ187" s="42"/>
      <c r="BK187" s="42"/>
      <c r="BL187" s="42"/>
      <c r="BM187" s="42"/>
      <c r="BN187" s="42"/>
      <c r="BO187" s="42"/>
      <c r="BP187" s="42"/>
      <c r="BQ187" s="42"/>
      <c r="BR187" s="42"/>
      <c r="BS187" s="42"/>
      <c r="BT187" s="42"/>
      <c r="BU187" s="42"/>
      <c r="BV187" s="42"/>
      <c r="BW187" s="42"/>
      <c r="BX187" s="42"/>
      <c r="BY187" s="42"/>
      <c r="BZ187" s="42"/>
      <c r="CA187" s="42"/>
      <c r="CB187" s="42"/>
      <c r="CC187" s="42"/>
      <c r="CD187" s="245"/>
      <c r="CE187" s="42"/>
      <c r="CF187" s="42"/>
      <c r="CG187" s="42"/>
      <c r="CH187" s="42"/>
      <c r="CI187" s="42"/>
      <c r="CJ187" s="42"/>
      <c r="CK187" s="42"/>
      <c r="CL187" s="42"/>
      <c r="CM187" s="42"/>
      <c r="CN187" s="42"/>
      <c r="CO187" s="42"/>
      <c r="CP187" s="42"/>
      <c r="CQ187" s="42"/>
      <c r="CR187" s="42"/>
      <c r="CS187" s="42"/>
      <c r="CT187" s="42"/>
      <c r="CU187" s="42"/>
      <c r="CV187" s="42"/>
      <c r="CW187" s="245"/>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row>
    <row r="188" spans="1:131">
      <c r="A188" s="18"/>
      <c r="B188" s="18" t="s">
        <v>86</v>
      </c>
      <c r="C188" s="254">
        <v>0</v>
      </c>
      <c r="D188" s="254">
        <v>0</v>
      </c>
      <c r="E188" s="254">
        <v>0</v>
      </c>
      <c r="F188" s="254">
        <v>0</v>
      </c>
      <c r="G188" s="254">
        <v>0</v>
      </c>
      <c r="H188" s="254">
        <v>0</v>
      </c>
      <c r="I188" s="254">
        <v>0</v>
      </c>
      <c r="J188" s="254">
        <v>0</v>
      </c>
      <c r="K188" s="254">
        <v>0</v>
      </c>
      <c r="L188" s="255">
        <v>0</v>
      </c>
      <c r="M188" s="254">
        <v>0</v>
      </c>
      <c r="N188" s="254">
        <v>0</v>
      </c>
      <c r="O188" s="254">
        <v>0</v>
      </c>
      <c r="P188" s="254">
        <v>0</v>
      </c>
      <c r="Q188" s="254">
        <v>0</v>
      </c>
      <c r="R188" s="254">
        <v>0</v>
      </c>
      <c r="S188" s="254">
        <v>0</v>
      </c>
      <c r="T188" s="254">
        <v>0</v>
      </c>
      <c r="U188" s="254">
        <v>0</v>
      </c>
      <c r="V188" s="254">
        <v>0</v>
      </c>
      <c r="W188" s="254">
        <v>0</v>
      </c>
      <c r="X188" s="254">
        <v>0</v>
      </c>
      <c r="Y188" s="254">
        <v>0</v>
      </c>
      <c r="Z188" s="254"/>
      <c r="AA188" s="254">
        <v>0</v>
      </c>
      <c r="AB188" s="254">
        <v>0</v>
      </c>
      <c r="AC188" s="254">
        <v>0</v>
      </c>
      <c r="AD188" s="254">
        <v>0</v>
      </c>
      <c r="AE188" s="254">
        <v>0</v>
      </c>
      <c r="AF188" s="254">
        <v>0</v>
      </c>
      <c r="AG188" s="254">
        <v>0</v>
      </c>
      <c r="AH188" s="254">
        <v>0</v>
      </c>
      <c r="AI188" s="254">
        <v>0</v>
      </c>
      <c r="AJ188" s="254">
        <v>0</v>
      </c>
      <c r="AK188" s="254">
        <v>0</v>
      </c>
      <c r="AL188" s="254">
        <v>0</v>
      </c>
      <c r="AM188" s="42"/>
      <c r="AN188" s="42"/>
      <c r="AO188" s="42"/>
      <c r="AP188" s="42"/>
      <c r="AQ188" s="42"/>
      <c r="AR188" s="42"/>
      <c r="AS188" s="245"/>
      <c r="AT188" s="42"/>
      <c r="AU188" s="42"/>
      <c r="AV188" s="42"/>
      <c r="AW188" s="42"/>
      <c r="AX188" s="42"/>
      <c r="AY188" s="42"/>
      <c r="AZ188" s="245"/>
      <c r="BA188" s="42"/>
      <c r="BB188" s="42"/>
      <c r="BC188" s="42"/>
      <c r="BD188" s="42"/>
      <c r="BE188" s="42"/>
      <c r="BF188" s="42"/>
      <c r="BG188" s="42"/>
      <c r="BH188" s="245"/>
      <c r="BI188" s="42"/>
      <c r="BJ188" s="42"/>
      <c r="BK188" s="42"/>
      <c r="BL188" s="42"/>
      <c r="BM188" s="42"/>
      <c r="BN188" s="42"/>
      <c r="BO188" s="42"/>
      <c r="BP188" s="42"/>
      <c r="BQ188" s="42"/>
      <c r="BR188" s="42"/>
      <c r="BS188" s="42"/>
      <c r="BT188" s="42"/>
      <c r="BU188" s="42"/>
      <c r="BV188" s="42"/>
      <c r="BW188" s="42"/>
      <c r="BX188" s="42"/>
      <c r="BY188" s="42"/>
      <c r="BZ188" s="42"/>
      <c r="CA188" s="42"/>
      <c r="CB188" s="42"/>
      <c r="CC188" s="42"/>
      <c r="CD188" s="245"/>
      <c r="CE188" s="42"/>
      <c r="CF188" s="42"/>
      <c r="CG188" s="42"/>
      <c r="CH188" s="42"/>
      <c r="CI188" s="42"/>
      <c r="CJ188" s="42"/>
      <c r="CK188" s="42"/>
      <c r="CL188" s="42"/>
      <c r="CM188" s="42"/>
      <c r="CN188" s="42"/>
      <c r="CO188" s="42"/>
      <c r="CP188" s="42"/>
      <c r="CQ188" s="42"/>
      <c r="CR188" s="42"/>
      <c r="CS188" s="42"/>
      <c r="CT188" s="42"/>
      <c r="CU188" s="42"/>
      <c r="CV188" s="42"/>
      <c r="CW188" s="245"/>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row>
    <row r="189" spans="1:131">
      <c r="A189" s="18"/>
      <c r="B189" s="18" t="s">
        <v>89</v>
      </c>
      <c r="C189" s="42">
        <v>19.453785339199513</v>
      </c>
      <c r="D189" s="42">
        <v>16.176643769731875</v>
      </c>
      <c r="E189" s="42">
        <v>3.2353287539463751</v>
      </c>
      <c r="F189" s="42">
        <v>19.411972523678251</v>
      </c>
      <c r="G189" s="42">
        <v>44.445470196860569</v>
      </c>
      <c r="H189" s="42">
        <v>17.932495990319264</v>
      </c>
      <c r="I189" s="42">
        <v>8741.1717741519333</v>
      </c>
      <c r="J189" s="42">
        <v>41.960990670519571</v>
      </c>
      <c r="K189" s="42">
        <v>138.57858167229179</v>
      </c>
      <c r="L189" s="245">
        <v>0.40347184788217039</v>
      </c>
      <c r="M189" s="42">
        <v>0.27457323823301871</v>
      </c>
      <c r="N189" s="32">
        <v>1.2198522168031221</v>
      </c>
      <c r="O189" s="32">
        <v>1.0968450201935278</v>
      </c>
      <c r="P189" s="32">
        <v>1.2621866463287246</v>
      </c>
      <c r="Q189" s="32">
        <v>1.1742386940417318</v>
      </c>
      <c r="R189" s="32">
        <v>1.1988281612245615</v>
      </c>
      <c r="S189" s="32">
        <v>1.1866775996907077</v>
      </c>
      <c r="T189" s="32">
        <v>1.1273639764966668</v>
      </c>
      <c r="U189" s="32">
        <v>1.1746704531867642</v>
      </c>
      <c r="V189" s="32">
        <v>1.0975176880211155</v>
      </c>
      <c r="W189" s="32">
        <v>1.2513787143618735</v>
      </c>
      <c r="X189" s="32">
        <v>1.1074021258898767</v>
      </c>
      <c r="Y189" s="32">
        <v>1.2056714236129449</v>
      </c>
      <c r="Z189" s="32"/>
      <c r="AA189" s="32">
        <v>0.51790006564826041</v>
      </c>
      <c r="AB189" s="32">
        <v>0.44496453577372647</v>
      </c>
      <c r="AC189" s="32">
        <v>0.42681467036632442</v>
      </c>
      <c r="AD189" s="32">
        <v>0.44566567365042048</v>
      </c>
      <c r="AE189" s="32">
        <v>0.43725777939817057</v>
      </c>
      <c r="AF189" s="32">
        <v>0.38368157570015476</v>
      </c>
      <c r="AG189" s="32">
        <v>0.45049094188659189</v>
      </c>
      <c r="AH189" s="32">
        <v>0.36944813947285798</v>
      </c>
      <c r="AI189" s="32">
        <v>0.45483073411361064</v>
      </c>
      <c r="AJ189" s="32">
        <v>0.40850894950100863</v>
      </c>
      <c r="AK189" s="32">
        <v>0.49012679512570817</v>
      </c>
      <c r="AL189" s="32">
        <v>0.52146275871106018</v>
      </c>
      <c r="AM189" s="42"/>
      <c r="AN189" s="42"/>
      <c r="AO189" s="42"/>
      <c r="AP189" s="42"/>
      <c r="AQ189" s="42"/>
      <c r="AR189" s="42"/>
      <c r="AS189" s="245"/>
      <c r="AT189" s="42"/>
      <c r="AU189" s="42"/>
      <c r="AV189" s="42"/>
      <c r="AW189" s="42"/>
      <c r="AX189" s="42"/>
      <c r="AY189" s="42"/>
      <c r="AZ189" s="245"/>
      <c r="BA189" s="42"/>
      <c r="BB189" s="42"/>
      <c r="BC189" s="42"/>
      <c r="BD189" s="42"/>
      <c r="BE189" s="42"/>
      <c r="BF189" s="42"/>
      <c r="BG189" s="42"/>
      <c r="BH189" s="245"/>
      <c r="BI189" s="42"/>
      <c r="BJ189" s="42"/>
      <c r="BK189" s="42"/>
      <c r="BL189" s="42"/>
      <c r="BM189" s="42"/>
      <c r="BN189" s="42"/>
      <c r="BO189" s="42"/>
      <c r="BP189" s="42"/>
      <c r="BQ189" s="42"/>
      <c r="BR189" s="42"/>
      <c r="BS189" s="42"/>
      <c r="BT189" s="42"/>
      <c r="BU189" s="42"/>
      <c r="BV189" s="42"/>
      <c r="BW189" s="42"/>
      <c r="BX189" s="42"/>
      <c r="BY189" s="42"/>
      <c r="BZ189" s="42"/>
      <c r="CA189" s="42"/>
      <c r="CB189" s="42"/>
      <c r="CC189" s="42"/>
      <c r="CD189" s="245"/>
      <c r="CE189" s="42"/>
      <c r="CF189" s="42"/>
      <c r="CG189" s="42"/>
      <c r="CH189" s="42"/>
      <c r="CI189" s="42"/>
      <c r="CJ189" s="42"/>
      <c r="CK189" s="42"/>
      <c r="CL189" s="42"/>
      <c r="CM189" s="42"/>
      <c r="CN189" s="42"/>
      <c r="CO189" s="42"/>
      <c r="CP189" s="42"/>
      <c r="CQ189" s="42"/>
      <c r="CR189" s="42"/>
      <c r="CS189" s="42"/>
      <c r="CT189" s="42"/>
      <c r="CU189" s="42"/>
      <c r="CV189" s="42"/>
      <c r="CW189" s="245"/>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row>
    <row r="190" spans="1:131">
      <c r="A190" s="18"/>
      <c r="B190" s="18" t="s">
        <v>92</v>
      </c>
      <c r="C190" s="254">
        <v>0</v>
      </c>
      <c r="D190" s="254">
        <v>0</v>
      </c>
      <c r="E190" s="254">
        <v>0</v>
      </c>
      <c r="F190" s="254">
        <v>0</v>
      </c>
      <c r="G190" s="254">
        <v>0</v>
      </c>
      <c r="H190" s="254">
        <v>0</v>
      </c>
      <c r="I190" s="254">
        <v>0</v>
      </c>
      <c r="J190" s="254">
        <v>0</v>
      </c>
      <c r="K190" s="254">
        <v>0</v>
      </c>
      <c r="L190" s="255">
        <v>0</v>
      </c>
      <c r="M190" s="254">
        <v>0</v>
      </c>
      <c r="N190" s="254">
        <v>0</v>
      </c>
      <c r="O190" s="254">
        <v>0</v>
      </c>
      <c r="P190" s="254">
        <v>0</v>
      </c>
      <c r="Q190" s="254">
        <v>0</v>
      </c>
      <c r="R190" s="254">
        <v>0</v>
      </c>
      <c r="S190" s="254">
        <v>0</v>
      </c>
      <c r="T190" s="254">
        <v>0</v>
      </c>
      <c r="U190" s="254">
        <v>0</v>
      </c>
      <c r="V190" s="254">
        <v>0</v>
      </c>
      <c r="W190" s="254">
        <v>0</v>
      </c>
      <c r="X190" s="254">
        <v>0</v>
      </c>
      <c r="Y190" s="254">
        <v>0</v>
      </c>
      <c r="Z190" s="254"/>
      <c r="AA190" s="254">
        <v>0</v>
      </c>
      <c r="AB190" s="254">
        <v>0</v>
      </c>
      <c r="AC190" s="254">
        <v>0</v>
      </c>
      <c r="AD190" s="254">
        <v>0</v>
      </c>
      <c r="AE190" s="254">
        <v>0</v>
      </c>
      <c r="AF190" s="254">
        <v>0</v>
      </c>
      <c r="AG190" s="254">
        <v>0</v>
      </c>
      <c r="AH190" s="254">
        <v>0</v>
      </c>
      <c r="AI190" s="254">
        <v>0</v>
      </c>
      <c r="AJ190" s="254">
        <v>0</v>
      </c>
      <c r="AK190" s="254">
        <v>0</v>
      </c>
      <c r="AL190" s="254">
        <v>0</v>
      </c>
      <c r="AM190" s="42"/>
      <c r="AN190" s="42"/>
      <c r="AO190" s="42"/>
      <c r="AP190" s="42"/>
      <c r="AQ190" s="42"/>
      <c r="AR190" s="42"/>
      <c r="AS190" s="245"/>
      <c r="AT190" s="42"/>
      <c r="AU190" s="42"/>
      <c r="AV190" s="42"/>
      <c r="AW190" s="42"/>
      <c r="AX190" s="42"/>
      <c r="AY190" s="42"/>
      <c r="AZ190" s="245"/>
      <c r="BA190" s="42"/>
      <c r="BB190" s="42"/>
      <c r="BC190" s="42"/>
      <c r="BD190" s="42"/>
      <c r="BE190" s="42"/>
      <c r="BF190" s="42"/>
      <c r="BG190" s="42"/>
      <c r="BH190" s="245"/>
      <c r="BI190" s="42"/>
      <c r="BJ190" s="42"/>
      <c r="BK190" s="42"/>
      <c r="BL190" s="42"/>
      <c r="BM190" s="42"/>
      <c r="BN190" s="42"/>
      <c r="BO190" s="42"/>
      <c r="BP190" s="42"/>
      <c r="BQ190" s="42"/>
      <c r="BR190" s="42"/>
      <c r="BS190" s="42"/>
      <c r="BT190" s="42"/>
      <c r="BU190" s="42"/>
      <c r="BV190" s="42"/>
      <c r="BW190" s="42"/>
      <c r="BX190" s="42"/>
      <c r="BY190" s="42"/>
      <c r="BZ190" s="42"/>
      <c r="CA190" s="42"/>
      <c r="CB190" s="42"/>
      <c r="CC190" s="42"/>
      <c r="CD190" s="245"/>
      <c r="CE190" s="42"/>
      <c r="CF190" s="42"/>
      <c r="CG190" s="42"/>
      <c r="CH190" s="42"/>
      <c r="CI190" s="42"/>
      <c r="CJ190" s="42"/>
      <c r="CK190" s="42"/>
      <c r="CL190" s="42"/>
      <c r="CM190" s="42"/>
      <c r="CN190" s="42"/>
      <c r="CO190" s="42"/>
      <c r="CP190" s="42"/>
      <c r="CQ190" s="42"/>
      <c r="CR190" s="42"/>
      <c r="CS190" s="42"/>
      <c r="CT190" s="42"/>
      <c r="CU190" s="42"/>
      <c r="CV190" s="42"/>
      <c r="CW190" s="245"/>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row>
    <row r="191" spans="1:131">
      <c r="A191" s="18"/>
      <c r="B191" s="18" t="s">
        <v>95</v>
      </c>
      <c r="C191" s="254">
        <v>0</v>
      </c>
      <c r="D191" s="254">
        <v>0</v>
      </c>
      <c r="E191" s="254">
        <v>0</v>
      </c>
      <c r="F191" s="254">
        <v>0</v>
      </c>
      <c r="G191" s="254">
        <v>0</v>
      </c>
      <c r="H191" s="254">
        <v>0</v>
      </c>
      <c r="I191" s="254">
        <v>0</v>
      </c>
      <c r="J191" s="254">
        <v>0</v>
      </c>
      <c r="K191" s="254">
        <v>0</v>
      </c>
      <c r="L191" s="255">
        <v>0</v>
      </c>
      <c r="M191" s="254">
        <v>0</v>
      </c>
      <c r="N191" s="254">
        <v>0</v>
      </c>
      <c r="O191" s="254">
        <v>0</v>
      </c>
      <c r="P191" s="254">
        <v>0</v>
      </c>
      <c r="Q191" s="254">
        <v>0</v>
      </c>
      <c r="R191" s="254">
        <v>0</v>
      </c>
      <c r="S191" s="254">
        <v>0</v>
      </c>
      <c r="T191" s="254">
        <v>0</v>
      </c>
      <c r="U191" s="254">
        <v>0</v>
      </c>
      <c r="V191" s="254">
        <v>0</v>
      </c>
      <c r="W191" s="254">
        <v>0</v>
      </c>
      <c r="X191" s="254">
        <v>0</v>
      </c>
      <c r="Y191" s="254">
        <v>0</v>
      </c>
      <c r="Z191" s="254"/>
      <c r="AA191" s="254">
        <v>0</v>
      </c>
      <c r="AB191" s="254">
        <v>0</v>
      </c>
      <c r="AC191" s="254">
        <v>0</v>
      </c>
      <c r="AD191" s="254">
        <v>0</v>
      </c>
      <c r="AE191" s="254">
        <v>0</v>
      </c>
      <c r="AF191" s="254">
        <v>0</v>
      </c>
      <c r="AG191" s="254">
        <v>0</v>
      </c>
      <c r="AH191" s="254">
        <v>0</v>
      </c>
      <c r="AI191" s="254">
        <v>0</v>
      </c>
      <c r="AJ191" s="254">
        <v>0</v>
      </c>
      <c r="AK191" s="254">
        <v>0</v>
      </c>
      <c r="AL191" s="254">
        <v>0</v>
      </c>
      <c r="AM191" s="42"/>
      <c r="AN191" s="42"/>
      <c r="AO191" s="42"/>
      <c r="AP191" s="42"/>
      <c r="AQ191" s="42"/>
      <c r="AR191" s="42"/>
      <c r="AS191" s="245"/>
      <c r="AT191" s="42"/>
      <c r="AU191" s="42"/>
      <c r="AV191" s="42"/>
      <c r="AW191" s="42"/>
      <c r="AX191" s="42"/>
      <c r="AY191" s="42"/>
      <c r="AZ191" s="245"/>
      <c r="BA191" s="42"/>
      <c r="BB191" s="42"/>
      <c r="BC191" s="42"/>
      <c r="BD191" s="42"/>
      <c r="BE191" s="42"/>
      <c r="BF191" s="42"/>
      <c r="BG191" s="42"/>
      <c r="BH191" s="245"/>
      <c r="BI191" s="42"/>
      <c r="BJ191" s="42"/>
      <c r="BK191" s="42"/>
      <c r="BL191" s="42"/>
      <c r="BM191" s="42"/>
      <c r="BN191" s="42"/>
      <c r="BO191" s="42"/>
      <c r="BP191" s="42"/>
      <c r="BQ191" s="42"/>
      <c r="BR191" s="42"/>
      <c r="BS191" s="42"/>
      <c r="BT191" s="42"/>
      <c r="BU191" s="42"/>
      <c r="BV191" s="42"/>
      <c r="BW191" s="42"/>
      <c r="BX191" s="42"/>
      <c r="BY191" s="42"/>
      <c r="BZ191" s="42"/>
      <c r="CA191" s="42"/>
      <c r="CB191" s="42"/>
      <c r="CC191" s="42"/>
      <c r="CD191" s="245"/>
      <c r="CE191" s="42"/>
      <c r="CF191" s="42"/>
      <c r="CG191" s="42"/>
      <c r="CH191" s="42"/>
      <c r="CI191" s="42"/>
      <c r="CJ191" s="42"/>
      <c r="CK191" s="42"/>
      <c r="CL191" s="42"/>
      <c r="CM191" s="42"/>
      <c r="CN191" s="42"/>
      <c r="CO191" s="42"/>
      <c r="CP191" s="42"/>
      <c r="CQ191" s="42"/>
      <c r="CR191" s="42"/>
      <c r="CS191" s="42"/>
      <c r="CT191" s="42"/>
      <c r="CU191" s="42"/>
      <c r="CV191" s="42"/>
      <c r="CW191" s="245"/>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row>
    <row r="192" spans="1:131">
      <c r="A192" s="18"/>
      <c r="B192" s="18" t="s">
        <v>98</v>
      </c>
      <c r="C192" s="254">
        <v>0</v>
      </c>
      <c r="D192" s="254">
        <v>0</v>
      </c>
      <c r="E192" s="254">
        <v>0</v>
      </c>
      <c r="F192" s="254">
        <v>0</v>
      </c>
      <c r="G192" s="254">
        <v>0</v>
      </c>
      <c r="H192" s="254">
        <v>0</v>
      </c>
      <c r="I192" s="254">
        <v>0</v>
      </c>
      <c r="J192" s="254">
        <v>0</v>
      </c>
      <c r="K192" s="254">
        <v>0</v>
      </c>
      <c r="L192" s="255">
        <v>0</v>
      </c>
      <c r="M192" s="254">
        <v>0</v>
      </c>
      <c r="N192" s="254">
        <v>0</v>
      </c>
      <c r="O192" s="254">
        <v>0</v>
      </c>
      <c r="P192" s="254">
        <v>0</v>
      </c>
      <c r="Q192" s="254">
        <v>0</v>
      </c>
      <c r="R192" s="254">
        <v>0</v>
      </c>
      <c r="S192" s="254">
        <v>0</v>
      </c>
      <c r="T192" s="254">
        <v>0</v>
      </c>
      <c r="U192" s="254">
        <v>0</v>
      </c>
      <c r="V192" s="254">
        <v>0</v>
      </c>
      <c r="W192" s="254">
        <v>0</v>
      </c>
      <c r="X192" s="254">
        <v>0</v>
      </c>
      <c r="Y192" s="254">
        <v>0</v>
      </c>
      <c r="Z192" s="254"/>
      <c r="AA192" s="254">
        <v>0</v>
      </c>
      <c r="AB192" s="254">
        <v>0</v>
      </c>
      <c r="AC192" s="254">
        <v>0</v>
      </c>
      <c r="AD192" s="254">
        <v>0</v>
      </c>
      <c r="AE192" s="254">
        <v>0</v>
      </c>
      <c r="AF192" s="254">
        <v>0</v>
      </c>
      <c r="AG192" s="254">
        <v>0</v>
      </c>
      <c r="AH192" s="254">
        <v>0</v>
      </c>
      <c r="AI192" s="254">
        <v>0</v>
      </c>
      <c r="AJ192" s="254">
        <v>0</v>
      </c>
      <c r="AK192" s="254">
        <v>0</v>
      </c>
      <c r="AL192" s="254">
        <v>0</v>
      </c>
      <c r="AM192" s="42"/>
      <c r="AN192" s="42"/>
      <c r="AO192" s="42"/>
      <c r="AP192" s="42"/>
      <c r="AQ192" s="42"/>
      <c r="AR192" s="42"/>
      <c r="AS192" s="245"/>
      <c r="AT192" s="42"/>
      <c r="AU192" s="42"/>
      <c r="AV192" s="42"/>
      <c r="AW192" s="42"/>
      <c r="AX192" s="42"/>
      <c r="AY192" s="42"/>
      <c r="AZ192" s="245"/>
      <c r="BA192" s="42"/>
      <c r="BB192" s="42"/>
      <c r="BC192" s="42"/>
      <c r="BD192" s="42"/>
      <c r="BE192" s="42"/>
      <c r="BF192" s="42"/>
      <c r="BG192" s="42"/>
      <c r="BH192" s="245"/>
      <c r="BI192" s="42"/>
      <c r="BJ192" s="42"/>
      <c r="BK192" s="42"/>
      <c r="BL192" s="42"/>
      <c r="BM192" s="42"/>
      <c r="BN192" s="42"/>
      <c r="BO192" s="42"/>
      <c r="BP192" s="42"/>
      <c r="BQ192" s="42"/>
      <c r="BR192" s="42"/>
      <c r="BS192" s="42"/>
      <c r="BT192" s="42"/>
      <c r="BU192" s="42"/>
      <c r="BV192" s="42"/>
      <c r="BW192" s="42"/>
      <c r="BX192" s="42"/>
      <c r="BY192" s="42"/>
      <c r="BZ192" s="42"/>
      <c r="CA192" s="42"/>
      <c r="CB192" s="42"/>
      <c r="CC192" s="42"/>
      <c r="CD192" s="245"/>
      <c r="CE192" s="42"/>
      <c r="CF192" s="42"/>
      <c r="CG192" s="42"/>
      <c r="CH192" s="42"/>
      <c r="CI192" s="42"/>
      <c r="CJ192" s="42"/>
      <c r="CK192" s="42"/>
      <c r="CL192" s="42"/>
      <c r="CM192" s="42"/>
      <c r="CN192" s="42"/>
      <c r="CO192" s="42"/>
      <c r="CP192" s="42"/>
      <c r="CQ192" s="42"/>
      <c r="CR192" s="42"/>
      <c r="CS192" s="42"/>
      <c r="CT192" s="42"/>
      <c r="CU192" s="42"/>
      <c r="CV192" s="42"/>
      <c r="CW192" s="245"/>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row>
    <row r="193" spans="1:131">
      <c r="A193" s="18"/>
      <c r="B193" s="18" t="s">
        <v>101</v>
      </c>
      <c r="C193" s="254">
        <v>0</v>
      </c>
      <c r="D193" s="254">
        <v>0</v>
      </c>
      <c r="E193" s="254">
        <v>0</v>
      </c>
      <c r="F193" s="254">
        <v>0</v>
      </c>
      <c r="G193" s="254">
        <v>0</v>
      </c>
      <c r="H193" s="254">
        <v>0</v>
      </c>
      <c r="I193" s="254">
        <v>0</v>
      </c>
      <c r="J193" s="254">
        <v>0</v>
      </c>
      <c r="K193" s="254">
        <v>0</v>
      </c>
      <c r="L193" s="255">
        <v>0</v>
      </c>
      <c r="M193" s="254">
        <v>0</v>
      </c>
      <c r="N193" s="254">
        <v>0</v>
      </c>
      <c r="O193" s="254">
        <v>0</v>
      </c>
      <c r="P193" s="254">
        <v>0</v>
      </c>
      <c r="Q193" s="254">
        <v>0</v>
      </c>
      <c r="R193" s="254">
        <v>0</v>
      </c>
      <c r="S193" s="254">
        <v>0</v>
      </c>
      <c r="T193" s="254">
        <v>0</v>
      </c>
      <c r="U193" s="254">
        <v>0</v>
      </c>
      <c r="V193" s="254">
        <v>0</v>
      </c>
      <c r="W193" s="254">
        <v>0</v>
      </c>
      <c r="X193" s="254">
        <v>0</v>
      </c>
      <c r="Y193" s="254">
        <v>0</v>
      </c>
      <c r="Z193" s="254"/>
      <c r="AA193" s="254">
        <v>0</v>
      </c>
      <c r="AB193" s="254">
        <v>0</v>
      </c>
      <c r="AC193" s="254">
        <v>0</v>
      </c>
      <c r="AD193" s="254">
        <v>0</v>
      </c>
      <c r="AE193" s="254">
        <v>0</v>
      </c>
      <c r="AF193" s="254">
        <v>0</v>
      </c>
      <c r="AG193" s="254">
        <v>0</v>
      </c>
      <c r="AH193" s="254">
        <v>0</v>
      </c>
      <c r="AI193" s="254">
        <v>0</v>
      </c>
      <c r="AJ193" s="254">
        <v>0</v>
      </c>
      <c r="AK193" s="254">
        <v>0</v>
      </c>
      <c r="AL193" s="254">
        <v>0</v>
      </c>
      <c r="AM193" s="42"/>
      <c r="AN193" s="42"/>
      <c r="AO193" s="42"/>
      <c r="AP193" s="42"/>
      <c r="AQ193" s="42"/>
      <c r="AR193" s="42"/>
      <c r="AS193" s="245"/>
      <c r="AT193" s="42"/>
      <c r="AU193" s="42"/>
      <c r="AV193" s="42"/>
      <c r="AW193" s="42"/>
      <c r="AX193" s="42"/>
      <c r="AY193" s="42"/>
      <c r="AZ193" s="245"/>
      <c r="BA193" s="42"/>
      <c r="BB193" s="42"/>
      <c r="BC193" s="42"/>
      <c r="BD193" s="42"/>
      <c r="BE193" s="42"/>
      <c r="BF193" s="42"/>
      <c r="BG193" s="42"/>
      <c r="BH193" s="245"/>
      <c r="BI193" s="42"/>
      <c r="BJ193" s="42"/>
      <c r="BK193" s="42"/>
      <c r="BL193" s="42"/>
      <c r="BM193" s="42"/>
      <c r="BN193" s="42"/>
      <c r="BO193" s="42"/>
      <c r="BP193" s="42"/>
      <c r="BQ193" s="42"/>
      <c r="BR193" s="42"/>
      <c r="BS193" s="42"/>
      <c r="BT193" s="42"/>
      <c r="BU193" s="42"/>
      <c r="BV193" s="42"/>
      <c r="BW193" s="42"/>
      <c r="BX193" s="42"/>
      <c r="BY193" s="42"/>
      <c r="BZ193" s="42"/>
      <c r="CA193" s="42"/>
      <c r="CB193" s="42"/>
      <c r="CC193" s="42"/>
      <c r="CD193" s="245"/>
      <c r="CE193" s="42"/>
      <c r="CF193" s="42"/>
      <c r="CG193" s="42"/>
      <c r="CH193" s="42"/>
      <c r="CI193" s="42"/>
      <c r="CJ193" s="42"/>
      <c r="CK193" s="42"/>
      <c r="CL193" s="42"/>
      <c r="CM193" s="42"/>
      <c r="CN193" s="42"/>
      <c r="CO193" s="42"/>
      <c r="CP193" s="42"/>
      <c r="CQ193" s="42"/>
      <c r="CR193" s="42"/>
      <c r="CS193" s="42"/>
      <c r="CT193" s="42"/>
      <c r="CU193" s="42"/>
      <c r="CV193" s="42"/>
      <c r="CW193" s="245"/>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row>
    <row r="194" spans="1:131">
      <c r="A194" s="18"/>
      <c r="B194" s="18" t="s">
        <v>104</v>
      </c>
      <c r="C194" s="254">
        <v>0</v>
      </c>
      <c r="D194" s="254">
        <v>0</v>
      </c>
      <c r="E194" s="254">
        <v>0</v>
      </c>
      <c r="F194" s="254">
        <v>0</v>
      </c>
      <c r="G194" s="254">
        <v>0</v>
      </c>
      <c r="H194" s="254">
        <v>0</v>
      </c>
      <c r="I194" s="254">
        <v>0</v>
      </c>
      <c r="J194" s="254">
        <v>0</v>
      </c>
      <c r="K194" s="254">
        <v>0</v>
      </c>
      <c r="L194" s="255">
        <v>0</v>
      </c>
      <c r="M194" s="254">
        <v>0</v>
      </c>
      <c r="N194" s="254">
        <v>0</v>
      </c>
      <c r="O194" s="254">
        <v>0</v>
      </c>
      <c r="P194" s="254">
        <v>0</v>
      </c>
      <c r="Q194" s="254">
        <v>0</v>
      </c>
      <c r="R194" s="254">
        <v>0</v>
      </c>
      <c r="S194" s="254">
        <v>0</v>
      </c>
      <c r="T194" s="254">
        <v>0</v>
      </c>
      <c r="U194" s="254">
        <v>0</v>
      </c>
      <c r="V194" s="254">
        <v>0</v>
      </c>
      <c r="W194" s="254">
        <v>0</v>
      </c>
      <c r="X194" s="254">
        <v>0</v>
      </c>
      <c r="Y194" s="254">
        <v>0</v>
      </c>
      <c r="Z194" s="254"/>
      <c r="AA194" s="254">
        <v>0</v>
      </c>
      <c r="AB194" s="254">
        <v>0</v>
      </c>
      <c r="AC194" s="254">
        <v>0</v>
      </c>
      <c r="AD194" s="254">
        <v>0</v>
      </c>
      <c r="AE194" s="254">
        <v>0</v>
      </c>
      <c r="AF194" s="254">
        <v>0</v>
      </c>
      <c r="AG194" s="254">
        <v>0</v>
      </c>
      <c r="AH194" s="254">
        <v>0</v>
      </c>
      <c r="AI194" s="254">
        <v>0</v>
      </c>
      <c r="AJ194" s="254">
        <v>0</v>
      </c>
      <c r="AK194" s="254">
        <v>0</v>
      </c>
      <c r="AL194" s="254">
        <v>0</v>
      </c>
      <c r="AM194" s="42"/>
      <c r="AN194" s="42"/>
      <c r="AO194" s="42"/>
      <c r="AP194" s="42"/>
      <c r="AQ194" s="42"/>
      <c r="AR194" s="42"/>
      <c r="AS194" s="245"/>
      <c r="AT194" s="42"/>
      <c r="AU194" s="42"/>
      <c r="AV194" s="42"/>
      <c r="AW194" s="42"/>
      <c r="AX194" s="42"/>
      <c r="AY194" s="42"/>
      <c r="AZ194" s="245"/>
      <c r="BA194" s="42"/>
      <c r="BB194" s="42"/>
      <c r="BC194" s="42"/>
      <c r="BD194" s="42"/>
      <c r="BE194" s="42"/>
      <c r="BF194" s="42"/>
      <c r="BG194" s="42"/>
      <c r="BH194" s="245"/>
      <c r="BI194" s="42"/>
      <c r="BJ194" s="42"/>
      <c r="BK194" s="42"/>
      <c r="BL194" s="42"/>
      <c r="BM194" s="42"/>
      <c r="BN194" s="42"/>
      <c r="BO194" s="42"/>
      <c r="BP194" s="42"/>
      <c r="BQ194" s="42"/>
      <c r="BR194" s="42"/>
      <c r="BS194" s="42"/>
      <c r="BT194" s="42"/>
      <c r="BU194" s="42"/>
      <c r="BV194" s="42"/>
      <c r="BW194" s="42"/>
      <c r="BX194" s="42"/>
      <c r="BY194" s="42"/>
      <c r="BZ194" s="42"/>
      <c r="CA194" s="42"/>
      <c r="CB194" s="42"/>
      <c r="CC194" s="42"/>
      <c r="CD194" s="245"/>
      <c r="CE194" s="42"/>
      <c r="CF194" s="42"/>
      <c r="CG194" s="42"/>
      <c r="CH194" s="42"/>
      <c r="CI194" s="42"/>
      <c r="CJ194" s="42"/>
      <c r="CK194" s="42"/>
      <c r="CL194" s="42"/>
      <c r="CM194" s="42"/>
      <c r="CN194" s="42"/>
      <c r="CO194" s="42"/>
      <c r="CP194" s="42"/>
      <c r="CQ194" s="42"/>
      <c r="CR194" s="42"/>
      <c r="CS194" s="42"/>
      <c r="CT194" s="42"/>
      <c r="CU194" s="42"/>
      <c r="CV194" s="42"/>
      <c r="CW194" s="245"/>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row>
    <row r="195" spans="1:131">
      <c r="A195" s="18"/>
      <c r="B195" s="18" t="s">
        <v>107</v>
      </c>
      <c r="C195" s="254">
        <v>0</v>
      </c>
      <c r="D195" s="254">
        <v>0</v>
      </c>
      <c r="E195" s="254">
        <v>0</v>
      </c>
      <c r="F195" s="254">
        <v>0</v>
      </c>
      <c r="G195" s="254">
        <v>0</v>
      </c>
      <c r="H195" s="254">
        <v>0</v>
      </c>
      <c r="I195" s="254">
        <v>0</v>
      </c>
      <c r="J195" s="254">
        <v>0</v>
      </c>
      <c r="K195" s="254">
        <v>0</v>
      </c>
      <c r="L195" s="255">
        <v>0</v>
      </c>
      <c r="M195" s="254">
        <v>0</v>
      </c>
      <c r="N195" s="254">
        <v>0</v>
      </c>
      <c r="O195" s="254">
        <v>0</v>
      </c>
      <c r="P195" s="254">
        <v>0</v>
      </c>
      <c r="Q195" s="254">
        <v>0</v>
      </c>
      <c r="R195" s="254">
        <v>0</v>
      </c>
      <c r="S195" s="254">
        <v>0</v>
      </c>
      <c r="T195" s="254">
        <v>0</v>
      </c>
      <c r="U195" s="254">
        <v>0</v>
      </c>
      <c r="V195" s="254">
        <v>0</v>
      </c>
      <c r="W195" s="254">
        <v>0</v>
      </c>
      <c r="X195" s="254">
        <v>0</v>
      </c>
      <c r="Y195" s="254">
        <v>0</v>
      </c>
      <c r="Z195" s="254"/>
      <c r="AA195" s="254">
        <v>0</v>
      </c>
      <c r="AB195" s="254">
        <v>0</v>
      </c>
      <c r="AC195" s="254">
        <v>0</v>
      </c>
      <c r="AD195" s="254">
        <v>0</v>
      </c>
      <c r="AE195" s="254">
        <v>0</v>
      </c>
      <c r="AF195" s="254">
        <v>0</v>
      </c>
      <c r="AG195" s="254">
        <v>0</v>
      </c>
      <c r="AH195" s="254">
        <v>0</v>
      </c>
      <c r="AI195" s="254">
        <v>0</v>
      </c>
      <c r="AJ195" s="254">
        <v>0</v>
      </c>
      <c r="AK195" s="254">
        <v>0</v>
      </c>
      <c r="AL195" s="254">
        <v>0</v>
      </c>
      <c r="AM195" s="42"/>
      <c r="AN195" s="42"/>
      <c r="AO195" s="42"/>
      <c r="AP195" s="42"/>
      <c r="AQ195" s="42"/>
      <c r="AR195" s="42"/>
      <c r="AS195" s="245"/>
      <c r="AT195" s="42"/>
      <c r="AU195" s="42"/>
      <c r="AV195" s="42"/>
      <c r="AW195" s="42"/>
      <c r="AX195" s="42"/>
      <c r="AY195" s="42"/>
      <c r="AZ195" s="245"/>
      <c r="BA195" s="42"/>
      <c r="BB195" s="42"/>
      <c r="BC195" s="42"/>
      <c r="BD195" s="42"/>
      <c r="BE195" s="42"/>
      <c r="BF195" s="42"/>
      <c r="BG195" s="42"/>
      <c r="BH195" s="245"/>
      <c r="BI195" s="42"/>
      <c r="BJ195" s="42"/>
      <c r="BK195" s="42"/>
      <c r="BL195" s="42"/>
      <c r="BM195" s="42"/>
      <c r="BN195" s="42"/>
      <c r="BO195" s="42"/>
      <c r="BP195" s="42"/>
      <c r="BQ195" s="42"/>
      <c r="BR195" s="42"/>
      <c r="BS195" s="42"/>
      <c r="BT195" s="42"/>
      <c r="BU195" s="42"/>
      <c r="BV195" s="42"/>
      <c r="BW195" s="42"/>
      <c r="BX195" s="42"/>
      <c r="BY195" s="42"/>
      <c r="BZ195" s="42"/>
      <c r="CA195" s="42"/>
      <c r="CB195" s="42"/>
      <c r="CC195" s="42"/>
      <c r="CD195" s="245"/>
      <c r="CE195" s="42"/>
      <c r="CF195" s="42"/>
      <c r="CG195" s="42"/>
      <c r="CH195" s="42"/>
      <c r="CI195" s="42"/>
      <c r="CJ195" s="42"/>
      <c r="CK195" s="42"/>
      <c r="CL195" s="42"/>
      <c r="CM195" s="42"/>
      <c r="CN195" s="42"/>
      <c r="CO195" s="42"/>
      <c r="CP195" s="42"/>
      <c r="CQ195" s="42"/>
      <c r="CR195" s="42"/>
      <c r="CS195" s="42"/>
      <c r="CT195" s="42"/>
      <c r="CU195" s="42"/>
      <c r="CV195" s="42"/>
      <c r="CW195" s="245"/>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row>
    <row r="196" spans="1:131">
      <c r="A196" s="18"/>
      <c r="B196" s="18" t="s">
        <v>144</v>
      </c>
      <c r="C196" s="254">
        <v>0</v>
      </c>
      <c r="D196" s="254">
        <v>0</v>
      </c>
      <c r="E196" s="254">
        <v>0</v>
      </c>
      <c r="F196" s="254">
        <v>0</v>
      </c>
      <c r="G196" s="254">
        <v>0</v>
      </c>
      <c r="H196" s="254">
        <v>0</v>
      </c>
      <c r="I196" s="254">
        <v>0</v>
      </c>
      <c r="J196" s="254">
        <v>0</v>
      </c>
      <c r="K196" s="254">
        <v>0</v>
      </c>
      <c r="L196" s="255">
        <v>0</v>
      </c>
      <c r="M196" s="254">
        <v>0</v>
      </c>
      <c r="N196" s="254">
        <v>0</v>
      </c>
      <c r="O196" s="254">
        <v>0</v>
      </c>
      <c r="P196" s="254">
        <v>0</v>
      </c>
      <c r="Q196" s="254">
        <v>0</v>
      </c>
      <c r="R196" s="254">
        <v>0</v>
      </c>
      <c r="S196" s="254">
        <v>0</v>
      </c>
      <c r="T196" s="254">
        <v>0</v>
      </c>
      <c r="U196" s="254">
        <v>0</v>
      </c>
      <c r="V196" s="254">
        <v>0</v>
      </c>
      <c r="W196" s="254">
        <v>0</v>
      </c>
      <c r="X196" s="254">
        <v>0</v>
      </c>
      <c r="Y196" s="254">
        <v>0</v>
      </c>
      <c r="Z196" s="254"/>
      <c r="AA196" s="254">
        <v>0</v>
      </c>
      <c r="AB196" s="254">
        <v>0</v>
      </c>
      <c r="AC196" s="254">
        <v>0</v>
      </c>
      <c r="AD196" s="254">
        <v>0</v>
      </c>
      <c r="AE196" s="254">
        <v>0</v>
      </c>
      <c r="AF196" s="254">
        <v>0</v>
      </c>
      <c r="AG196" s="254">
        <v>0</v>
      </c>
      <c r="AH196" s="254">
        <v>0</v>
      </c>
      <c r="AI196" s="254">
        <v>0</v>
      </c>
      <c r="AJ196" s="254">
        <v>0</v>
      </c>
      <c r="AK196" s="254">
        <v>0</v>
      </c>
      <c r="AL196" s="254">
        <v>0</v>
      </c>
      <c r="AM196" s="42"/>
      <c r="AN196" s="42"/>
      <c r="AO196" s="42"/>
      <c r="AP196" s="42"/>
      <c r="AQ196" s="42"/>
      <c r="AR196" s="42"/>
      <c r="AS196" s="245"/>
      <c r="AT196" s="42"/>
      <c r="AU196" s="42"/>
      <c r="AV196" s="42"/>
      <c r="AW196" s="42"/>
      <c r="AX196" s="42"/>
      <c r="AY196" s="42"/>
      <c r="AZ196" s="245"/>
      <c r="BA196" s="42"/>
      <c r="BB196" s="42"/>
      <c r="BC196" s="42"/>
      <c r="BD196" s="42"/>
      <c r="BE196" s="42"/>
      <c r="BF196" s="42"/>
      <c r="BG196" s="42"/>
      <c r="BH196" s="245"/>
      <c r="BI196" s="42"/>
      <c r="BJ196" s="42"/>
      <c r="BK196" s="42"/>
      <c r="BL196" s="42"/>
      <c r="BM196" s="42"/>
      <c r="BN196" s="42"/>
      <c r="BO196" s="42"/>
      <c r="BP196" s="42"/>
      <c r="BQ196" s="42"/>
      <c r="BR196" s="42"/>
      <c r="BS196" s="42"/>
      <c r="BT196" s="42"/>
      <c r="BU196" s="42"/>
      <c r="BV196" s="42"/>
      <c r="BW196" s="42"/>
      <c r="BX196" s="42"/>
      <c r="BY196" s="42"/>
      <c r="BZ196" s="42"/>
      <c r="CA196" s="42"/>
      <c r="CB196" s="42"/>
      <c r="CC196" s="42"/>
      <c r="CD196" s="245"/>
      <c r="CE196" s="42"/>
      <c r="CF196" s="42"/>
      <c r="CG196" s="42"/>
      <c r="CH196" s="42"/>
      <c r="CI196" s="42"/>
      <c r="CJ196" s="42"/>
      <c r="CK196" s="42"/>
      <c r="CL196" s="42"/>
      <c r="CM196" s="42"/>
      <c r="CN196" s="42"/>
      <c r="CO196" s="42"/>
      <c r="CP196" s="42"/>
      <c r="CQ196" s="42"/>
      <c r="CR196" s="42"/>
      <c r="CS196" s="42"/>
      <c r="CT196" s="42"/>
      <c r="CU196" s="42"/>
      <c r="CV196" s="42"/>
      <c r="CW196" s="245"/>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row>
    <row r="197" spans="1:131">
      <c r="A197" s="18"/>
      <c r="B197" s="18"/>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c r="AK197" s="42"/>
      <c r="AL197" s="42"/>
      <c r="AM197" s="42"/>
      <c r="AN197" s="42"/>
      <c r="AO197" s="42"/>
      <c r="AP197" s="42"/>
      <c r="AQ197" s="42"/>
      <c r="AR197" s="42"/>
      <c r="AS197" s="245"/>
      <c r="AT197" s="42"/>
      <c r="AU197" s="42"/>
      <c r="AV197" s="42"/>
      <c r="AW197" s="42"/>
      <c r="AX197" s="42"/>
      <c r="AY197" s="42"/>
      <c r="AZ197" s="245"/>
      <c r="BA197" s="42"/>
      <c r="BB197" s="42"/>
      <c r="BC197" s="42"/>
      <c r="BD197" s="42"/>
      <c r="BE197" s="42"/>
      <c r="BF197" s="42"/>
      <c r="BG197" s="42"/>
      <c r="BH197" s="245"/>
      <c r="BI197" s="42"/>
      <c r="BJ197" s="42"/>
      <c r="BK197" s="42"/>
      <c r="BL197" s="42"/>
      <c r="BM197" s="42"/>
      <c r="BN197" s="42"/>
      <c r="BO197" s="42"/>
      <c r="BP197" s="42"/>
      <c r="BQ197" s="42"/>
      <c r="BR197" s="42"/>
      <c r="BS197" s="42"/>
      <c r="BT197" s="42"/>
      <c r="BU197" s="42"/>
      <c r="BV197" s="42"/>
      <c r="BW197" s="42"/>
      <c r="BX197" s="42"/>
      <c r="BY197" s="42"/>
      <c r="BZ197" s="42"/>
      <c r="CA197" s="42"/>
      <c r="CB197" s="42"/>
      <c r="CC197" s="42"/>
      <c r="CD197" s="245"/>
      <c r="CE197" s="42"/>
      <c r="CF197" s="42"/>
      <c r="CG197" s="42"/>
      <c r="CH197" s="42"/>
      <c r="CI197" s="42"/>
      <c r="CJ197" s="42"/>
      <c r="CK197" s="42"/>
      <c r="CL197" s="42"/>
      <c r="CM197" s="42"/>
      <c r="CN197" s="42"/>
      <c r="CO197" s="42"/>
      <c r="CP197" s="42"/>
      <c r="CQ197" s="42"/>
      <c r="CR197" s="42"/>
      <c r="CS197" s="42"/>
      <c r="CT197" s="42"/>
      <c r="CU197" s="42"/>
      <c r="CV197" s="42"/>
      <c r="CW197" s="245"/>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row>
    <row r="198" spans="1:131">
      <c r="A198" s="18"/>
      <c r="B198" s="18"/>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c r="AI198" s="42"/>
      <c r="AJ198" s="42"/>
      <c r="AK198" s="42"/>
      <c r="AL198" s="42"/>
      <c r="AM198" s="42"/>
      <c r="AN198" s="42"/>
      <c r="AO198" s="42"/>
      <c r="AP198" s="42"/>
      <c r="AQ198" s="42"/>
      <c r="AR198" s="42"/>
      <c r="AS198" s="245"/>
      <c r="AT198" s="42"/>
      <c r="AU198" s="42"/>
      <c r="AV198" s="42"/>
      <c r="AW198" s="42"/>
      <c r="AX198" s="42"/>
      <c r="AY198" s="42"/>
      <c r="AZ198" s="245"/>
      <c r="BA198" s="42"/>
      <c r="BB198" s="42"/>
      <c r="BC198" s="42"/>
      <c r="BD198" s="42"/>
      <c r="BE198" s="42"/>
      <c r="BF198" s="42"/>
      <c r="BG198" s="42"/>
      <c r="BH198" s="245"/>
      <c r="BI198" s="42"/>
      <c r="BJ198" s="42"/>
      <c r="BK198" s="42"/>
      <c r="BL198" s="42"/>
      <c r="BM198" s="42"/>
      <c r="BN198" s="42"/>
      <c r="BO198" s="42"/>
      <c r="BP198" s="42"/>
      <c r="BQ198" s="42"/>
      <c r="BR198" s="42"/>
      <c r="BS198" s="42"/>
      <c r="BT198" s="42"/>
      <c r="BU198" s="42"/>
      <c r="BV198" s="42"/>
      <c r="BW198" s="42"/>
      <c r="BX198" s="42"/>
      <c r="BY198" s="42"/>
      <c r="BZ198" s="42"/>
      <c r="CA198" s="42"/>
      <c r="CB198" s="42"/>
      <c r="CC198" s="42"/>
      <c r="CD198" s="245"/>
      <c r="CE198" s="42"/>
      <c r="CF198" s="42"/>
      <c r="CG198" s="42"/>
      <c r="CH198" s="42"/>
      <c r="CI198" s="42"/>
      <c r="CJ198" s="42"/>
      <c r="CK198" s="42"/>
      <c r="CL198" s="42"/>
      <c r="CM198" s="42"/>
      <c r="CN198" s="42"/>
      <c r="CO198" s="42"/>
      <c r="CP198" s="42"/>
      <c r="CQ198" s="42"/>
      <c r="CR198" s="42"/>
      <c r="CS198" s="42"/>
      <c r="CT198" s="42"/>
      <c r="CU198" s="42"/>
      <c r="CV198" s="42"/>
      <c r="CW198" s="245"/>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row>
    <row r="199" spans="1:131" ht="13.5" thickBot="1">
      <c r="A199" s="222" t="s">
        <v>781</v>
      </c>
      <c r="B199" s="224"/>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c r="AI199" s="42"/>
      <c r="AJ199" s="42"/>
      <c r="AK199" s="42"/>
      <c r="AL199" s="42"/>
      <c r="AM199" s="42"/>
      <c r="AN199" s="42"/>
      <c r="AO199" s="42"/>
      <c r="AP199" s="42"/>
      <c r="AQ199" s="42"/>
      <c r="AR199" s="42"/>
      <c r="AS199" s="245"/>
      <c r="AT199" s="42"/>
      <c r="AU199" s="42"/>
      <c r="AV199" s="42"/>
      <c r="AW199" s="42"/>
      <c r="AX199" s="42"/>
      <c r="AY199" s="42"/>
      <c r="AZ199" s="245"/>
      <c r="BA199" s="42"/>
      <c r="BB199" s="42"/>
      <c r="BC199" s="42"/>
      <c r="BD199" s="42"/>
      <c r="BE199" s="42"/>
      <c r="BF199" s="42"/>
      <c r="BG199" s="42"/>
      <c r="BH199" s="245"/>
      <c r="BI199" s="42"/>
      <c r="BJ199" s="42"/>
      <c r="BK199" s="42"/>
      <c r="BL199" s="42"/>
      <c r="BM199" s="42"/>
      <c r="BN199" s="42"/>
      <c r="BO199" s="42"/>
      <c r="BP199" s="42"/>
      <c r="BQ199" s="42"/>
      <c r="BR199" s="42"/>
      <c r="BS199" s="42"/>
      <c r="BT199" s="42"/>
      <c r="BU199" s="42"/>
      <c r="BV199" s="42"/>
      <c r="BW199" s="42"/>
      <c r="BX199" s="42"/>
      <c r="BY199" s="42"/>
      <c r="BZ199" s="42"/>
      <c r="CA199" s="42"/>
      <c r="CB199" s="42"/>
      <c r="CC199" s="42"/>
      <c r="CD199" s="245"/>
      <c r="CE199" s="42"/>
      <c r="CF199" s="42"/>
      <c r="CG199" s="42"/>
      <c r="CH199" s="42"/>
      <c r="CI199" s="42"/>
      <c r="CJ199" s="42"/>
      <c r="CK199" s="42"/>
      <c r="CL199" s="42"/>
      <c r="CM199" s="42"/>
      <c r="CN199" s="42"/>
      <c r="CO199" s="42"/>
      <c r="CP199" s="42"/>
      <c r="CQ199" s="42"/>
      <c r="CR199" s="42"/>
      <c r="CS199" s="42"/>
      <c r="CT199" s="42"/>
      <c r="CU199" s="42"/>
      <c r="CV199" s="42"/>
      <c r="CW199" s="245"/>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row>
    <row r="200" spans="1:131" ht="13.5" thickBot="1">
      <c r="A200" s="256"/>
      <c r="B200" s="257"/>
      <c r="C200" s="258"/>
      <c r="D200" s="258"/>
      <c r="E200" s="258"/>
      <c r="F200" s="258"/>
      <c r="G200" s="258"/>
      <c r="H200" s="258"/>
      <c r="I200" s="258"/>
      <c r="J200" s="258"/>
      <c r="K200" s="258"/>
      <c r="L200" s="258"/>
      <c r="M200" s="258"/>
      <c r="N200" s="258"/>
      <c r="O200" s="259" t="s">
        <v>786</v>
      </c>
      <c r="P200" s="260"/>
      <c r="Q200" s="260"/>
      <c r="R200" s="260"/>
      <c r="S200" s="260"/>
      <c r="T200" s="260"/>
      <c r="U200" s="260"/>
      <c r="V200" s="260"/>
      <c r="W200" s="260"/>
      <c r="X200" s="260"/>
      <c r="Y200" s="260"/>
      <c r="Z200" s="249"/>
      <c r="AA200" s="258"/>
      <c r="AB200" s="259" t="s">
        <v>787</v>
      </c>
      <c r="AC200" s="260"/>
      <c r="AD200" s="260"/>
      <c r="AE200" s="260"/>
      <c r="AF200" s="260"/>
      <c r="AG200" s="260"/>
      <c r="AH200" s="260"/>
      <c r="AI200" s="260"/>
      <c r="AJ200" s="260"/>
      <c r="AK200" s="260"/>
      <c r="AL200" s="260"/>
      <c r="AM200" s="249"/>
      <c r="AN200" s="42"/>
      <c r="AO200" s="42"/>
      <c r="AP200" s="42"/>
      <c r="AQ200" s="42"/>
      <c r="AR200" s="42"/>
      <c r="AS200" s="245"/>
      <c r="AT200" s="42"/>
      <c r="AU200" s="42"/>
      <c r="AV200" s="42"/>
      <c r="AW200" s="42"/>
      <c r="AX200" s="42"/>
      <c r="AY200" s="42"/>
      <c r="AZ200" s="245"/>
      <c r="BA200" s="42"/>
      <c r="BB200" s="42"/>
      <c r="BC200" s="42"/>
      <c r="BD200" s="42"/>
      <c r="BE200" s="42"/>
      <c r="BF200" s="42"/>
      <c r="BG200" s="42"/>
      <c r="BH200" s="245"/>
      <c r="BI200" s="42"/>
      <c r="BJ200" s="42"/>
      <c r="BK200" s="42"/>
      <c r="BL200" s="42"/>
      <c r="BM200" s="42"/>
      <c r="BN200" s="42"/>
      <c r="BO200" s="42"/>
      <c r="BP200" s="42"/>
      <c r="BQ200" s="42"/>
      <c r="BR200" s="42"/>
      <c r="BS200" s="42"/>
      <c r="BT200" s="42"/>
      <c r="BU200" s="42"/>
      <c r="BV200" s="42"/>
      <c r="BW200" s="42"/>
      <c r="BX200" s="42"/>
      <c r="BY200" s="42"/>
      <c r="BZ200" s="42"/>
      <c r="CA200" s="42"/>
      <c r="CB200" s="42"/>
      <c r="CC200" s="42"/>
      <c r="CD200" s="245"/>
      <c r="CE200" s="42"/>
      <c r="CF200" s="42"/>
      <c r="CG200" s="42"/>
      <c r="CH200" s="42"/>
      <c r="CI200" s="42"/>
      <c r="CJ200" s="42"/>
      <c r="CK200" s="42"/>
      <c r="CL200" s="42"/>
      <c r="CM200" s="42"/>
      <c r="CN200" s="42"/>
      <c r="CO200" s="42"/>
      <c r="CP200" s="42"/>
      <c r="CQ200" s="42"/>
      <c r="CR200" s="42"/>
      <c r="CS200" s="42"/>
      <c r="CT200" s="42"/>
      <c r="CU200" s="42"/>
      <c r="CV200" s="42"/>
      <c r="CW200" s="245"/>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row>
    <row r="201" spans="1:131" ht="102">
      <c r="A201" s="240" t="s">
        <v>671</v>
      </c>
      <c r="B201" s="241" t="s">
        <v>672</v>
      </c>
      <c r="C201" s="242" t="s">
        <v>782</v>
      </c>
      <c r="D201" s="242" t="s">
        <v>758</v>
      </c>
      <c r="E201" s="242" t="s">
        <v>759</v>
      </c>
      <c r="F201" s="242" t="s">
        <v>760</v>
      </c>
      <c r="G201" s="242" t="s">
        <v>761</v>
      </c>
      <c r="H201" s="242" t="s">
        <v>762</v>
      </c>
      <c r="I201" s="242" t="s">
        <v>763</v>
      </c>
      <c r="J201" s="242" t="s">
        <v>764</v>
      </c>
      <c r="K201" s="242" t="s">
        <v>734</v>
      </c>
      <c r="L201" s="242" t="s">
        <v>733</v>
      </c>
      <c r="M201" s="242" t="s">
        <v>765</v>
      </c>
      <c r="N201" s="242" t="s">
        <v>783</v>
      </c>
      <c r="O201" s="242" t="s">
        <v>766</v>
      </c>
      <c r="P201" s="242" t="s">
        <v>767</v>
      </c>
      <c r="Q201" s="242" t="s">
        <v>768</v>
      </c>
      <c r="R201" s="242" t="s">
        <v>769</v>
      </c>
      <c r="S201" s="242" t="s">
        <v>770</v>
      </c>
      <c r="T201" s="242" t="s">
        <v>771</v>
      </c>
      <c r="U201" s="242" t="s">
        <v>772</v>
      </c>
      <c r="V201" s="242" t="s">
        <v>773</v>
      </c>
      <c r="W201" s="242" t="s">
        <v>774</v>
      </c>
      <c r="X201" s="242" t="s">
        <v>775</v>
      </c>
      <c r="Y201" s="242" t="s">
        <v>776</v>
      </c>
      <c r="Z201" s="242" t="s">
        <v>777</v>
      </c>
      <c r="AA201" s="242"/>
      <c r="AB201" s="242" t="s">
        <v>766</v>
      </c>
      <c r="AC201" s="242" t="s">
        <v>767</v>
      </c>
      <c r="AD201" s="242" t="s">
        <v>768</v>
      </c>
      <c r="AE201" s="242" t="s">
        <v>769</v>
      </c>
      <c r="AF201" s="242" t="s">
        <v>770</v>
      </c>
      <c r="AG201" s="242" t="s">
        <v>771</v>
      </c>
      <c r="AH201" s="242" t="s">
        <v>772</v>
      </c>
      <c r="AI201" s="242" t="s">
        <v>773</v>
      </c>
      <c r="AJ201" s="242" t="s">
        <v>774</v>
      </c>
      <c r="AK201" s="242" t="s">
        <v>775</v>
      </c>
      <c r="AL201" s="242" t="s">
        <v>776</v>
      </c>
      <c r="AM201" s="242" t="s">
        <v>777</v>
      </c>
      <c r="AN201" s="42"/>
      <c r="AO201" s="42"/>
      <c r="AP201" s="42"/>
      <c r="AQ201" s="42"/>
      <c r="AR201" s="42"/>
      <c r="AS201" s="245"/>
      <c r="AT201" s="42"/>
      <c r="AU201" s="42"/>
      <c r="AV201" s="42"/>
      <c r="AW201" s="42"/>
      <c r="AX201" s="42"/>
      <c r="AY201" s="42"/>
      <c r="AZ201" s="245"/>
      <c r="BA201" s="42"/>
      <c r="BB201" s="42"/>
      <c r="BC201" s="42"/>
      <c r="BD201" s="42"/>
      <c r="BE201" s="42"/>
      <c r="BF201" s="42"/>
      <c r="BG201" s="42"/>
      <c r="BH201" s="245"/>
      <c r="BI201" s="42"/>
      <c r="BJ201" s="42"/>
      <c r="BK201" s="42"/>
      <c r="BL201" s="42"/>
      <c r="BM201" s="42"/>
      <c r="BN201" s="42"/>
      <c r="BO201" s="42"/>
      <c r="BP201" s="42"/>
      <c r="BQ201" s="42"/>
      <c r="BR201" s="42"/>
      <c r="BS201" s="42"/>
      <c r="BT201" s="42"/>
      <c r="BU201" s="42"/>
      <c r="BV201" s="42"/>
      <c r="BW201" s="42"/>
      <c r="BX201" s="42"/>
      <c r="BY201" s="42"/>
      <c r="BZ201" s="42"/>
      <c r="CA201" s="42"/>
      <c r="CB201" s="42"/>
      <c r="CC201" s="42"/>
      <c r="CD201" s="245"/>
      <c r="CE201" s="42"/>
      <c r="CF201" s="42"/>
      <c r="CG201" s="42"/>
      <c r="CH201" s="42"/>
      <c r="CI201" s="42"/>
      <c r="CJ201" s="42"/>
      <c r="CK201" s="42"/>
      <c r="CL201" s="42"/>
      <c r="CM201" s="42"/>
      <c r="CN201" s="42"/>
      <c r="CO201" s="42"/>
      <c r="CP201" s="42"/>
      <c r="CQ201" s="42"/>
      <c r="CR201" s="42"/>
      <c r="CS201" s="42"/>
      <c r="CT201" s="42"/>
      <c r="CU201" s="42"/>
      <c r="CV201" s="42"/>
      <c r="CW201" s="245"/>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row>
    <row r="202" spans="1:131">
      <c r="A202" s="18" t="s">
        <v>518</v>
      </c>
      <c r="B202" s="18"/>
      <c r="C202" s="32">
        <v>0</v>
      </c>
      <c r="D202" s="32">
        <v>0</v>
      </c>
      <c r="E202" s="32">
        <v>0</v>
      </c>
      <c r="F202" s="32">
        <v>0</v>
      </c>
      <c r="G202" s="32">
        <v>0</v>
      </c>
      <c r="H202" s="32">
        <v>0</v>
      </c>
      <c r="I202" s="32">
        <v>0</v>
      </c>
      <c r="J202" s="32">
        <v>9999</v>
      </c>
      <c r="K202" s="32">
        <v>9999</v>
      </c>
      <c r="L202" s="244">
        <v>9999</v>
      </c>
      <c r="M202" s="32">
        <v>0</v>
      </c>
      <c r="N202" s="32">
        <v>0</v>
      </c>
      <c r="O202" s="32">
        <v>0</v>
      </c>
      <c r="P202" s="32">
        <v>0</v>
      </c>
      <c r="Q202" s="32">
        <v>0</v>
      </c>
      <c r="R202" s="32">
        <v>0</v>
      </c>
      <c r="S202" s="32">
        <v>0</v>
      </c>
      <c r="T202" s="32">
        <v>0</v>
      </c>
      <c r="U202" s="32">
        <v>0</v>
      </c>
      <c r="V202" s="32">
        <v>0</v>
      </c>
      <c r="W202" s="32">
        <v>0</v>
      </c>
      <c r="X202" s="32">
        <v>0</v>
      </c>
      <c r="Y202" s="32">
        <v>0</v>
      </c>
      <c r="Z202" s="32">
        <v>0</v>
      </c>
      <c r="AA202" s="32"/>
      <c r="AB202" s="32">
        <v>0</v>
      </c>
      <c r="AC202" s="32">
        <v>0</v>
      </c>
      <c r="AD202" s="32">
        <v>0</v>
      </c>
      <c r="AE202" s="32">
        <v>0</v>
      </c>
      <c r="AF202" s="32">
        <v>0</v>
      </c>
      <c r="AG202" s="32">
        <v>0</v>
      </c>
      <c r="AH202" s="32">
        <v>0</v>
      </c>
      <c r="AI202" s="32">
        <v>0</v>
      </c>
      <c r="AJ202" s="32">
        <v>0</v>
      </c>
      <c r="AK202" s="32">
        <v>0</v>
      </c>
      <c r="AL202" s="32">
        <v>0</v>
      </c>
      <c r="AM202" s="42">
        <v>0</v>
      </c>
      <c r="AN202" s="42"/>
      <c r="AO202" s="42"/>
      <c r="AP202" s="42"/>
      <c r="AQ202" s="42"/>
      <c r="AR202" s="42"/>
      <c r="AS202" s="245"/>
      <c r="AT202" s="42"/>
      <c r="AU202" s="42"/>
      <c r="AV202" s="42"/>
      <c r="AW202" s="42"/>
      <c r="AX202" s="42"/>
      <c r="AY202" s="42"/>
      <c r="AZ202" s="245"/>
      <c r="BA202" s="42"/>
      <c r="BB202" s="42"/>
      <c r="BC202" s="42"/>
      <c r="BD202" s="42"/>
      <c r="BE202" s="42"/>
      <c r="BF202" s="42"/>
      <c r="BG202" s="42"/>
      <c r="BH202" s="245"/>
      <c r="BI202" s="42"/>
      <c r="BJ202" s="42"/>
      <c r="BK202" s="42"/>
      <c r="BL202" s="42"/>
      <c r="BM202" s="42"/>
      <c r="BN202" s="42"/>
      <c r="BO202" s="42"/>
      <c r="BP202" s="42"/>
      <c r="BQ202" s="42"/>
      <c r="BR202" s="42"/>
      <c r="BS202" s="42"/>
      <c r="BT202" s="42"/>
      <c r="BU202" s="42"/>
      <c r="BV202" s="42"/>
      <c r="BW202" s="42"/>
      <c r="BX202" s="42"/>
      <c r="BY202" s="42"/>
      <c r="BZ202" s="42"/>
      <c r="CA202" s="42"/>
      <c r="CB202" s="42"/>
      <c r="CC202" s="42"/>
      <c r="CD202" s="245"/>
      <c r="CE202" s="42"/>
      <c r="CF202" s="42"/>
      <c r="CG202" s="42"/>
      <c r="CH202" s="42"/>
      <c r="CI202" s="42"/>
      <c r="CJ202" s="42"/>
      <c r="CK202" s="42"/>
      <c r="CL202" s="42"/>
      <c r="CM202" s="42"/>
      <c r="CN202" s="42"/>
      <c r="CO202" s="42"/>
      <c r="CP202" s="42"/>
      <c r="CQ202" s="42"/>
      <c r="CR202" s="42"/>
      <c r="CS202" s="42"/>
      <c r="CT202" s="42"/>
      <c r="CU202" s="42"/>
      <c r="CV202" s="42"/>
      <c r="CW202" s="245"/>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row>
    <row r="203" spans="1:131">
      <c r="A203" s="18" t="s">
        <v>521</v>
      </c>
      <c r="B203" s="18"/>
      <c r="C203" s="32">
        <v>1557.8748791164633</v>
      </c>
      <c r="D203" s="32">
        <v>237.9664622054969</v>
      </c>
      <c r="E203" s="32">
        <v>47.593292441099379</v>
      </c>
      <c r="F203" s="32">
        <v>285.55975464659628</v>
      </c>
      <c r="G203" s="32">
        <v>653.81493555520535</v>
      </c>
      <c r="H203" s="32">
        <v>1342.7046607433322</v>
      </c>
      <c r="I203" s="32">
        <v>1605.7152498170403</v>
      </c>
      <c r="J203" s="32">
        <v>-1.0044971840253172</v>
      </c>
      <c r="K203" s="32">
        <v>5.758515397976617</v>
      </c>
      <c r="L203" s="244">
        <v>2.0536463572878412</v>
      </c>
      <c r="M203" s="32">
        <v>20.307551776520537</v>
      </c>
      <c r="N203" s="32">
        <v>0.29285924283647941</v>
      </c>
      <c r="O203" s="32">
        <v>97.686753074366464</v>
      </c>
      <c r="P203" s="32">
        <v>87.83623718723517</v>
      </c>
      <c r="Q203" s="32">
        <v>101.07692846335719</v>
      </c>
      <c r="R203" s="32">
        <v>94.033985244406381</v>
      </c>
      <c r="S203" s="32">
        <v>96.003129683242136</v>
      </c>
      <c r="T203" s="32">
        <v>95.030102878910768</v>
      </c>
      <c r="U203" s="32">
        <v>90.280219915147271</v>
      </c>
      <c r="V203" s="32">
        <v>94.068560866278787</v>
      </c>
      <c r="W203" s="32">
        <v>87.890104971438447</v>
      </c>
      <c r="X203" s="32">
        <v>100.21142052170072</v>
      </c>
      <c r="Y203" s="32">
        <v>88.681658758089</v>
      </c>
      <c r="Z203" s="32">
        <v>96.551143675387053</v>
      </c>
      <c r="AA203" s="32"/>
      <c r="AB203" s="32">
        <v>41.473856532200806</v>
      </c>
      <c r="AC203" s="32">
        <v>35.633120253609789</v>
      </c>
      <c r="AD203" s="32">
        <v>34.179664338242929</v>
      </c>
      <c r="AE203" s="32">
        <v>35.689267942393919</v>
      </c>
      <c r="AF203" s="32">
        <v>35.015956963915379</v>
      </c>
      <c r="AG203" s="32">
        <v>30.725531198222225</v>
      </c>
      <c r="AH203" s="32">
        <v>36.075679329127112</v>
      </c>
      <c r="AI203" s="32">
        <v>29.585706102212182</v>
      </c>
      <c r="AJ203" s="32">
        <v>36.423213404021745</v>
      </c>
      <c r="AK203" s="32">
        <v>32.713727391630819</v>
      </c>
      <c r="AL203" s="32">
        <v>39.249750544416209</v>
      </c>
      <c r="AM203" s="42">
        <v>41.759159876910509</v>
      </c>
      <c r="AN203" s="42"/>
      <c r="AO203" s="42"/>
      <c r="AP203" s="42"/>
      <c r="AQ203" s="42"/>
      <c r="AR203" s="42"/>
      <c r="AS203" s="42"/>
      <c r="AT203" s="42"/>
      <c r="AU203" s="42"/>
      <c r="AV203" s="42"/>
      <c r="AW203" s="42"/>
      <c r="AX203" s="42"/>
      <c r="AY203" s="42"/>
      <c r="AZ203" s="42"/>
      <c r="BA203" s="42"/>
      <c r="BB203" s="42"/>
      <c r="BC203" s="42"/>
      <c r="BD203" s="42"/>
      <c r="BE203" s="42"/>
      <c r="BF203" s="42"/>
      <c r="BG203" s="42"/>
      <c r="BH203" s="42"/>
      <c r="BI203" s="42"/>
      <c r="BJ203" s="42"/>
      <c r="BK203" s="42"/>
      <c r="BL203" s="42"/>
      <c r="BM203" s="42"/>
      <c r="BN203" s="42"/>
      <c r="BO203" s="42"/>
      <c r="BP203" s="42"/>
      <c r="BQ203" s="42"/>
      <c r="BR203" s="42"/>
      <c r="BS203" s="42"/>
      <c r="BT203" s="42"/>
      <c r="BU203" s="42"/>
      <c r="BV203" s="42"/>
      <c r="BW203" s="42"/>
      <c r="BX203" s="42"/>
      <c r="BY203" s="42"/>
      <c r="BZ203" s="42"/>
      <c r="CA203" s="42"/>
      <c r="CB203" s="42"/>
      <c r="CC203" s="42"/>
      <c r="CD203" s="42"/>
      <c r="CE203" s="42"/>
      <c r="CF203" s="42"/>
      <c r="CG203" s="42"/>
      <c r="CH203" s="42"/>
      <c r="CI203" s="42"/>
      <c r="CJ203" s="42"/>
      <c r="CK203" s="42"/>
      <c r="CL203" s="42"/>
      <c r="CM203" s="42"/>
      <c r="CN203" s="42"/>
      <c r="CO203" s="42"/>
      <c r="CP203" s="42"/>
      <c r="CQ203" s="42"/>
      <c r="CR203" s="42"/>
      <c r="CS203" s="42"/>
      <c r="CT203" s="42"/>
      <c r="CU203" s="42"/>
      <c r="CV203" s="42"/>
      <c r="CW203" s="42"/>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row>
    <row r="204" spans="1:131">
      <c r="A204" s="18" t="s">
        <v>522</v>
      </c>
      <c r="B204" s="18"/>
      <c r="C204" s="32">
        <v>117.9786521379376</v>
      </c>
      <c r="D204" s="32">
        <v>21.255916464149202</v>
      </c>
      <c r="E204" s="32">
        <v>4.2511832928298405</v>
      </c>
      <c r="F204" s="32">
        <v>25.507099756979041</v>
      </c>
      <c r="G204" s="32">
        <v>58.400816335090759</v>
      </c>
      <c r="H204" s="32">
        <v>114.82258617070289</v>
      </c>
      <c r="I204" s="32">
        <v>1893.9205510662518</v>
      </c>
      <c r="J204" s="32">
        <v>0.73090423397893201</v>
      </c>
      <c r="K204" s="32">
        <v>3.1067213756039616</v>
      </c>
      <c r="L204" s="244">
        <v>1.9661126911630258</v>
      </c>
      <c r="M204" s="32">
        <v>1.7744434296643055</v>
      </c>
      <c r="N204" s="32">
        <v>2.217837850725227E-2</v>
      </c>
      <c r="O204" s="32">
        <v>7.3978671932765074</v>
      </c>
      <c r="P204" s="32">
        <v>6.6518826454762392</v>
      </c>
      <c r="Q204" s="32">
        <v>7.6546068892982913</v>
      </c>
      <c r="R204" s="32">
        <v>7.1212412389534494</v>
      </c>
      <c r="S204" s="32">
        <v>7.2703655427553802</v>
      </c>
      <c r="T204" s="32">
        <v>7.1966777309753942</v>
      </c>
      <c r="U204" s="32">
        <v>6.8369666929518607</v>
      </c>
      <c r="V204" s="32">
        <v>7.123859668276638</v>
      </c>
      <c r="W204" s="32">
        <v>6.6559620800053887</v>
      </c>
      <c r="X204" s="32">
        <v>7.5890615353419948</v>
      </c>
      <c r="Y204" s="32">
        <v>6.7159068484175188</v>
      </c>
      <c r="Z204" s="32">
        <v>7.311866919414495</v>
      </c>
      <c r="AA204" s="32"/>
      <c r="AB204" s="32">
        <v>3.1408361211949796</v>
      </c>
      <c r="AC204" s="32">
        <v>2.6985142101875113</v>
      </c>
      <c r="AD204" s="32">
        <v>2.5884432589605777</v>
      </c>
      <c r="AE204" s="32">
        <v>2.7027663030431133</v>
      </c>
      <c r="AF204" s="32">
        <v>2.651776122268374</v>
      </c>
      <c r="AG204" s="32">
        <v>2.3268600101211434</v>
      </c>
      <c r="AH204" s="32">
        <v>2.7320294327004753</v>
      </c>
      <c r="AI204" s="32">
        <v>2.2405404793918677</v>
      </c>
      <c r="AJ204" s="32">
        <v>2.7583483638789073</v>
      </c>
      <c r="AK204" s="32">
        <v>2.4774271129279852</v>
      </c>
      <c r="AL204" s="32">
        <v>2.9724034504020849</v>
      </c>
      <c r="AM204" s="42">
        <v>3.1624422877174068</v>
      </c>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c r="BM204" s="42"/>
      <c r="BN204" s="42"/>
      <c r="BO204" s="42"/>
      <c r="BP204" s="42"/>
      <c r="BQ204" s="42"/>
      <c r="BR204" s="42"/>
      <c r="BS204" s="42"/>
      <c r="BT204" s="42"/>
      <c r="BU204" s="42"/>
      <c r="BV204" s="42"/>
      <c r="BW204" s="42"/>
      <c r="BX204" s="42"/>
      <c r="BY204" s="42"/>
      <c r="BZ204" s="42"/>
      <c r="CA204" s="42"/>
      <c r="CB204" s="42"/>
      <c r="CC204" s="42"/>
      <c r="CD204" s="42"/>
      <c r="CE204" s="42"/>
      <c r="CF204" s="42"/>
      <c r="CG204" s="42"/>
      <c r="CH204" s="42"/>
      <c r="CI204" s="42"/>
      <c r="CJ204" s="42"/>
      <c r="CK204" s="42"/>
      <c r="CL204" s="42"/>
      <c r="CM204" s="42"/>
      <c r="CN204" s="42"/>
      <c r="CO204" s="42"/>
      <c r="CP204" s="42"/>
      <c r="CQ204" s="42"/>
      <c r="CR204" s="42"/>
      <c r="CS204" s="42"/>
      <c r="CT204" s="42"/>
      <c r="CU204" s="42"/>
      <c r="CV204" s="42"/>
      <c r="CW204" s="42"/>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row>
    <row r="205" spans="1:131">
      <c r="A205" s="18" t="s">
        <v>517</v>
      </c>
      <c r="B205" s="18"/>
      <c r="C205" s="32">
        <v>107.74372927182733</v>
      </c>
      <c r="D205" s="32">
        <v>23.907307322581289</v>
      </c>
      <c r="E205" s="32">
        <v>4.7814614645162576</v>
      </c>
      <c r="F205" s="32">
        <v>28.688768787097548</v>
      </c>
      <c r="G205" s="32">
        <v>65.68553590091112</v>
      </c>
      <c r="H205" s="32">
        <v>102.24052140463456</v>
      </c>
      <c r="I205" s="32">
        <v>2332.5126786815945</v>
      </c>
      <c r="J205" s="32">
        <v>3.3718459407763754</v>
      </c>
      <c r="K205" s="32">
        <v>13.331638507516843</v>
      </c>
      <c r="L205" s="244">
        <v>1.5565149922635615</v>
      </c>
      <c r="M205" s="32">
        <v>1.5733209945348368</v>
      </c>
      <c r="N205" s="32">
        <v>2.0254352514382571E-2</v>
      </c>
      <c r="O205" s="32">
        <v>6.7560849833188383</v>
      </c>
      <c r="P205" s="32">
        <v>6.0748163325701761</v>
      </c>
      <c r="Q205" s="32">
        <v>6.9905519127185789</v>
      </c>
      <c r="R205" s="32">
        <v>6.5034569748440729</v>
      </c>
      <c r="S205" s="32">
        <v>6.6396443979543101</v>
      </c>
      <c r="T205" s="32">
        <v>6.572349175478184</v>
      </c>
      <c r="U205" s="32">
        <v>6.2438439078338099</v>
      </c>
      <c r="V205" s="32">
        <v>6.5058482493246892</v>
      </c>
      <c r="W205" s="32">
        <v>6.0785418666521966</v>
      </c>
      <c r="X205" s="32">
        <v>6.9306927708847121</v>
      </c>
      <c r="Y205" s="32">
        <v>6.1332862867826083</v>
      </c>
      <c r="Z205" s="32">
        <v>6.6775454335242017</v>
      </c>
      <c r="AA205" s="32"/>
      <c r="AB205" s="32">
        <v>2.8683612721185638</v>
      </c>
      <c r="AC205" s="32">
        <v>2.4644118171369445</v>
      </c>
      <c r="AD205" s="32">
        <v>2.3638897773036573</v>
      </c>
      <c r="AE205" s="32">
        <v>2.4682950310334464</v>
      </c>
      <c r="AF205" s="32">
        <v>2.4217283672060637</v>
      </c>
      <c r="AG205" s="32">
        <v>2.1249994845746887</v>
      </c>
      <c r="AH205" s="32">
        <v>2.4950195160340294</v>
      </c>
      <c r="AI205" s="32">
        <v>2.0461683741896297</v>
      </c>
      <c r="AJ205" s="32">
        <v>2.5190552186312862</v>
      </c>
      <c r="AK205" s="32">
        <v>2.2625045405156281</v>
      </c>
      <c r="AL205" s="32">
        <v>2.7145405278264287</v>
      </c>
      <c r="AM205" s="42">
        <v>2.8880930533705875</v>
      </c>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c r="BM205" s="42"/>
      <c r="BN205" s="42"/>
      <c r="BO205" s="42"/>
      <c r="BP205" s="42"/>
      <c r="BQ205" s="42"/>
      <c r="BR205" s="42"/>
      <c r="BS205" s="42"/>
      <c r="BT205" s="42"/>
      <c r="BU205" s="42"/>
      <c r="BV205" s="42"/>
      <c r="BW205" s="42"/>
      <c r="BX205" s="42"/>
      <c r="BY205" s="42"/>
      <c r="BZ205" s="42"/>
      <c r="CA205" s="42"/>
      <c r="CB205" s="42"/>
      <c r="CC205" s="42"/>
      <c r="CD205" s="42"/>
      <c r="CE205" s="42"/>
      <c r="CF205" s="42"/>
      <c r="CG205" s="42"/>
      <c r="CH205" s="42"/>
      <c r="CI205" s="42"/>
      <c r="CJ205" s="42"/>
      <c r="CK205" s="42"/>
      <c r="CL205" s="42"/>
      <c r="CM205" s="42"/>
      <c r="CN205" s="42"/>
      <c r="CO205" s="42"/>
      <c r="CP205" s="42"/>
      <c r="CQ205" s="42"/>
      <c r="CR205" s="42"/>
      <c r="CS205" s="42"/>
      <c r="CT205" s="42"/>
      <c r="CU205" s="42"/>
      <c r="CV205" s="42"/>
      <c r="CW205" s="42"/>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row>
    <row r="206" spans="1:131">
      <c r="A206" s="18" t="s">
        <v>520</v>
      </c>
      <c r="B206" s="18"/>
      <c r="C206" s="32">
        <v>104.98486468699653</v>
      </c>
      <c r="D206" s="32">
        <v>19.913031082870759</v>
      </c>
      <c r="E206" s="32">
        <v>3.982606216574152</v>
      </c>
      <c r="F206" s="32">
        <v>23.89563729944491</v>
      </c>
      <c r="G206" s="32">
        <v>54.711227008589809</v>
      </c>
      <c r="H206" s="32">
        <v>82.202027039214343</v>
      </c>
      <c r="I206" s="32">
        <v>1993.8662907955779</v>
      </c>
      <c r="J206" s="32">
        <v>1.3327182106752822</v>
      </c>
      <c r="K206" s="32">
        <v>19.028504099811833</v>
      </c>
      <c r="L206" s="244">
        <v>1.5024709101535669</v>
      </c>
      <c r="M206" s="32">
        <v>1.2194088882076679</v>
      </c>
      <c r="N206" s="32">
        <v>1.9735723576826202E-2</v>
      </c>
      <c r="O206" s="32">
        <v>6.5830900097964271</v>
      </c>
      <c r="P206" s="32">
        <v>5.9192657891413623</v>
      </c>
      <c r="Q206" s="32">
        <v>6.8115532254561026</v>
      </c>
      <c r="R206" s="32">
        <v>6.3369307440543263</v>
      </c>
      <c r="S206" s="32">
        <v>6.46963097899076</v>
      </c>
      <c r="T206" s="32">
        <v>6.4040589046483802</v>
      </c>
      <c r="U206" s="32">
        <v>6.0839652778016626</v>
      </c>
      <c r="V206" s="32">
        <v>6.339260788034367</v>
      </c>
      <c r="W206" s="32">
        <v>5.9228959279358069</v>
      </c>
      <c r="X206" s="32">
        <v>6.7532268249483431</v>
      </c>
      <c r="Y206" s="32">
        <v>5.9762385732906873</v>
      </c>
      <c r="Z206" s="32">
        <v>6.5065615281530542</v>
      </c>
      <c r="AA206" s="32"/>
      <c r="AB206" s="32">
        <v>2.7949145816834906</v>
      </c>
      <c r="AC206" s="32">
        <v>2.4013085764129811</v>
      </c>
      <c r="AD206" s="32">
        <v>2.3033604840155704</v>
      </c>
      <c r="AE206" s="32">
        <v>2.405092357503817</v>
      </c>
      <c r="AF206" s="32">
        <v>2.3597180704443015</v>
      </c>
      <c r="AG206" s="32">
        <v>2.0705871687916875</v>
      </c>
      <c r="AH206" s="32">
        <v>2.4311325406363071</v>
      </c>
      <c r="AI206" s="32">
        <v>1.9937745922006049</v>
      </c>
      <c r="AJ206" s="32">
        <v>2.4545527897949726</v>
      </c>
      <c r="AK206" s="32">
        <v>2.2045712975136187</v>
      </c>
      <c r="AL206" s="32">
        <v>2.6450325408937121</v>
      </c>
      <c r="AM206" s="42">
        <v>2.8141411148541673</v>
      </c>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c r="BM206" s="42"/>
      <c r="BN206" s="42"/>
      <c r="BO206" s="42"/>
      <c r="BP206" s="42"/>
      <c r="BQ206" s="42"/>
      <c r="BR206" s="42"/>
      <c r="BS206" s="42"/>
      <c r="BT206" s="42"/>
      <c r="BU206" s="42"/>
      <c r="BV206" s="42"/>
      <c r="BW206" s="42"/>
      <c r="BX206" s="42"/>
      <c r="BY206" s="42"/>
      <c r="BZ206" s="42"/>
      <c r="CA206" s="42"/>
      <c r="CB206" s="42"/>
      <c r="CC206" s="42"/>
      <c r="CD206" s="42"/>
      <c r="CE206" s="42"/>
      <c r="CF206" s="42"/>
      <c r="CG206" s="42"/>
      <c r="CH206" s="42"/>
      <c r="CI206" s="42"/>
      <c r="CJ206" s="42"/>
      <c r="CK206" s="42"/>
      <c r="CL206" s="42"/>
      <c r="CM206" s="42"/>
      <c r="CN206" s="42"/>
      <c r="CO206" s="42"/>
      <c r="CP206" s="42"/>
      <c r="CQ206" s="42"/>
      <c r="CR206" s="42"/>
      <c r="CS206" s="42"/>
      <c r="CT206" s="42"/>
      <c r="CU206" s="42"/>
      <c r="CV206" s="42"/>
      <c r="CW206" s="42"/>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row>
    <row r="207" spans="1:131">
      <c r="A207" s="18" t="s">
        <v>513</v>
      </c>
      <c r="B207" s="18"/>
      <c r="C207" s="32">
        <v>134.89158457975824</v>
      </c>
      <c r="D207" s="32">
        <v>25.463820854268903</v>
      </c>
      <c r="E207" s="32">
        <v>5.0927641708537807</v>
      </c>
      <c r="F207" s="32">
        <v>30.556585025122683</v>
      </c>
      <c r="G207" s="32">
        <v>69.962070438506274</v>
      </c>
      <c r="H207" s="32">
        <v>102.49541342796094</v>
      </c>
      <c r="I207" s="32">
        <v>1984.3764579828501</v>
      </c>
      <c r="J207" s="32">
        <v>1.2755760649602301</v>
      </c>
      <c r="K207" s="32">
        <v>20.549694597948474</v>
      </c>
      <c r="L207" s="244">
        <v>1.4650140109568386</v>
      </c>
      <c r="M207" s="32">
        <v>1.5105495259311676</v>
      </c>
      <c r="N207" s="32">
        <v>2.5357779276500982E-2</v>
      </c>
      <c r="O207" s="32">
        <v>8.4583948886358353</v>
      </c>
      <c r="P207" s="32">
        <v>7.6054690762003627</v>
      </c>
      <c r="Q207" s="32">
        <v>8.7519397274123705</v>
      </c>
      <c r="R207" s="32">
        <v>8.1421129796774441</v>
      </c>
      <c r="S207" s="32">
        <v>8.3126151279447154</v>
      </c>
      <c r="T207" s="32">
        <v>8.2283637357216914</v>
      </c>
      <c r="U207" s="32">
        <v>7.817086008518185</v>
      </c>
      <c r="V207" s="32">
        <v>8.1451067762170233</v>
      </c>
      <c r="W207" s="32">
        <v>7.610133321619803</v>
      </c>
      <c r="X207" s="32">
        <v>8.6769980621467884</v>
      </c>
      <c r="Y207" s="32">
        <v>7.6786715245221817</v>
      </c>
      <c r="Z207" s="32">
        <v>8.3600659706043192</v>
      </c>
      <c r="AA207" s="32"/>
      <c r="AB207" s="32">
        <v>3.5910934191550652</v>
      </c>
      <c r="AC207" s="32">
        <v>3.0853620653133147</v>
      </c>
      <c r="AD207" s="32">
        <v>2.9595117969966114</v>
      </c>
      <c r="AE207" s="32">
        <v>3.0902237206439902</v>
      </c>
      <c r="AF207" s="32">
        <v>3.0319237980896019</v>
      </c>
      <c r="AG207" s="32">
        <v>2.6604290536693038</v>
      </c>
      <c r="AH207" s="32">
        <v>3.1236818917428555</v>
      </c>
      <c r="AI207" s="32">
        <v>2.5617351114242313</v>
      </c>
      <c r="AJ207" s="32">
        <v>3.1537737962253156</v>
      </c>
      <c r="AK207" s="32">
        <v>2.8325808346495784</v>
      </c>
      <c r="AL207" s="32">
        <v>3.3985149361284028</v>
      </c>
      <c r="AM207" s="42">
        <v>3.6157969564992349</v>
      </c>
      <c r="AN207" s="42"/>
      <c r="AO207" s="42"/>
      <c r="AP207" s="42"/>
      <c r="AQ207" s="42"/>
      <c r="AR207" s="42"/>
      <c r="AS207" s="42"/>
      <c r="AT207" s="42"/>
      <c r="AU207" s="42"/>
      <c r="AV207" s="42"/>
      <c r="AW207" s="42"/>
      <c r="AX207" s="42"/>
      <c r="AY207" s="42"/>
      <c r="AZ207" s="42"/>
      <c r="BA207" s="42"/>
      <c r="BB207" s="42"/>
      <c r="BC207" s="42"/>
      <c r="BD207" s="42"/>
      <c r="BE207" s="42"/>
      <c r="BF207" s="42"/>
      <c r="BG207" s="42"/>
      <c r="BH207" s="42"/>
      <c r="BI207" s="42"/>
      <c r="BJ207" s="42"/>
      <c r="BK207" s="42"/>
      <c r="BL207" s="42"/>
      <c r="BM207" s="42"/>
      <c r="BN207" s="42"/>
      <c r="BO207" s="42"/>
      <c r="BP207" s="42"/>
      <c r="BQ207" s="42"/>
      <c r="BR207" s="42"/>
      <c r="BS207" s="42"/>
      <c r="BT207" s="42"/>
      <c r="BU207" s="42"/>
      <c r="BV207" s="42"/>
      <c r="BW207" s="42"/>
      <c r="BX207" s="42"/>
      <c r="BY207" s="42"/>
      <c r="BZ207" s="42"/>
      <c r="CA207" s="42"/>
      <c r="CB207" s="42"/>
      <c r="CC207" s="42"/>
      <c r="CD207" s="42"/>
      <c r="CE207" s="42"/>
      <c r="CF207" s="42"/>
      <c r="CG207" s="42"/>
      <c r="CH207" s="42"/>
      <c r="CI207" s="42"/>
      <c r="CJ207" s="42"/>
      <c r="CK207" s="42"/>
      <c r="CL207" s="42"/>
      <c r="CM207" s="42"/>
      <c r="CN207" s="42"/>
      <c r="CO207" s="42"/>
      <c r="CP207" s="42"/>
      <c r="CQ207" s="42"/>
      <c r="CR207" s="42"/>
      <c r="CS207" s="42"/>
      <c r="CT207" s="42"/>
      <c r="CU207" s="42"/>
      <c r="CV207" s="42"/>
      <c r="CW207" s="42"/>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row>
    <row r="208" spans="1:131">
      <c r="A208" s="18" t="s">
        <v>524</v>
      </c>
      <c r="B208" s="18"/>
      <c r="C208" s="32">
        <v>183.02175929235841</v>
      </c>
      <c r="D208" s="32">
        <v>50.322059921932102</v>
      </c>
      <c r="E208" s="32">
        <v>10.064411984386421</v>
      </c>
      <c r="F208" s="32">
        <v>60.386471906318519</v>
      </c>
      <c r="G208" s="32">
        <v>138.26029962344509</v>
      </c>
      <c r="H208" s="32">
        <v>200.66994622948309</v>
      </c>
      <c r="I208" s="32">
        <v>2890.2874496706722</v>
      </c>
      <c r="J208" s="32">
        <v>6.7304348505079368</v>
      </c>
      <c r="K208" s="32">
        <v>13.205179162635952</v>
      </c>
      <c r="L208" s="244">
        <v>1.45139238650583</v>
      </c>
      <c r="M208" s="32">
        <v>3.1585851564247429</v>
      </c>
      <c r="N208" s="32">
        <v>3.4405596089564706E-2</v>
      </c>
      <c r="O208" s="32">
        <v>11.476403944178481</v>
      </c>
      <c r="P208" s="32">
        <v>10.31914878089953</v>
      </c>
      <c r="Q208" s="32">
        <v>11.874687447122335</v>
      </c>
      <c r="R208" s="32">
        <v>11.047270639901196</v>
      </c>
      <c r="S208" s="32">
        <v>11.278609038335913</v>
      </c>
      <c r="T208" s="32">
        <v>11.164296213888582</v>
      </c>
      <c r="U208" s="32">
        <v>10.606271979648518</v>
      </c>
      <c r="V208" s="32">
        <v>11.051332642073863</v>
      </c>
      <c r="W208" s="32">
        <v>10.325477258729316</v>
      </c>
      <c r="X208" s="32">
        <v>11.773006119380973</v>
      </c>
      <c r="Y208" s="32">
        <v>10.418470328037598</v>
      </c>
      <c r="Z208" s="32">
        <v>11.34299064324123</v>
      </c>
      <c r="AA208" s="32"/>
      <c r="AB208" s="32">
        <v>4.8724183751311427</v>
      </c>
      <c r="AC208" s="32">
        <v>4.1862388599465241</v>
      </c>
      <c r="AD208" s="32">
        <v>4.0154844160240479</v>
      </c>
      <c r="AE208" s="32">
        <v>4.1928351847985557</v>
      </c>
      <c r="AF208" s="32">
        <v>4.1137334793381717</v>
      </c>
      <c r="AG208" s="32">
        <v>3.609687048988278</v>
      </c>
      <c r="AH208" s="32">
        <v>4.23823144399661</v>
      </c>
      <c r="AI208" s="32">
        <v>3.4757784808780761</v>
      </c>
      <c r="AJ208" s="32">
        <v>4.2790603312544437</v>
      </c>
      <c r="AK208" s="32">
        <v>3.8432636795726194</v>
      </c>
      <c r="AL208" s="32">
        <v>4.6111266653836518</v>
      </c>
      <c r="AM208" s="42">
        <v>4.9059362916087341</v>
      </c>
      <c r="AN208" s="42"/>
      <c r="AO208" s="42"/>
      <c r="AP208" s="42"/>
      <c r="AQ208" s="42"/>
      <c r="AR208" s="42"/>
      <c r="AS208" s="42"/>
      <c r="AT208" s="42"/>
      <c r="AU208" s="42"/>
      <c r="AV208" s="42"/>
      <c r="AW208" s="42"/>
      <c r="AX208" s="42"/>
      <c r="AY208" s="42"/>
      <c r="AZ208" s="42"/>
      <c r="BA208" s="42"/>
      <c r="BB208" s="42"/>
      <c r="BC208" s="42"/>
      <c r="BD208" s="42"/>
      <c r="BE208" s="42"/>
      <c r="BF208" s="42"/>
      <c r="BG208" s="42"/>
      <c r="BH208" s="42"/>
      <c r="BI208" s="42"/>
      <c r="BJ208" s="42"/>
      <c r="BK208" s="42"/>
      <c r="BL208" s="42"/>
      <c r="BM208" s="42"/>
      <c r="BN208" s="42"/>
      <c r="BO208" s="42"/>
      <c r="BP208" s="42"/>
      <c r="BQ208" s="42"/>
      <c r="BR208" s="42"/>
      <c r="BS208" s="42"/>
      <c r="BT208" s="42"/>
      <c r="BU208" s="42"/>
      <c r="BV208" s="42"/>
      <c r="BW208" s="42"/>
      <c r="BX208" s="42"/>
      <c r="BY208" s="42"/>
      <c r="BZ208" s="42"/>
      <c r="CA208" s="42"/>
      <c r="CB208" s="42"/>
      <c r="CC208" s="42"/>
      <c r="CD208" s="42"/>
      <c r="CE208" s="42"/>
      <c r="CF208" s="42"/>
      <c r="CG208" s="42"/>
      <c r="CH208" s="42"/>
      <c r="CI208" s="42"/>
      <c r="CJ208" s="42"/>
      <c r="CK208" s="42"/>
      <c r="CL208" s="42"/>
      <c r="CM208" s="42"/>
      <c r="CN208" s="42"/>
      <c r="CO208" s="42"/>
      <c r="CP208" s="42"/>
      <c r="CQ208" s="42"/>
      <c r="CR208" s="42"/>
      <c r="CS208" s="42"/>
      <c r="CT208" s="42"/>
      <c r="CU208" s="42"/>
      <c r="CV208" s="42"/>
      <c r="CW208" s="42"/>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row>
    <row r="209" spans="1:131">
      <c r="A209" s="18" t="s">
        <v>523</v>
      </c>
      <c r="B209" s="18"/>
      <c r="C209" s="32">
        <v>153.83615008744098</v>
      </c>
      <c r="D209" s="32">
        <v>42.297440439819695</v>
      </c>
      <c r="E209" s="32">
        <v>8.4594880879639387</v>
      </c>
      <c r="F209" s="32">
        <v>50.756928527783636</v>
      </c>
      <c r="G209" s="32">
        <v>116.2125874335583</v>
      </c>
      <c r="H209" s="32">
        <v>166.59906530859172</v>
      </c>
      <c r="I209" s="32">
        <v>2890.2874496706727</v>
      </c>
      <c r="J209" s="32">
        <v>6.7304348505079359</v>
      </c>
      <c r="K209" s="32">
        <v>14.195763976224121</v>
      </c>
      <c r="L209" s="244">
        <v>1.4335716034533752</v>
      </c>
      <c r="M209" s="32">
        <v>2.6176159435103701</v>
      </c>
      <c r="N209" s="32">
        <v>2.8919099370186947E-2</v>
      </c>
      <c r="O209" s="32">
        <v>9.646316407660354</v>
      </c>
      <c r="P209" s="32">
        <v>8.6736032194800039</v>
      </c>
      <c r="Q209" s="32">
        <v>9.9810875352744706</v>
      </c>
      <c r="R209" s="32">
        <v>9.2856149497595712</v>
      </c>
      <c r="S209" s="32">
        <v>9.48006291441793</v>
      </c>
      <c r="T209" s="32">
        <v>9.3839790122273286</v>
      </c>
      <c r="U209" s="32">
        <v>8.9149402477498416</v>
      </c>
      <c r="V209" s="32">
        <v>9.289029203771257</v>
      </c>
      <c r="W209" s="32">
        <v>8.6789225250588142</v>
      </c>
      <c r="X209" s="32">
        <v>9.8956208451060981</v>
      </c>
      <c r="Y209" s="32">
        <v>8.7570864320309294</v>
      </c>
      <c r="Z209" s="32">
        <v>9.5341778910927175</v>
      </c>
      <c r="AA209" s="32"/>
      <c r="AB209" s="32">
        <v>4.095436998002759</v>
      </c>
      <c r="AC209" s="32">
        <v>3.5186792655178003</v>
      </c>
      <c r="AD209" s="32">
        <v>3.3751542203815283</v>
      </c>
      <c r="AE209" s="32">
        <v>3.5242237058285379</v>
      </c>
      <c r="AF209" s="32">
        <v>3.4577359730014385</v>
      </c>
      <c r="AG209" s="32">
        <v>3.0340674288340637</v>
      </c>
      <c r="AH209" s="32">
        <v>3.5623808395507899</v>
      </c>
      <c r="AI209" s="32">
        <v>2.9215126229932507</v>
      </c>
      <c r="AJ209" s="32">
        <v>3.5966989384062713</v>
      </c>
      <c r="AK209" s="32">
        <v>3.2303967054098224</v>
      </c>
      <c r="AL209" s="32">
        <v>3.8758122340799623</v>
      </c>
      <c r="AM209" s="42">
        <v>4.123609971805446</v>
      </c>
      <c r="AN209" s="42"/>
      <c r="AO209" s="42"/>
      <c r="AP209" s="42"/>
      <c r="AQ209" s="42"/>
      <c r="AR209" s="42"/>
      <c r="AS209" s="42"/>
      <c r="AT209" s="42"/>
      <c r="AU209" s="42"/>
      <c r="AV209" s="42"/>
      <c r="AW209" s="42"/>
      <c r="AX209" s="42"/>
      <c r="AY209" s="42"/>
      <c r="AZ209" s="42"/>
      <c r="BA209" s="42"/>
      <c r="BB209" s="42"/>
      <c r="BC209" s="42"/>
      <c r="BD209" s="42"/>
      <c r="BE209" s="42"/>
      <c r="BF209" s="42"/>
      <c r="BG209" s="42"/>
      <c r="BH209" s="42"/>
      <c r="BI209" s="42"/>
      <c r="BJ209" s="42"/>
      <c r="BK209" s="42"/>
      <c r="BL209" s="42"/>
      <c r="BM209" s="42"/>
      <c r="BN209" s="42"/>
      <c r="BO209" s="42"/>
      <c r="BP209" s="42"/>
      <c r="BQ209" s="42"/>
      <c r="BR209" s="42"/>
      <c r="BS209" s="42"/>
      <c r="BT209" s="42"/>
      <c r="BU209" s="42"/>
      <c r="BV209" s="42"/>
      <c r="BW209" s="42"/>
      <c r="BX209" s="42"/>
      <c r="BY209" s="42"/>
      <c r="BZ209" s="42"/>
      <c r="CA209" s="42"/>
      <c r="CB209" s="42"/>
      <c r="CC209" s="42"/>
      <c r="CD209" s="42"/>
      <c r="CE209" s="42"/>
      <c r="CF209" s="42"/>
      <c r="CG209" s="42"/>
      <c r="CH209" s="42"/>
      <c r="CI209" s="42"/>
      <c r="CJ209" s="42"/>
      <c r="CK209" s="42"/>
      <c r="CL209" s="42"/>
      <c r="CM209" s="42"/>
      <c r="CN209" s="42"/>
      <c r="CO209" s="42"/>
      <c r="CP209" s="42"/>
      <c r="CQ209" s="42"/>
      <c r="CR209" s="42"/>
      <c r="CS209" s="42"/>
      <c r="CT209" s="42"/>
      <c r="CU209" s="42"/>
      <c r="CV209" s="42"/>
      <c r="CW209" s="42"/>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row>
    <row r="210" spans="1:131">
      <c r="A210" s="18" t="s">
        <v>507</v>
      </c>
      <c r="B210" s="18"/>
      <c r="C210" s="32">
        <v>918.51241916941115</v>
      </c>
      <c r="D210" s="32">
        <v>213.31730769230768</v>
      </c>
      <c r="E210" s="32">
        <v>42.66346153846154</v>
      </c>
      <c r="F210" s="32">
        <v>255.98076923076923</v>
      </c>
      <c r="G210" s="32">
        <v>586.09116801180221</v>
      </c>
      <c r="H210" s="32">
        <v>790.63519096585674</v>
      </c>
      <c r="I210" s="32">
        <v>2441.3295799410957</v>
      </c>
      <c r="J210" s="32">
        <v>4.0270767915971204</v>
      </c>
      <c r="K210" s="32">
        <v>21.910285702394578</v>
      </c>
      <c r="L210" s="244">
        <v>1.3489969378790154</v>
      </c>
      <c r="M210" s="32">
        <v>11.954932965992752</v>
      </c>
      <c r="N210" s="32">
        <v>0.17266781512416141</v>
      </c>
      <c r="O210" s="32">
        <v>57.595444338911832</v>
      </c>
      <c r="P210" s="32">
        <v>51.787647256589601</v>
      </c>
      <c r="Q210" s="32">
        <v>59.594268660231201</v>
      </c>
      <c r="R210" s="32">
        <v>55.441797302723884</v>
      </c>
      <c r="S210" s="32">
        <v>56.602791453444631</v>
      </c>
      <c r="T210" s="32">
        <v>56.029101476191798</v>
      </c>
      <c r="U210" s="32">
        <v>53.22860282877005</v>
      </c>
      <c r="V210" s="32">
        <v>55.462182853910321</v>
      </c>
      <c r="W210" s="32">
        <v>51.819407335301392</v>
      </c>
      <c r="X210" s="32">
        <v>59.083971072178372</v>
      </c>
      <c r="Y210" s="32">
        <v>52.286102057210925</v>
      </c>
      <c r="Z210" s="32">
        <v>56.925896771086819</v>
      </c>
      <c r="AA210" s="32"/>
      <c r="AB210" s="32">
        <v>24.452703362982341</v>
      </c>
      <c r="AC210" s="32">
        <v>21.009045030150258</v>
      </c>
      <c r="AD210" s="32">
        <v>20.15209732088567</v>
      </c>
      <c r="AE210" s="32">
        <v>21.042149325076135</v>
      </c>
      <c r="AF210" s="32">
        <v>20.64516975759868</v>
      </c>
      <c r="AG210" s="32">
        <v>18.11556394512894</v>
      </c>
      <c r="AH210" s="32">
        <v>21.269974847125894</v>
      </c>
      <c r="AI210" s="32">
        <v>17.443530831044736</v>
      </c>
      <c r="AJ210" s="32">
        <v>21.474878570880854</v>
      </c>
      <c r="AK210" s="32">
        <v>19.287790880598141</v>
      </c>
      <c r="AL210" s="32">
        <v>23.141385619359824</v>
      </c>
      <c r="AM210" s="42">
        <v>24.620916272028708</v>
      </c>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c r="BM210" s="42"/>
      <c r="BN210" s="42"/>
      <c r="BO210" s="42"/>
      <c r="BP210" s="42"/>
      <c r="BQ210" s="42"/>
      <c r="BR210" s="42"/>
      <c r="BS210" s="42"/>
      <c r="BT210" s="42"/>
      <c r="BU210" s="42"/>
      <c r="BV210" s="42"/>
      <c r="BW210" s="42"/>
      <c r="BX210" s="42"/>
      <c r="BY210" s="42"/>
      <c r="BZ210" s="42"/>
      <c r="CA210" s="42"/>
      <c r="CB210" s="42"/>
      <c r="CC210" s="42"/>
      <c r="CD210" s="42"/>
      <c r="CE210" s="42"/>
      <c r="CF210" s="42"/>
      <c r="CG210" s="42"/>
      <c r="CH210" s="42"/>
      <c r="CI210" s="42"/>
      <c r="CJ210" s="42"/>
      <c r="CK210" s="42"/>
      <c r="CL210" s="42"/>
      <c r="CM210" s="42"/>
      <c r="CN210" s="42"/>
      <c r="CO210" s="42"/>
      <c r="CP210" s="42"/>
      <c r="CQ210" s="42"/>
      <c r="CR210" s="42"/>
      <c r="CS210" s="42"/>
      <c r="CT210" s="42"/>
      <c r="CU210" s="42"/>
      <c r="CV210" s="42"/>
      <c r="CW210" s="42"/>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row>
    <row r="211" spans="1:131">
      <c r="A211" s="18" t="s">
        <v>508</v>
      </c>
      <c r="B211" s="18"/>
      <c r="C211" s="32">
        <v>290.29394518662707</v>
      </c>
      <c r="D211" s="32">
        <v>87.836538461538453</v>
      </c>
      <c r="E211" s="32">
        <v>17.56730769230769</v>
      </c>
      <c r="F211" s="32">
        <v>105.40384615384615</v>
      </c>
      <c r="G211" s="32">
        <v>241.33165741662438</v>
      </c>
      <c r="H211" s="32">
        <v>278.21958423894517</v>
      </c>
      <c r="I211" s="32">
        <v>3180.6991072930841</v>
      </c>
      <c r="J211" s="32">
        <v>8.479121638219393</v>
      </c>
      <c r="K211" s="32">
        <v>28.94614235143305</v>
      </c>
      <c r="L211" s="244">
        <v>1.1528515869703704</v>
      </c>
      <c r="M211" s="32">
        <v>4.2885606476182181</v>
      </c>
      <c r="N211" s="32">
        <v>5.4571304876284955E-2</v>
      </c>
      <c r="O211" s="32">
        <v>18.20292073681339</v>
      </c>
      <c r="P211" s="32">
        <v>16.367378513666004</v>
      </c>
      <c r="Q211" s="32">
        <v>18.834645018228642</v>
      </c>
      <c r="R211" s="32">
        <v>17.522265057448887</v>
      </c>
      <c r="S211" s="32">
        <v>17.88919485101237</v>
      </c>
      <c r="T211" s="32">
        <v>17.707881323470357</v>
      </c>
      <c r="U211" s="32">
        <v>16.822789533873195</v>
      </c>
      <c r="V211" s="32">
        <v>17.528707868624014</v>
      </c>
      <c r="W211" s="32">
        <v>16.377416220676022</v>
      </c>
      <c r="X211" s="32">
        <v>18.67336652382458</v>
      </c>
      <c r="Y211" s="32">
        <v>16.524914119662956</v>
      </c>
      <c r="Z211" s="32">
        <v>17.991311616568947</v>
      </c>
      <c r="AA211" s="32"/>
      <c r="AB211" s="32">
        <v>7.7282261857029946</v>
      </c>
      <c r="AC211" s="32">
        <v>6.6398651113730383</v>
      </c>
      <c r="AD211" s="32">
        <v>6.3690285650735179</v>
      </c>
      <c r="AE211" s="32">
        <v>6.650327655129761</v>
      </c>
      <c r="AF211" s="32">
        <v>6.5248630861196641</v>
      </c>
      <c r="AG211" s="32">
        <v>5.7253864152076916</v>
      </c>
      <c r="AH211" s="32">
        <v>6.7223314388889754</v>
      </c>
      <c r="AI211" s="32">
        <v>5.5129917432227762</v>
      </c>
      <c r="AJ211" s="32">
        <v>6.7870908358343609</v>
      </c>
      <c r="AK211" s="32">
        <v>6.095866307095382</v>
      </c>
      <c r="AL211" s="32">
        <v>7.3137869323572033</v>
      </c>
      <c r="AM211" s="42">
        <v>7.7813895267523687</v>
      </c>
      <c r="AN211" s="42"/>
      <c r="AO211" s="42"/>
      <c r="AP211" s="42"/>
      <c r="AQ211" s="42"/>
      <c r="AR211" s="42"/>
      <c r="AS211" s="42"/>
      <c r="AT211" s="42"/>
      <c r="AU211" s="42"/>
      <c r="AV211" s="42"/>
      <c r="AW211" s="42"/>
      <c r="AX211" s="42"/>
      <c r="AY211" s="42"/>
      <c r="AZ211" s="42"/>
      <c r="BA211" s="42"/>
      <c r="BB211" s="42"/>
      <c r="BC211" s="42"/>
      <c r="BD211" s="42"/>
      <c r="BE211" s="42"/>
      <c r="BF211" s="42"/>
      <c r="BG211" s="42"/>
      <c r="BH211" s="42"/>
      <c r="BI211" s="42"/>
      <c r="BJ211" s="42"/>
      <c r="BK211" s="42"/>
      <c r="BL211" s="42"/>
      <c r="BM211" s="42"/>
      <c r="BN211" s="42"/>
      <c r="BO211" s="42"/>
      <c r="BP211" s="42"/>
      <c r="BQ211" s="42"/>
      <c r="BR211" s="42"/>
      <c r="BS211" s="42"/>
      <c r="BT211" s="42"/>
      <c r="BU211" s="42"/>
      <c r="BV211" s="42"/>
      <c r="BW211" s="42"/>
      <c r="BX211" s="42"/>
      <c r="BY211" s="42"/>
      <c r="BZ211" s="42"/>
      <c r="CA211" s="42"/>
      <c r="CB211" s="42"/>
      <c r="CC211" s="42"/>
      <c r="CD211" s="42"/>
      <c r="CE211" s="42"/>
      <c r="CF211" s="42"/>
      <c r="CG211" s="42"/>
      <c r="CH211" s="42"/>
      <c r="CI211" s="42"/>
      <c r="CJ211" s="42"/>
      <c r="CK211" s="42"/>
      <c r="CL211" s="42"/>
      <c r="CM211" s="42"/>
      <c r="CN211" s="42"/>
      <c r="CO211" s="42"/>
      <c r="CP211" s="42"/>
      <c r="CQ211" s="42"/>
      <c r="CR211" s="42"/>
      <c r="CS211" s="42"/>
      <c r="CT211" s="42"/>
      <c r="CU211" s="42"/>
      <c r="CV211" s="42"/>
      <c r="CW211" s="42"/>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row>
    <row r="212" spans="1:131">
      <c r="A212" s="18" t="s">
        <v>519</v>
      </c>
      <c r="B212" s="18"/>
      <c r="C212" s="32">
        <v>47.147792945627636</v>
      </c>
      <c r="D212" s="32">
        <v>13.120216352037032</v>
      </c>
      <c r="E212" s="32">
        <v>2.6240432704074066</v>
      </c>
      <c r="F212" s="32">
        <v>15.744259622444439</v>
      </c>
      <c r="G212" s="32">
        <v>36.047909143052728</v>
      </c>
      <c r="H212" s="32">
        <v>41.422022758048271</v>
      </c>
      <c r="I212" s="32">
        <v>2925.2634254092609</v>
      </c>
      <c r="J212" s="32">
        <v>6.9410394356066138</v>
      </c>
      <c r="K212" s="32">
        <v>29.909072330150956</v>
      </c>
      <c r="L212" s="244">
        <v>1.149082533293925</v>
      </c>
      <c r="M212" s="32">
        <v>0.62874497900785342</v>
      </c>
      <c r="N212" s="32">
        <v>8.8631424311165011E-3</v>
      </c>
      <c r="O212" s="32">
        <v>2.9564086751902563</v>
      </c>
      <c r="P212" s="32">
        <v>2.6582909703091819</v>
      </c>
      <c r="Q212" s="32">
        <v>3.0590095255102439</v>
      </c>
      <c r="R212" s="32">
        <v>2.8458606821299406</v>
      </c>
      <c r="S212" s="32">
        <v>2.905455207676765</v>
      </c>
      <c r="T212" s="32">
        <v>2.8760073573287444</v>
      </c>
      <c r="U212" s="32">
        <v>2.7322560834019871</v>
      </c>
      <c r="V212" s="32">
        <v>2.8469070846895161</v>
      </c>
      <c r="W212" s="32">
        <v>2.6599212341834511</v>
      </c>
      <c r="X212" s="32">
        <v>3.0328156444912762</v>
      </c>
      <c r="Y212" s="32">
        <v>2.6838769539518412</v>
      </c>
      <c r="Z212" s="32">
        <v>2.9220403972701736</v>
      </c>
      <c r="AA212" s="32"/>
      <c r="AB212" s="32">
        <v>1.255171918264617</v>
      </c>
      <c r="AC212" s="32">
        <v>1.0784068722365283</v>
      </c>
      <c r="AD212" s="32">
        <v>1.0344192327463924</v>
      </c>
      <c r="AE212" s="32">
        <v>1.0801061355346637</v>
      </c>
      <c r="AF212" s="32">
        <v>1.059728936423957</v>
      </c>
      <c r="AG212" s="32">
        <v>0.92988275406288667</v>
      </c>
      <c r="AH212" s="32">
        <v>1.0918005561185951</v>
      </c>
      <c r="AI212" s="32">
        <v>0.89538689156371731</v>
      </c>
      <c r="AJ212" s="32">
        <v>1.102318387058892</v>
      </c>
      <c r="AK212" s="32">
        <v>0.99005386518271998</v>
      </c>
      <c r="AL212" s="32">
        <v>1.1878611926043698</v>
      </c>
      <c r="AM212" s="42">
        <v>1.2638063876969101</v>
      </c>
      <c r="AN212" s="42"/>
      <c r="AO212" s="42"/>
      <c r="AP212" s="42"/>
      <c r="AQ212" s="42"/>
      <c r="AR212" s="42"/>
      <c r="AS212" s="42"/>
      <c r="AT212" s="42"/>
      <c r="AU212" s="42"/>
      <c r="AV212" s="42"/>
      <c r="AW212" s="42"/>
      <c r="AX212" s="42"/>
      <c r="AY212" s="42"/>
      <c r="AZ212" s="42"/>
      <c r="BA212" s="42"/>
      <c r="BB212" s="42"/>
      <c r="BC212" s="42"/>
      <c r="BD212" s="42"/>
      <c r="BE212" s="42"/>
      <c r="BF212" s="42"/>
      <c r="BG212" s="42"/>
      <c r="BH212" s="42"/>
      <c r="BI212" s="42"/>
      <c r="BJ212" s="42"/>
      <c r="BK212" s="42"/>
      <c r="BL212" s="42"/>
      <c r="BM212" s="42"/>
      <c r="BN212" s="42"/>
      <c r="BO212" s="42"/>
      <c r="BP212" s="42"/>
      <c r="BQ212" s="42"/>
      <c r="BR212" s="42"/>
      <c r="BS212" s="42"/>
      <c r="BT212" s="42"/>
      <c r="BU212" s="42"/>
      <c r="BV212" s="42"/>
      <c r="BW212" s="42"/>
      <c r="BX212" s="42"/>
      <c r="BY212" s="42"/>
      <c r="BZ212" s="42"/>
      <c r="CA212" s="42"/>
      <c r="CB212" s="42"/>
      <c r="CC212" s="42"/>
      <c r="CD212" s="42"/>
      <c r="CE212" s="42"/>
      <c r="CF212" s="42"/>
      <c r="CG212" s="42"/>
      <c r="CH212" s="42"/>
      <c r="CI212" s="42"/>
      <c r="CJ212" s="42"/>
      <c r="CK212" s="42"/>
      <c r="CL212" s="42"/>
      <c r="CM212" s="42"/>
      <c r="CN212" s="42"/>
      <c r="CO212" s="42"/>
      <c r="CP212" s="42"/>
      <c r="CQ212" s="42"/>
      <c r="CR212" s="42"/>
      <c r="CS212" s="42"/>
      <c r="CT212" s="42"/>
      <c r="CU212" s="42"/>
      <c r="CV212" s="42"/>
      <c r="CW212" s="42"/>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row>
    <row r="213" spans="1:131">
      <c r="A213" s="18" t="s">
        <v>515</v>
      </c>
      <c r="B213" s="18"/>
      <c r="C213" s="32">
        <v>786.86843936637206</v>
      </c>
      <c r="D213" s="32">
        <v>216.82180597992453</v>
      </c>
      <c r="E213" s="32">
        <v>43.364361195984912</v>
      </c>
      <c r="F213" s="32">
        <v>260.18616717590942</v>
      </c>
      <c r="G213" s="32">
        <v>595.71980769840172</v>
      </c>
      <c r="H213" s="32">
        <v>682.82331967317418</v>
      </c>
      <c r="I213" s="32">
        <v>2896.5843722189743</v>
      </c>
      <c r="J213" s="32">
        <v>6.7683511840105446</v>
      </c>
      <c r="K213" s="32">
        <v>30.151009464921778</v>
      </c>
      <c r="L213" s="244">
        <v>1.1462155712285311</v>
      </c>
      <c r="M213" s="32">
        <v>10.340611968671093</v>
      </c>
      <c r="N213" s="32">
        <v>0.14792054127957388</v>
      </c>
      <c r="O213" s="32">
        <v>49.340690943029529</v>
      </c>
      <c r="P213" s="32">
        <v>44.365284915905818</v>
      </c>
      <c r="Q213" s="32">
        <v>51.053037713154183</v>
      </c>
      <c r="R213" s="32">
        <v>47.49571111810387</v>
      </c>
      <c r="S213" s="32">
        <v>48.490308073382089</v>
      </c>
      <c r="T213" s="32">
        <v>47.998841079947987</v>
      </c>
      <c r="U213" s="32">
        <v>45.599718374413889</v>
      </c>
      <c r="V213" s="32">
        <v>47.513174950397186</v>
      </c>
      <c r="W213" s="32">
        <v>44.392493044014422</v>
      </c>
      <c r="X213" s="32">
        <v>50.615877519842201</v>
      </c>
      <c r="Y213" s="32">
        <v>44.792299665923302</v>
      </c>
      <c r="Z213" s="32">
        <v>48.767104959018084</v>
      </c>
      <c r="AA213" s="32"/>
      <c r="AB213" s="32">
        <v>20.948067910630961</v>
      </c>
      <c r="AC213" s="32">
        <v>17.997965112329215</v>
      </c>
      <c r="AD213" s="32">
        <v>17.263837742317854</v>
      </c>
      <c r="AE213" s="32">
        <v>18.026324799515812</v>
      </c>
      <c r="AF213" s="32">
        <v>17.686241545112139</v>
      </c>
      <c r="AG213" s="32">
        <v>15.519186493564662</v>
      </c>
      <c r="AH213" s="32">
        <v>18.221497678229014</v>
      </c>
      <c r="AI213" s="32">
        <v>14.943471199306428</v>
      </c>
      <c r="AJ213" s="32">
        <v>18.397033980152099</v>
      </c>
      <c r="AK213" s="32">
        <v>16.523406316885037</v>
      </c>
      <c r="AL213" s="32">
        <v>19.824692194741619</v>
      </c>
      <c r="AM213" s="42">
        <v>21.092172036454627</v>
      </c>
      <c r="AN213" s="42"/>
      <c r="AO213" s="42"/>
      <c r="AP213" s="42"/>
      <c r="AQ213" s="42"/>
      <c r="AR213" s="42"/>
      <c r="AS213" s="42"/>
      <c r="AT213" s="42"/>
      <c r="AU213" s="42"/>
      <c r="AV213" s="42"/>
      <c r="AW213" s="42"/>
      <c r="AX213" s="42"/>
      <c r="AY213" s="42"/>
      <c r="AZ213" s="42"/>
      <c r="BA213" s="42"/>
      <c r="BB213" s="42"/>
      <c r="BC213" s="42"/>
      <c r="BD213" s="42"/>
      <c r="BE213" s="42"/>
      <c r="BF213" s="42"/>
      <c r="BG213" s="42"/>
      <c r="BH213" s="42"/>
      <c r="BI213" s="42"/>
      <c r="BJ213" s="42"/>
      <c r="BK213" s="42"/>
      <c r="BL213" s="42"/>
      <c r="BM213" s="42"/>
      <c r="BN213" s="42"/>
      <c r="BO213" s="42"/>
      <c r="BP213" s="42"/>
      <c r="BQ213" s="42"/>
      <c r="BR213" s="42"/>
      <c r="BS213" s="42"/>
      <c r="BT213" s="42"/>
      <c r="BU213" s="42"/>
      <c r="BV213" s="42"/>
      <c r="BW213" s="42"/>
      <c r="BX213" s="42"/>
      <c r="BY213" s="42"/>
      <c r="BZ213" s="42"/>
      <c r="CA213" s="42"/>
      <c r="CB213" s="42"/>
      <c r="CC213" s="42"/>
      <c r="CD213" s="42"/>
      <c r="CE213" s="42"/>
      <c r="CF213" s="42"/>
      <c r="CG213" s="42"/>
      <c r="CH213" s="42"/>
      <c r="CI213" s="42"/>
      <c r="CJ213" s="42"/>
      <c r="CK213" s="42"/>
      <c r="CL213" s="42"/>
      <c r="CM213" s="42"/>
      <c r="CN213" s="42"/>
      <c r="CO213" s="42"/>
      <c r="CP213" s="42"/>
      <c r="CQ213" s="42"/>
      <c r="CR213" s="42"/>
      <c r="CS213" s="42"/>
      <c r="CT213" s="42"/>
      <c r="CU213" s="42"/>
      <c r="CV213" s="42"/>
      <c r="CW213" s="42"/>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row>
    <row r="214" spans="1:131">
      <c r="A214" s="18" t="s">
        <v>510</v>
      </c>
      <c r="B214" s="18"/>
      <c r="C214" s="32">
        <v>32.483392354420594</v>
      </c>
      <c r="D214" s="32">
        <v>9.8287573310080454</v>
      </c>
      <c r="E214" s="32">
        <v>1.9657514662016091</v>
      </c>
      <c r="F214" s="32">
        <v>11.794508797209655</v>
      </c>
      <c r="G214" s="32">
        <v>27.004596704099491</v>
      </c>
      <c r="H214" s="32">
        <v>24.950646573135696</v>
      </c>
      <c r="I214" s="32">
        <v>3180.6991072930841</v>
      </c>
      <c r="J214" s="32">
        <v>8.4791216382193948</v>
      </c>
      <c r="K214" s="32">
        <v>42.948876353405723</v>
      </c>
      <c r="L214" s="245">
        <v>0.92394072189006282</v>
      </c>
      <c r="M214" s="32">
        <v>0.36859299514572613</v>
      </c>
      <c r="N214" s="32">
        <v>6.1064350014239654E-3</v>
      </c>
      <c r="O214" s="32">
        <v>2.0368754708617569</v>
      </c>
      <c r="P214" s="32">
        <v>1.8314814583229495</v>
      </c>
      <c r="Q214" s="32">
        <v>2.1075643296315589</v>
      </c>
      <c r="R214" s="32">
        <v>1.9607112729593601</v>
      </c>
      <c r="S214" s="32">
        <v>2.0017700847206124</v>
      </c>
      <c r="T214" s="32">
        <v>1.981481413351581</v>
      </c>
      <c r="U214" s="32">
        <v>1.8824411669121406</v>
      </c>
      <c r="V214" s="32">
        <v>1.9614322124303245</v>
      </c>
      <c r="W214" s="32">
        <v>1.8326046604446316</v>
      </c>
      <c r="X214" s="32">
        <v>2.0895175439547535</v>
      </c>
      <c r="Y214" s="32">
        <v>1.8491094212351644</v>
      </c>
      <c r="Z214" s="32">
        <v>2.0131967748618975</v>
      </c>
      <c r="AA214" s="32"/>
      <c r="AB214" s="32">
        <v>0.86477519616369258</v>
      </c>
      <c r="AC214" s="32">
        <v>0.74298946695046297</v>
      </c>
      <c r="AD214" s="32">
        <v>0.71268332401073486</v>
      </c>
      <c r="AE214" s="32">
        <v>0.74416020757220225</v>
      </c>
      <c r="AF214" s="32">
        <v>0.73012093844754611</v>
      </c>
      <c r="AG214" s="32">
        <v>0.64066087629315305</v>
      </c>
      <c r="AH214" s="32">
        <v>0.75221730692833844</v>
      </c>
      <c r="AI214" s="32">
        <v>0.61689427840686595</v>
      </c>
      <c r="AJ214" s="32">
        <v>0.75946377188047587</v>
      </c>
      <c r="AK214" s="32">
        <v>0.68211693794085426</v>
      </c>
      <c r="AL214" s="32">
        <v>0.81840015770104191</v>
      </c>
      <c r="AM214" s="42">
        <v>0.87072408243849408</v>
      </c>
      <c r="AN214" s="42"/>
      <c r="AO214" s="42"/>
      <c r="AP214" s="42"/>
      <c r="AQ214" s="42"/>
      <c r="AR214" s="42"/>
      <c r="AS214" s="42"/>
      <c r="AT214" s="42"/>
      <c r="AU214" s="42"/>
      <c r="AV214" s="42"/>
      <c r="AW214" s="42"/>
      <c r="AX214" s="42"/>
      <c r="AY214" s="42"/>
      <c r="AZ214" s="42"/>
      <c r="BA214" s="42"/>
      <c r="BB214" s="42"/>
      <c r="BC214" s="42"/>
      <c r="BD214" s="42"/>
      <c r="BE214" s="42"/>
      <c r="BF214" s="42"/>
      <c r="BG214" s="42"/>
      <c r="BH214" s="42"/>
      <c r="BI214" s="42"/>
      <c r="BJ214" s="42"/>
      <c r="BK214" s="42"/>
      <c r="BL214" s="42"/>
      <c r="BM214" s="42"/>
      <c r="BN214" s="42"/>
      <c r="BO214" s="42"/>
      <c r="BP214" s="42"/>
      <c r="BQ214" s="42"/>
      <c r="BR214" s="42"/>
      <c r="BS214" s="42"/>
      <c r="BT214" s="42"/>
      <c r="BU214" s="42"/>
      <c r="BV214" s="42"/>
      <c r="BW214" s="42"/>
      <c r="BX214" s="42"/>
      <c r="BY214" s="42"/>
      <c r="BZ214" s="42"/>
      <c r="CA214" s="42"/>
      <c r="CB214" s="42"/>
      <c r="CC214" s="42"/>
      <c r="CD214" s="42"/>
      <c r="CE214" s="42"/>
      <c r="CF214" s="42"/>
      <c r="CG214" s="42"/>
      <c r="CH214" s="42"/>
      <c r="CI214" s="42"/>
      <c r="CJ214" s="42"/>
      <c r="CK214" s="42"/>
      <c r="CL214" s="42"/>
      <c r="CM214" s="42"/>
      <c r="CN214" s="42"/>
      <c r="CO214" s="42"/>
      <c r="CP214" s="42"/>
      <c r="CQ214" s="42"/>
      <c r="CR214" s="42"/>
      <c r="CS214" s="42"/>
      <c r="CT214" s="42"/>
      <c r="CU214" s="42"/>
      <c r="CV214" s="42"/>
      <c r="CW214" s="42"/>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row>
    <row r="215" spans="1:131">
      <c r="A215" s="18" t="s">
        <v>514</v>
      </c>
      <c r="B215" s="18"/>
      <c r="C215" s="32">
        <v>181.55278780226234</v>
      </c>
      <c r="D215" s="32">
        <v>82.30234988560494</v>
      </c>
      <c r="E215" s="32">
        <v>16.46046997712099</v>
      </c>
      <c r="F215" s="32">
        <v>98.762819862725934</v>
      </c>
      <c r="G215" s="32">
        <v>226.12642591639863</v>
      </c>
      <c r="H215" s="32">
        <v>164.73823641490031</v>
      </c>
      <c r="I215" s="32">
        <v>4765.348483327989</v>
      </c>
      <c r="J215" s="32">
        <v>18.020940481560494</v>
      </c>
      <c r="K215" s="32">
        <v>63.176339159462458</v>
      </c>
      <c r="L215" s="245">
        <v>0.72852270913177486</v>
      </c>
      <c r="M215" s="32">
        <v>2.5153433906508491</v>
      </c>
      <c r="N215" s="32">
        <v>3.4129449472076467E-2</v>
      </c>
      <c r="O215" s="32">
        <v>11.384291890027068</v>
      </c>
      <c r="P215" s="32">
        <v>10.236325102339066</v>
      </c>
      <c r="Q215" s="32">
        <v>11.779378685032684</v>
      </c>
      <c r="R215" s="32">
        <v>10.958602900742008</v>
      </c>
      <c r="S215" s="32">
        <v>11.188084528084705</v>
      </c>
      <c r="T215" s="32">
        <v>11.074689202631562</v>
      </c>
      <c r="U215" s="32">
        <v>10.521143789347272</v>
      </c>
      <c r="V215" s="32">
        <v>10.962632300422998</v>
      </c>
      <c r="W215" s="32">
        <v>10.242602786462442</v>
      </c>
      <c r="X215" s="32">
        <v>11.678513473211662</v>
      </c>
      <c r="Y215" s="32">
        <v>10.334849473656826</v>
      </c>
      <c r="Z215" s="32">
        <v>11.25194939256277</v>
      </c>
      <c r="AA215" s="32"/>
      <c r="AB215" s="32">
        <v>4.8333113109844437</v>
      </c>
      <c r="AC215" s="32">
        <v>4.1526392182439738</v>
      </c>
      <c r="AD215" s="32">
        <v>3.9832552857344514</v>
      </c>
      <c r="AE215" s="32">
        <v>4.1591825995925404</v>
      </c>
      <c r="AF215" s="32">
        <v>4.0807157812110955</v>
      </c>
      <c r="AG215" s="32">
        <v>3.5807149345050888</v>
      </c>
      <c r="AH215" s="32">
        <v>4.2042144987780112</v>
      </c>
      <c r="AI215" s="32">
        <v>3.4478811449873019</v>
      </c>
      <c r="AJ215" s="32">
        <v>4.244715684719969</v>
      </c>
      <c r="AK215" s="32">
        <v>3.8124168294710659</v>
      </c>
      <c r="AL215" s="32">
        <v>4.574116783963758</v>
      </c>
      <c r="AM215" s="42">
        <v>4.8665602055495416</v>
      </c>
      <c r="AN215" s="42"/>
      <c r="AO215" s="42"/>
      <c r="AP215" s="42"/>
      <c r="AQ215" s="42"/>
      <c r="AR215" s="42"/>
      <c r="AS215" s="42"/>
      <c r="AT215" s="42"/>
      <c r="AU215" s="42"/>
      <c r="AV215" s="42"/>
      <c r="AW215" s="42"/>
      <c r="AX215" s="42"/>
      <c r="AY215" s="42"/>
      <c r="AZ215" s="42"/>
      <c r="BA215" s="42"/>
      <c r="BB215" s="42"/>
      <c r="BC215" s="42"/>
      <c r="BD215" s="42"/>
      <c r="BE215" s="42"/>
      <c r="BF215" s="42"/>
      <c r="BG215" s="42"/>
      <c r="BH215" s="42"/>
      <c r="BI215" s="42"/>
      <c r="BJ215" s="42"/>
      <c r="BK215" s="42"/>
      <c r="BL215" s="42"/>
      <c r="BM215" s="42"/>
      <c r="BN215" s="42"/>
      <c r="BO215" s="42"/>
      <c r="BP215" s="42"/>
      <c r="BQ215" s="42"/>
      <c r="BR215" s="42"/>
      <c r="BS215" s="42"/>
      <c r="BT215" s="42"/>
      <c r="BU215" s="42"/>
      <c r="BV215" s="42"/>
      <c r="BW215" s="42"/>
      <c r="BX215" s="42"/>
      <c r="BY215" s="42"/>
      <c r="BZ215" s="42"/>
      <c r="CA215" s="42"/>
      <c r="CB215" s="42"/>
      <c r="CC215" s="42"/>
      <c r="CD215" s="42"/>
      <c r="CE215" s="42"/>
      <c r="CF215" s="42"/>
      <c r="CG215" s="42"/>
      <c r="CH215" s="42"/>
      <c r="CI215" s="42"/>
      <c r="CJ215" s="42"/>
      <c r="CK215" s="42"/>
      <c r="CL215" s="42"/>
      <c r="CM215" s="42"/>
      <c r="CN215" s="42"/>
      <c r="CO215" s="42"/>
      <c r="CP215" s="42"/>
      <c r="CQ215" s="42"/>
      <c r="CR215" s="42"/>
      <c r="CS215" s="42"/>
      <c r="CT215" s="42"/>
      <c r="CU215" s="42"/>
      <c r="CV215" s="42"/>
      <c r="CW215" s="42"/>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row>
    <row r="216" spans="1:131">
      <c r="A216" s="18" t="s">
        <v>516</v>
      </c>
      <c r="B216" s="18"/>
      <c r="C216" s="32">
        <v>28.555722339495329</v>
      </c>
      <c r="D216" s="32">
        <v>14.592559195953809</v>
      </c>
      <c r="E216" s="32">
        <v>2.9185118391907618</v>
      </c>
      <c r="F216" s="32">
        <v>17.511071035144571</v>
      </c>
      <c r="G216" s="32">
        <v>40.093183980056125</v>
      </c>
      <c r="H216" s="32">
        <v>25.530194333751322</v>
      </c>
      <c r="I216" s="32">
        <v>5371.8473812060975</v>
      </c>
      <c r="J216" s="32">
        <v>21.672917189947164</v>
      </c>
      <c r="K216" s="32">
        <v>75.821833005703837</v>
      </c>
      <c r="L216" s="245">
        <v>0.63677143592414642</v>
      </c>
      <c r="M216" s="32">
        <v>0.38877221585652078</v>
      </c>
      <c r="N216" s="32">
        <v>5.368086574280115E-3</v>
      </c>
      <c r="O216" s="32">
        <v>1.7905903962072378</v>
      </c>
      <c r="P216" s="32">
        <v>1.6100312252850906</v>
      </c>
      <c r="Q216" s="32">
        <v>1.8527320408206447</v>
      </c>
      <c r="R216" s="32">
        <v>1.7236354530848876</v>
      </c>
      <c r="S216" s="32">
        <v>1.7597297136673844</v>
      </c>
      <c r="T216" s="32">
        <v>1.7418942099142642</v>
      </c>
      <c r="U216" s="32">
        <v>1.6548292338519668</v>
      </c>
      <c r="V216" s="32">
        <v>1.7242692214774198</v>
      </c>
      <c r="W216" s="32">
        <v>1.6110186174751651</v>
      </c>
      <c r="X216" s="32">
        <v>1.8368673492488881</v>
      </c>
      <c r="Y216" s="32">
        <v>1.6255277352813322</v>
      </c>
      <c r="Z216" s="32">
        <v>1.7697747664554</v>
      </c>
      <c r="AA216" s="32"/>
      <c r="AB216" s="32">
        <v>0.76021248391479712</v>
      </c>
      <c r="AC216" s="32">
        <v>0.65315225355518447</v>
      </c>
      <c r="AD216" s="32">
        <v>0.62651052249687766</v>
      </c>
      <c r="AE216" s="32">
        <v>0.65418143621447045</v>
      </c>
      <c r="AF216" s="32">
        <v>0.64183969965570953</v>
      </c>
      <c r="AG216" s="32">
        <v>0.56319653740584086</v>
      </c>
      <c r="AH216" s="32">
        <v>0.66126432612834496</v>
      </c>
      <c r="AI216" s="32">
        <v>0.54230363426350958</v>
      </c>
      <c r="AJ216" s="32">
        <v>0.66763459801554104</v>
      </c>
      <c r="AK216" s="32">
        <v>0.59964001513084064</v>
      </c>
      <c r="AL216" s="32">
        <v>0.71944479846575404</v>
      </c>
      <c r="AM216" s="42">
        <v>0.7654420714787743</v>
      </c>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42"/>
      <c r="BN216" s="42"/>
      <c r="BO216" s="42"/>
      <c r="BP216" s="42"/>
      <c r="BQ216" s="42"/>
      <c r="BR216" s="42"/>
      <c r="BS216" s="42"/>
      <c r="BT216" s="42"/>
      <c r="BU216" s="42"/>
      <c r="BV216" s="42"/>
      <c r="BW216" s="42"/>
      <c r="BX216" s="42"/>
      <c r="BY216" s="42"/>
      <c r="BZ216" s="42"/>
      <c r="CA216" s="42"/>
      <c r="CB216" s="42"/>
      <c r="CC216" s="42"/>
      <c r="CD216" s="42"/>
      <c r="CE216" s="42"/>
      <c r="CF216" s="42"/>
      <c r="CG216" s="42"/>
      <c r="CH216" s="42"/>
      <c r="CI216" s="42"/>
      <c r="CJ216" s="42"/>
      <c r="CK216" s="42"/>
      <c r="CL216" s="42"/>
      <c r="CM216" s="42"/>
      <c r="CN216" s="42"/>
      <c r="CO216" s="42"/>
      <c r="CP216" s="42"/>
      <c r="CQ216" s="42"/>
      <c r="CR216" s="42"/>
      <c r="CS216" s="42"/>
      <c r="CT216" s="42"/>
      <c r="CU216" s="42"/>
      <c r="CV216" s="42"/>
      <c r="CW216" s="42"/>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row>
    <row r="217" spans="1:131">
      <c r="A217" s="18" t="s">
        <v>512</v>
      </c>
      <c r="B217" s="18"/>
      <c r="C217" s="32">
        <v>35.017405316066764</v>
      </c>
      <c r="D217" s="32">
        <v>15.378181835946439</v>
      </c>
      <c r="E217" s="32">
        <v>3.0756363671892881</v>
      </c>
      <c r="F217" s="32">
        <v>18.453818203135725</v>
      </c>
      <c r="G217" s="32">
        <v>42.251689052480685</v>
      </c>
      <c r="H217" s="32">
        <v>26.582654928730388</v>
      </c>
      <c r="I217" s="32">
        <v>4616.4313432239896</v>
      </c>
      <c r="J217" s="32">
        <v>17.12424977191198</v>
      </c>
      <c r="K217" s="32">
        <v>71.221441789992696</v>
      </c>
      <c r="L217" s="245">
        <v>0.6291501126904574</v>
      </c>
      <c r="M217" s="32">
        <v>0.39168691333293476</v>
      </c>
      <c r="N217" s="32">
        <v>6.5827948986362517E-3</v>
      </c>
      <c r="O217" s="32">
        <v>2.1957710932187737</v>
      </c>
      <c r="P217" s="32">
        <v>1.9743543979398426</v>
      </c>
      <c r="Q217" s="32">
        <v>2.2719743540070669</v>
      </c>
      <c r="R217" s="32">
        <v>2.1136653648693029</v>
      </c>
      <c r="S217" s="32">
        <v>2.1579271537105846</v>
      </c>
      <c r="T217" s="32">
        <v>2.1360557733786849</v>
      </c>
      <c r="U217" s="32">
        <v>2.0292894475487699</v>
      </c>
      <c r="V217" s="32">
        <v>2.1144425444627291</v>
      </c>
      <c r="W217" s="32">
        <v>1.975565220489337</v>
      </c>
      <c r="X217" s="32">
        <v>2.2525197477331358</v>
      </c>
      <c r="Y217" s="32">
        <v>1.9933575092977489</v>
      </c>
      <c r="Z217" s="32">
        <v>2.1702452341540521</v>
      </c>
      <c r="AA217" s="32"/>
      <c r="AB217" s="32">
        <v>0.93223587059324264</v>
      </c>
      <c r="AC217" s="32">
        <v>0.80094969841510644</v>
      </c>
      <c r="AD217" s="32">
        <v>0.76827938863624834</v>
      </c>
      <c r="AE217" s="32">
        <v>0.80221176791893556</v>
      </c>
      <c r="AF217" s="32">
        <v>0.7870773025307316</v>
      </c>
      <c r="AG217" s="32">
        <v>0.69063850630276957</v>
      </c>
      <c r="AH217" s="32">
        <v>0.81089739750919754</v>
      </c>
      <c r="AI217" s="32">
        <v>0.66501788817004448</v>
      </c>
      <c r="AJ217" s="32">
        <v>0.81870915551676704</v>
      </c>
      <c r="AK217" s="32">
        <v>0.73532853429265244</v>
      </c>
      <c r="AL217" s="32">
        <v>0.88224313890203343</v>
      </c>
      <c r="AM217" s="42">
        <v>0.93864882646900305</v>
      </c>
      <c r="AN217" s="42"/>
      <c r="AO217" s="42"/>
      <c r="AP217" s="42"/>
      <c r="AQ217" s="42"/>
      <c r="AR217" s="42"/>
      <c r="AS217" s="42"/>
      <c r="AT217" s="42"/>
      <c r="AU217" s="42"/>
      <c r="AV217" s="42"/>
      <c r="AW217" s="42"/>
      <c r="AX217" s="42"/>
      <c r="AY217" s="42"/>
      <c r="AZ217" s="42"/>
      <c r="BA217" s="42"/>
      <c r="BB217" s="42"/>
      <c r="BC217" s="42"/>
      <c r="BD217" s="42"/>
      <c r="BE217" s="42"/>
      <c r="BF217" s="42"/>
      <c r="BG217" s="42"/>
      <c r="BH217" s="42"/>
      <c r="BI217" s="42"/>
      <c r="BJ217" s="42"/>
      <c r="BK217" s="42"/>
      <c r="BL217" s="42"/>
      <c r="BM217" s="42"/>
      <c r="BN217" s="42"/>
      <c r="BO217" s="42"/>
      <c r="BP217" s="42"/>
      <c r="BQ217" s="42"/>
      <c r="BR217" s="42"/>
      <c r="BS217" s="42"/>
      <c r="BT217" s="42"/>
      <c r="BU217" s="42"/>
      <c r="BV217" s="42"/>
      <c r="BW217" s="42"/>
      <c r="BX217" s="42"/>
      <c r="BY217" s="42"/>
      <c r="BZ217" s="42"/>
      <c r="CA217" s="42"/>
      <c r="CB217" s="42"/>
      <c r="CC217" s="42"/>
      <c r="CD217" s="42"/>
      <c r="CE217" s="42"/>
      <c r="CF217" s="42"/>
      <c r="CG217" s="42"/>
      <c r="CH217" s="42"/>
      <c r="CI217" s="42"/>
      <c r="CJ217" s="42"/>
      <c r="CK217" s="42"/>
      <c r="CL217" s="42"/>
      <c r="CM217" s="42"/>
      <c r="CN217" s="42"/>
      <c r="CO217" s="42"/>
      <c r="CP217" s="42"/>
      <c r="CQ217" s="42"/>
      <c r="CR217" s="42"/>
      <c r="CS217" s="42"/>
      <c r="CT217" s="42"/>
      <c r="CU217" s="42"/>
      <c r="CV217" s="42"/>
      <c r="CW217" s="42"/>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row>
    <row r="218" spans="1:131">
      <c r="A218" s="18" t="s">
        <v>511</v>
      </c>
      <c r="B218" s="18"/>
      <c r="C218" s="32">
        <v>235.27638694603962</v>
      </c>
      <c r="D218" s="32">
        <v>143.75452147683055</v>
      </c>
      <c r="E218" s="32">
        <v>28.750904295366112</v>
      </c>
      <c r="F218" s="32">
        <v>172.50542577219665</v>
      </c>
      <c r="G218" s="32">
        <v>394.9668046666967</v>
      </c>
      <c r="H218" s="32">
        <v>171.73415269219723</v>
      </c>
      <c r="I218" s="32">
        <v>6422.8609992681613</v>
      </c>
      <c r="J218" s="32">
        <v>28.001497945474366</v>
      </c>
      <c r="K218" s="32">
        <v>108.11136544211456</v>
      </c>
      <c r="L218" s="245">
        <v>0.43480654744420782</v>
      </c>
      <c r="M218" s="32">
        <v>2.5079912937347122</v>
      </c>
      <c r="N218" s="32">
        <v>4.4228753837662151E-2</v>
      </c>
      <c r="O218" s="32">
        <v>14.753037374132205</v>
      </c>
      <c r="P218" s="32">
        <v>13.265373750726699</v>
      </c>
      <c r="Q218" s="32">
        <v>15.265034985318726</v>
      </c>
      <c r="R218" s="32">
        <v>14.201382020479452</v>
      </c>
      <c r="S218" s="32">
        <v>14.498769952690616</v>
      </c>
      <c r="T218" s="32">
        <v>14.35181962054676</v>
      </c>
      <c r="U218" s="32">
        <v>13.634473627545944</v>
      </c>
      <c r="V218" s="32">
        <v>14.206603766782443</v>
      </c>
      <c r="W218" s="32">
        <v>13.273509075206238</v>
      </c>
      <c r="X218" s="32">
        <v>15.134322574382665</v>
      </c>
      <c r="Y218" s="32">
        <v>13.393052639001439</v>
      </c>
      <c r="Z218" s="32">
        <v>14.581533179568536</v>
      </c>
      <c r="AA218" s="32"/>
      <c r="AB218" s="32">
        <v>6.2635448125003998</v>
      </c>
      <c r="AC218" s="32">
        <v>5.3814538646632339</v>
      </c>
      <c r="AD218" s="32">
        <v>5.1619472400061843</v>
      </c>
      <c r="AE218" s="32">
        <v>5.3899335092929697</v>
      </c>
      <c r="AF218" s="32">
        <v>5.2882474391013918</v>
      </c>
      <c r="AG218" s="32">
        <v>4.6402904778947409</v>
      </c>
      <c r="AH218" s="32">
        <v>5.4482908755770678</v>
      </c>
      <c r="AI218" s="32">
        <v>4.4681496121971316</v>
      </c>
      <c r="AJ218" s="32">
        <v>5.5007768374331425</v>
      </c>
      <c r="AK218" s="32">
        <v>4.9405556809579929</v>
      </c>
      <c r="AL218" s="32">
        <v>5.9276515851265899</v>
      </c>
      <c r="AM218" s="42">
        <v>6.3066324449070477</v>
      </c>
      <c r="AN218" s="42"/>
      <c r="AO218" s="42"/>
      <c r="AP218" s="42"/>
      <c r="AQ218" s="42"/>
      <c r="AR218" s="42"/>
      <c r="AS218" s="42"/>
      <c r="AT218" s="42"/>
      <c r="AU218" s="42"/>
      <c r="AV218" s="42"/>
      <c r="AW218" s="42"/>
      <c r="AX218" s="42"/>
      <c r="AY218" s="42"/>
      <c r="AZ218" s="42"/>
      <c r="BA218" s="42"/>
      <c r="BB218" s="42"/>
      <c r="BC218" s="42"/>
      <c r="BD218" s="42"/>
      <c r="BE218" s="42"/>
      <c r="BF218" s="42"/>
      <c r="BG218" s="42"/>
      <c r="BH218" s="42"/>
      <c r="BI218" s="42"/>
      <c r="BJ218" s="42"/>
      <c r="BK218" s="42"/>
      <c r="BL218" s="42"/>
      <c r="BM218" s="42"/>
      <c r="BN218" s="42"/>
      <c r="BO218" s="42"/>
      <c r="BP218" s="42"/>
      <c r="BQ218" s="42"/>
      <c r="BR218" s="42"/>
      <c r="BS218" s="42"/>
      <c r="BT218" s="42"/>
      <c r="BU218" s="42"/>
      <c r="BV218" s="42"/>
      <c r="BW218" s="42"/>
      <c r="BX218" s="42"/>
      <c r="BY218" s="42"/>
      <c r="BZ218" s="42"/>
      <c r="CA218" s="42"/>
      <c r="CB218" s="42"/>
      <c r="CC218" s="42"/>
      <c r="CD218" s="42"/>
      <c r="CE218" s="42"/>
      <c r="CF218" s="42"/>
      <c r="CG218" s="42"/>
      <c r="CH218" s="42"/>
      <c r="CI218" s="42"/>
      <c r="CJ218" s="42"/>
      <c r="CK218" s="42"/>
      <c r="CL218" s="42"/>
      <c r="CM218" s="42"/>
      <c r="CN218" s="42"/>
      <c r="CO218" s="42"/>
      <c r="CP218" s="42"/>
      <c r="CQ218" s="42"/>
      <c r="CR218" s="42"/>
      <c r="CS218" s="42"/>
      <c r="CT218" s="42"/>
      <c r="CU218" s="42"/>
      <c r="CV218" s="42"/>
      <c r="CW218" s="42"/>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row>
    <row r="219" spans="1:131">
      <c r="A219" s="18" t="s">
        <v>509</v>
      </c>
      <c r="B219" s="18"/>
      <c r="C219" s="32">
        <v>19.453785339199513</v>
      </c>
      <c r="D219" s="32">
        <v>16.176643769731875</v>
      </c>
      <c r="E219" s="32">
        <v>3.2353287539463751</v>
      </c>
      <c r="F219" s="32">
        <v>19.411972523678251</v>
      </c>
      <c r="G219" s="32">
        <v>44.445470196860569</v>
      </c>
      <c r="H219" s="32">
        <v>17.932495990319264</v>
      </c>
      <c r="I219" s="32">
        <v>8741.1717741519333</v>
      </c>
      <c r="J219" s="32">
        <v>41.960990670519571</v>
      </c>
      <c r="K219" s="32">
        <v>138.57858167229179</v>
      </c>
      <c r="L219" s="245">
        <v>0.40347184788217039</v>
      </c>
      <c r="M219" s="32">
        <v>0.27457323823301871</v>
      </c>
      <c r="N219" s="32">
        <v>3.6570464811477724E-3</v>
      </c>
      <c r="O219" s="32">
        <v>1.2198522168031221</v>
      </c>
      <c r="P219" s="32">
        <v>1.0968450201935278</v>
      </c>
      <c r="Q219" s="32">
        <v>1.2621866463287246</v>
      </c>
      <c r="R219" s="32">
        <v>1.1742386940417318</v>
      </c>
      <c r="S219" s="32">
        <v>1.1988281612245615</v>
      </c>
      <c r="T219" s="32">
        <v>1.1866775996907077</v>
      </c>
      <c r="U219" s="32">
        <v>1.1273639764966668</v>
      </c>
      <c r="V219" s="32">
        <v>1.1746704531867642</v>
      </c>
      <c r="W219" s="32">
        <v>1.0975176880211155</v>
      </c>
      <c r="X219" s="32">
        <v>1.2513787143618735</v>
      </c>
      <c r="Y219" s="32">
        <v>1.1074021258898767</v>
      </c>
      <c r="Z219" s="32">
        <v>1.2056714236129449</v>
      </c>
      <c r="AA219" s="32"/>
      <c r="AB219" s="32">
        <v>0.51790006564826041</v>
      </c>
      <c r="AC219" s="32">
        <v>0.44496453577372647</v>
      </c>
      <c r="AD219" s="32">
        <v>0.42681467036632442</v>
      </c>
      <c r="AE219" s="32">
        <v>0.44566567365042048</v>
      </c>
      <c r="AF219" s="32">
        <v>0.43725777939817057</v>
      </c>
      <c r="AG219" s="32">
        <v>0.38368157570015476</v>
      </c>
      <c r="AH219" s="32">
        <v>0.45049094188659189</v>
      </c>
      <c r="AI219" s="32">
        <v>0.36944813947285798</v>
      </c>
      <c r="AJ219" s="32">
        <v>0.45483073411361064</v>
      </c>
      <c r="AK219" s="32">
        <v>0.40850894950100863</v>
      </c>
      <c r="AL219" s="32">
        <v>0.49012679512570817</v>
      </c>
      <c r="AM219" s="42">
        <v>0.52146275871106018</v>
      </c>
      <c r="AN219" s="42"/>
      <c r="AO219" s="42"/>
      <c r="AP219" s="42"/>
      <c r="AQ219" s="42"/>
      <c r="AR219" s="42"/>
      <c r="AS219" s="42"/>
      <c r="AT219" s="42"/>
      <c r="AU219" s="42"/>
      <c r="AV219" s="42"/>
      <c r="AW219" s="42"/>
      <c r="AX219" s="42"/>
      <c r="AY219" s="42"/>
      <c r="AZ219" s="42"/>
      <c r="BA219" s="42"/>
      <c r="BB219" s="42"/>
      <c r="BC219" s="42"/>
      <c r="BD219" s="42"/>
      <c r="BE219" s="42"/>
      <c r="BF219" s="42"/>
      <c r="BG219" s="42"/>
      <c r="BH219" s="42"/>
      <c r="BI219" s="42"/>
      <c r="BJ219" s="42"/>
      <c r="BK219" s="42"/>
      <c r="BL219" s="42"/>
      <c r="BM219" s="42"/>
      <c r="BN219" s="42"/>
      <c r="BO219" s="42"/>
      <c r="BP219" s="42"/>
      <c r="BQ219" s="42"/>
      <c r="BR219" s="42"/>
      <c r="BS219" s="42"/>
      <c r="BT219" s="42"/>
      <c r="BU219" s="42"/>
      <c r="BV219" s="42"/>
      <c r="BW219" s="42"/>
      <c r="BX219" s="42"/>
      <c r="BY219" s="42"/>
      <c r="BZ219" s="42"/>
      <c r="CA219" s="42"/>
      <c r="CB219" s="42"/>
      <c r="CC219" s="42"/>
      <c r="CD219" s="42"/>
      <c r="CE219" s="42"/>
      <c r="CF219" s="42"/>
      <c r="CG219" s="42"/>
      <c r="CH219" s="42"/>
      <c r="CI219" s="42"/>
      <c r="CJ219" s="42"/>
      <c r="CK219" s="42"/>
      <c r="CL219" s="42"/>
      <c r="CM219" s="42"/>
      <c r="CN219" s="42"/>
      <c r="CO219" s="42"/>
      <c r="CP219" s="42"/>
      <c r="CQ219" s="42"/>
      <c r="CR219" s="42"/>
      <c r="CS219" s="42"/>
      <c r="CT219" s="42"/>
      <c r="CU219" s="42"/>
      <c r="CV219" s="42"/>
      <c r="CW219" s="42"/>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row>
    <row r="220" spans="1:131">
      <c r="A220" s="18"/>
      <c r="B220" s="18"/>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c r="AY220" s="42"/>
      <c r="AZ220" s="42"/>
      <c r="BA220" s="42"/>
      <c r="BB220" s="42"/>
      <c r="BC220" s="42"/>
      <c r="BD220" s="42"/>
      <c r="BE220" s="42"/>
      <c r="BF220" s="42"/>
      <c r="BG220" s="42"/>
      <c r="BH220" s="42"/>
      <c r="BI220" s="42"/>
      <c r="BJ220" s="42"/>
      <c r="BK220" s="42"/>
      <c r="BL220" s="42"/>
      <c r="BM220" s="42"/>
      <c r="BN220" s="42"/>
      <c r="BO220" s="42"/>
      <c r="BP220" s="42"/>
      <c r="BQ220" s="42"/>
      <c r="BR220" s="42"/>
      <c r="BS220" s="42"/>
      <c r="BT220" s="42"/>
      <c r="BU220" s="42"/>
      <c r="BV220" s="42"/>
      <c r="BW220" s="42"/>
      <c r="BX220" s="42"/>
      <c r="BY220" s="42"/>
      <c r="BZ220" s="42"/>
      <c r="CA220" s="42"/>
      <c r="CB220" s="42"/>
      <c r="CC220" s="42"/>
      <c r="CD220" s="42"/>
      <c r="CE220" s="42"/>
      <c r="CF220" s="42"/>
      <c r="CG220" s="42"/>
      <c r="CH220" s="42"/>
      <c r="CI220" s="42"/>
      <c r="CJ220" s="42"/>
      <c r="CK220" s="42"/>
      <c r="CL220" s="42"/>
      <c r="CM220" s="42"/>
      <c r="CN220" s="42"/>
      <c r="CO220" s="42"/>
      <c r="CP220" s="42"/>
      <c r="CQ220" s="42"/>
      <c r="CR220" s="42"/>
      <c r="CS220" s="42"/>
      <c r="CT220" s="42"/>
      <c r="CU220" s="42"/>
      <c r="CV220" s="42"/>
      <c r="CW220" s="42"/>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5"/>
  <dimension ref="A1:X118"/>
  <sheetViews>
    <sheetView topLeftCell="E1" workbookViewId="0">
      <selection activeCell="V11" sqref="V11"/>
    </sheetView>
  </sheetViews>
  <sheetFormatPr defaultRowHeight="12.75"/>
  <cols>
    <col min="1" max="1" width="36.85546875" customWidth="1"/>
    <col min="2" max="2" width="37.85546875" customWidth="1"/>
    <col min="3" max="3" width="61" customWidth="1"/>
    <col min="4" max="4" width="11.28515625" customWidth="1"/>
    <col min="5" max="6" width="9.7109375" customWidth="1"/>
    <col min="7" max="7" width="12.42578125" customWidth="1"/>
    <col min="8" max="8" width="8.140625" customWidth="1"/>
    <col min="9" max="9" width="11.7109375" customWidth="1"/>
    <col min="10" max="10" width="10.28515625" customWidth="1"/>
    <col min="11" max="11" width="11.140625" customWidth="1"/>
    <col min="12" max="12" width="9.28515625" customWidth="1"/>
    <col min="13" max="13" width="9.42578125" customWidth="1"/>
    <col min="14" max="14" width="9" customWidth="1"/>
    <col min="15" max="15" width="10.85546875" customWidth="1"/>
    <col min="16" max="17" width="13.28515625" customWidth="1"/>
    <col min="18" max="18" width="12" customWidth="1"/>
    <col min="19" max="19" width="11.7109375" customWidth="1"/>
    <col min="20" max="20" width="12.140625" customWidth="1"/>
    <col min="21" max="21" width="14" customWidth="1"/>
  </cols>
  <sheetData>
    <row r="1" spans="1:24" ht="15.75">
      <c r="A1" s="55" t="s">
        <v>172</v>
      </c>
    </row>
    <row r="2" spans="1:24">
      <c r="J2" t="s">
        <v>434</v>
      </c>
    </row>
    <row r="3" spans="1:24">
      <c r="A3" s="184" t="s">
        <v>436</v>
      </c>
      <c r="J3" t="s">
        <v>435</v>
      </c>
    </row>
    <row r="4" spans="1:24">
      <c r="J4" t="s">
        <v>173</v>
      </c>
    </row>
    <row r="6" spans="1:24">
      <c r="A6" s="185" t="s">
        <v>442</v>
      </c>
    </row>
    <row r="7" spans="1:24">
      <c r="T7" s="13"/>
    </row>
    <row r="8" spans="1:24">
      <c r="I8" t="s">
        <v>438</v>
      </c>
      <c r="J8" t="s">
        <v>193</v>
      </c>
      <c r="K8" t="s">
        <v>439</v>
      </c>
      <c r="V8" s="186">
        <v>1000</v>
      </c>
      <c r="W8" s="186">
        <v>1000</v>
      </c>
      <c r="X8" s="186">
        <v>1000</v>
      </c>
    </row>
    <row r="9" spans="1:24" s="61" customFormat="1" ht="25.5">
      <c r="A9" s="56"/>
      <c r="B9" s="56"/>
      <c r="C9" s="56"/>
      <c r="D9" s="56"/>
      <c r="E9" s="56"/>
      <c r="F9" s="56"/>
      <c r="G9" s="56"/>
      <c r="H9" s="56"/>
      <c r="I9" s="187" t="s">
        <v>434</v>
      </c>
      <c r="J9" s="187" t="s">
        <v>435</v>
      </c>
      <c r="K9" s="187" t="s">
        <v>173</v>
      </c>
      <c r="L9" s="57" t="s">
        <v>331</v>
      </c>
      <c r="M9" s="56" t="s">
        <v>174</v>
      </c>
      <c r="N9" s="56" t="s">
        <v>174</v>
      </c>
      <c r="O9" s="56"/>
      <c r="P9" s="59" t="s">
        <v>175</v>
      </c>
      <c r="Q9" s="56"/>
      <c r="R9" s="56" t="s">
        <v>176</v>
      </c>
      <c r="S9" s="60" t="s">
        <v>177</v>
      </c>
      <c r="T9" s="56"/>
      <c r="U9" s="56"/>
      <c r="V9" s="56" t="s">
        <v>437</v>
      </c>
      <c r="W9" s="56" t="s">
        <v>437</v>
      </c>
      <c r="X9" s="56" t="s">
        <v>437</v>
      </c>
    </row>
    <row r="10" spans="1:24" s="65" customFormat="1" ht="70.5" customHeight="1">
      <c r="A10" s="180" t="s">
        <v>179</v>
      </c>
      <c r="B10" s="180" t="s">
        <v>206</v>
      </c>
      <c r="C10" s="180" t="s">
        <v>178</v>
      </c>
      <c r="D10" s="62" t="s">
        <v>180</v>
      </c>
      <c r="E10" s="62" t="s">
        <v>181</v>
      </c>
      <c r="F10" s="63" t="s">
        <v>182</v>
      </c>
      <c r="G10" s="58" t="s">
        <v>183</v>
      </c>
      <c r="H10" s="58" t="s">
        <v>1</v>
      </c>
      <c r="I10" s="58" t="str">
        <f>I9</f>
        <v>ElecHt%TYP</v>
      </c>
      <c r="J10" s="58" t="str">
        <f t="shared" ref="J10:K10" si="0">J9</f>
        <v>GasHt%TYP</v>
      </c>
      <c r="K10" s="58" t="str">
        <f t="shared" si="0"/>
        <v>HtPmpHt%TYP</v>
      </c>
      <c r="L10" s="58" t="s">
        <v>331</v>
      </c>
      <c r="M10" s="58" t="s">
        <v>185</v>
      </c>
      <c r="N10" s="58" t="s">
        <v>186</v>
      </c>
      <c r="O10" s="58" t="s">
        <v>187</v>
      </c>
      <c r="P10" s="64" t="s">
        <v>188</v>
      </c>
      <c r="Q10" s="58" t="s">
        <v>189</v>
      </c>
      <c r="R10" s="58" t="s">
        <v>190</v>
      </c>
      <c r="S10" s="58" t="s">
        <v>191</v>
      </c>
      <c r="T10" s="64" t="s">
        <v>784</v>
      </c>
      <c r="U10" s="64" t="s">
        <v>826</v>
      </c>
      <c r="V10" s="56" t="s">
        <v>827</v>
      </c>
      <c r="W10" s="56" t="s">
        <v>440</v>
      </c>
      <c r="X10" s="56" t="s">
        <v>828</v>
      </c>
    </row>
    <row r="11" spans="1:24" s="181" customFormat="1">
      <c r="A11" s="179" t="str">
        <f t="shared" ref="A11:A42" si="1">CONCATENATE($A$6,"-",E11)</f>
        <v>Commercial EM-Retro</v>
      </c>
      <c r="B11" s="182" t="str">
        <f t="shared" ref="B11:B42" si="2">CONCATENATE(A11,"-",D11)</f>
        <v>Commercial EM-Retro-Large Off</v>
      </c>
      <c r="C11" s="182" t="str">
        <f t="shared" ref="C11:C42" si="3">CONCATENATE(A11,"-",D11,"-",G11)</f>
        <v>Commercial EM-Retro-Large Off-GasHt</v>
      </c>
      <c r="D11" s="66" t="s">
        <v>148</v>
      </c>
      <c r="E11" s="66" t="s">
        <v>31</v>
      </c>
      <c r="F11" s="67" t="s">
        <v>192</v>
      </c>
      <c r="G11" s="67" t="s">
        <v>193</v>
      </c>
      <c r="H11" s="68">
        <f>'Measure Life'!C4</f>
        <v>5</v>
      </c>
      <c r="I11" s="69">
        <f t="shared" ref="I11:L30" si="4">VLOOKUP(I$9,V_PRE2013,$Q11,FALSE)</f>
        <v>0.20943280302167308</v>
      </c>
      <c r="J11" s="69">
        <f t="shared" si="4"/>
        <v>0.54037060186620078</v>
      </c>
      <c r="K11" s="69">
        <f t="shared" si="4"/>
        <v>0.25019659511212627</v>
      </c>
      <c r="L11" s="69">
        <f t="shared" si="4"/>
        <v>0.63007020528877222</v>
      </c>
      <c r="M11" s="183">
        <f>INDEX(Savings!$G$3:$I$24,MATCH(MMap!D11,Savings!$B$7:$B$24,0)+4,MATCH(G11,Savings!$G$4:$I$4,0))</f>
        <v>0.95630769230769219</v>
      </c>
      <c r="N11" s="183">
        <f>Savings!M7</f>
        <v>0.25096153846153846</v>
      </c>
      <c r="O11" s="70" t="str">
        <f>VLOOKUP(A11,[1]!STOCK,Q11,FALSE)</f>
        <v>_PRE2013</v>
      </c>
      <c r="P11" s="200">
        <f t="shared" ref="P11:P42" si="5">VLOOKUP(P$9,V_PRE2013,$Q11,FALSE)</f>
        <v>0.76889412716362515</v>
      </c>
      <c r="Q11" s="70">
        <f>MATCH(D11,[1]!BLDGTYPE,0)</f>
        <v>2</v>
      </c>
      <c r="R11" s="200">
        <f t="shared" ref="R11:S30" si="6">VLOOKUP(R$9,V_PRE2013,$Q11,FALSE)</f>
        <v>0.43937391922213881</v>
      </c>
      <c r="S11" s="200">
        <f t="shared" si="6"/>
        <v>9.6336650827114415E-2</v>
      </c>
      <c r="T11" s="261">
        <f t="shared" ref="T11:T42" si="7">M11*L11*INDEX($I$8:$K$118,ROW()-7,MATCH(G11,$I$8:$K$8))</f>
        <v>0.32559543417936854</v>
      </c>
      <c r="U11" s="188">
        <f>IF(G11="GasHt",VLOOKUP(MMap!D11,Savings!$B$7:$N$24,11,FALSE),0)</f>
        <v>3.9750000000000001E-2</v>
      </c>
      <c r="V11" s="188">
        <f>$M11*$L11*$V$8*HLOOKUP($G11,$I$8:$K$118,ROW()-7,FALSE)</f>
        <v>325.59543417936857</v>
      </c>
      <c r="W11" s="188">
        <f t="shared" ref="W11:W42" si="8">$N11*$L11*$W$8*HLOOKUP($G11,$I$8:$K$118,ROW()-7,FALSE)</f>
        <v>85.445230374050041</v>
      </c>
      <c r="X11" s="188">
        <f>U11*J11*L11*$X$8</f>
        <v>13.533738787981717</v>
      </c>
    </row>
    <row r="12" spans="1:24" s="201" customFormat="1">
      <c r="A12" s="179" t="str">
        <f t="shared" si="1"/>
        <v>Commercial EM-Retro</v>
      </c>
      <c r="B12" s="182" t="str">
        <f t="shared" si="2"/>
        <v>Commercial EM-Retro-Medium Off</v>
      </c>
      <c r="C12" s="182" t="str">
        <f t="shared" si="3"/>
        <v>Commercial EM-Retro-Medium Off-GasHt</v>
      </c>
      <c r="D12" s="71" t="s">
        <v>149</v>
      </c>
      <c r="E12" s="66" t="s">
        <v>31</v>
      </c>
      <c r="F12" s="67" t="s">
        <v>192</v>
      </c>
      <c r="G12" s="67" t="s">
        <v>193</v>
      </c>
      <c r="H12" s="68">
        <f>H11</f>
        <v>5</v>
      </c>
      <c r="I12" s="69">
        <f t="shared" si="4"/>
        <v>0.22131165109110185</v>
      </c>
      <c r="J12" s="69">
        <f t="shared" si="4"/>
        <v>0.51430081857580845</v>
      </c>
      <c r="K12" s="69">
        <f t="shared" si="4"/>
        <v>0.26438753033308959</v>
      </c>
      <c r="L12" s="69">
        <f t="shared" si="4"/>
        <v>9.3963931374592982E-2</v>
      </c>
      <c r="M12" s="183">
        <f>INDEX(Savings!$G$3:$I$24,MATCH(MMap!D12,Savings!$B$7:$B$24,0)+4,MATCH(G12,Savings!$G$4:$I$4,0))</f>
        <v>0.77169230769230757</v>
      </c>
      <c r="N12" s="183">
        <f>Savings!M8</f>
        <v>0.25096153846153846</v>
      </c>
      <c r="O12" s="70" t="str">
        <f>VLOOKUP(A12,[1]!STOCK,Q12,FALSE)</f>
        <v>_PRE2013</v>
      </c>
      <c r="P12" s="200">
        <f t="shared" si="5"/>
        <v>0.9156533727398849</v>
      </c>
      <c r="Q12" s="70">
        <f>MATCH(D12,[1]!BLDGTYPE,0)</f>
        <v>3</v>
      </c>
      <c r="R12" s="200">
        <f t="shared" si="6"/>
        <v>0.43063730719145626</v>
      </c>
      <c r="S12" s="200">
        <f t="shared" si="6"/>
        <v>9.4421070712341362E-2</v>
      </c>
      <c r="T12" s="261">
        <f t="shared" si="7"/>
        <v>3.7292591652604942E-2</v>
      </c>
      <c r="U12" s="188">
        <f>IF(G12="GasHt",VLOOKUP(MMap!D12,Savings!$B$7:$N$24,11,FALSE),0)</f>
        <v>3.9750000000000001E-2</v>
      </c>
      <c r="V12" s="188">
        <f t="shared" ref="V12:V43" si="9">M12*L12*$V$8*HLOOKUP(G12,$I$8:$K$118,ROW()-7,FALSE)</f>
        <v>37.292591652604941</v>
      </c>
      <c r="W12" s="188">
        <f t="shared" si="8"/>
        <v>12.127898750660252</v>
      </c>
      <c r="X12" s="188">
        <f t="shared" ref="X12:X75" si="10">U12*J12*L12*$X$8</f>
        <v>1.9209476411965321</v>
      </c>
    </row>
    <row r="13" spans="1:24" s="201" customFormat="1">
      <c r="A13" s="179" t="str">
        <f t="shared" si="1"/>
        <v>Commercial EM-Retro</v>
      </c>
      <c r="B13" s="182" t="str">
        <f t="shared" si="2"/>
        <v>Commercial EM-Retro-Small Off</v>
      </c>
      <c r="C13" s="182" t="str">
        <f t="shared" si="3"/>
        <v>Commercial EM-Retro-Small Off-GasHt</v>
      </c>
      <c r="D13" s="71" t="s">
        <v>150</v>
      </c>
      <c r="E13" s="66" t="s">
        <v>31</v>
      </c>
      <c r="F13" s="67" t="s">
        <v>192</v>
      </c>
      <c r="G13" s="67" t="s">
        <v>193</v>
      </c>
      <c r="H13" s="68">
        <f t="shared" ref="H13:H76" si="11">H12</f>
        <v>5</v>
      </c>
      <c r="I13" s="69">
        <f t="shared" si="4"/>
        <v>0.30640942705415353</v>
      </c>
      <c r="J13" s="69">
        <f t="shared" si="4"/>
        <v>0.3275419203320854</v>
      </c>
      <c r="K13" s="69">
        <f t="shared" si="4"/>
        <v>0.36604865261376096</v>
      </c>
      <c r="L13" s="69">
        <f t="shared" si="4"/>
        <v>2.9006395725036469E-2</v>
      </c>
      <c r="M13" s="183">
        <f>INDEX(Savings!$G$3:$I$24,MATCH(MMap!D13,Savings!$B$7:$B$24,0)+4,MATCH(G13,Savings!$G$4:$I$4,0))</f>
        <v>0.62399999999999989</v>
      </c>
      <c r="N13" s="183">
        <f>Savings!M9</f>
        <v>0.55769230769230771</v>
      </c>
      <c r="O13" s="70" t="str">
        <f>VLOOKUP(A13,[1]!STOCK,Q13,FALSE)</f>
        <v>_PRE2013</v>
      </c>
      <c r="P13" s="200">
        <f t="shared" si="5"/>
        <v>0.85579006639653332</v>
      </c>
      <c r="Q13" s="70">
        <f>MATCH(D13,[1]!BLDGTYPE,0)</f>
        <v>4</v>
      </c>
      <c r="R13" s="200">
        <f t="shared" si="6"/>
        <v>0.12998877358640493</v>
      </c>
      <c r="S13" s="200">
        <f t="shared" si="6"/>
        <v>2.8501198056107426E-2</v>
      </c>
      <c r="T13" s="261">
        <f t="shared" si="7"/>
        <v>5.9285057879990815E-3</v>
      </c>
      <c r="U13" s="188">
        <f>IF(G13="GasHt",VLOOKUP(MMap!D13,Savings!$B$7:$N$24,11,FALSE),0)</f>
        <v>3.9750000000000001E-2</v>
      </c>
      <c r="V13" s="188">
        <f t="shared" si="9"/>
        <v>5.9285057879990815</v>
      </c>
      <c r="W13" s="188">
        <f t="shared" si="8"/>
        <v>5.2985289648660432</v>
      </c>
      <c r="X13" s="188">
        <f t="shared" si="10"/>
        <v>0.37765721966821081</v>
      </c>
    </row>
    <row r="14" spans="1:24" s="201" customFormat="1">
      <c r="A14" s="179" t="str">
        <f t="shared" si="1"/>
        <v>Commercial EM-Retro</v>
      </c>
      <c r="B14" s="182" t="str">
        <f t="shared" si="2"/>
        <v>Commercial EM-Retro-Xlarge Ret</v>
      </c>
      <c r="C14" s="182" t="str">
        <f t="shared" si="3"/>
        <v>Commercial EM-Retro-Xlarge Ret-GasHt</v>
      </c>
      <c r="D14" s="71" t="s">
        <v>197</v>
      </c>
      <c r="E14" s="66" t="s">
        <v>31</v>
      </c>
      <c r="F14" s="67" t="s">
        <v>192</v>
      </c>
      <c r="G14" s="67" t="s">
        <v>193</v>
      </c>
      <c r="H14" s="68">
        <f t="shared" si="11"/>
        <v>5</v>
      </c>
      <c r="I14" s="69">
        <f t="shared" si="4"/>
        <v>5.2995881766435368E-2</v>
      </c>
      <c r="J14" s="69">
        <f t="shared" si="4"/>
        <v>0.91606730000738101</v>
      </c>
      <c r="K14" s="69">
        <f t="shared" si="4"/>
        <v>3.0936818226183656E-2</v>
      </c>
      <c r="L14" s="69">
        <f t="shared" si="4"/>
        <v>3.9164397027771525E-2</v>
      </c>
      <c r="M14" s="183">
        <f>INDEX(Savings!$G$3:$I$24,MATCH(MMap!D14,Savings!$B$7:$B$24,0)+4,MATCH(G14,Savings!$G$4:$I$4,0))</f>
        <v>0.77169230769230757</v>
      </c>
      <c r="N14" s="183">
        <f>Savings!M10</f>
        <v>0.25096153846153846</v>
      </c>
      <c r="O14" s="70" t="str">
        <f>VLOOKUP(A14,[1]!STOCK,Q14,FALSE)</f>
        <v>_PRE2013</v>
      </c>
      <c r="P14" s="200">
        <f t="shared" si="5"/>
        <v>0.95160006380782447</v>
      </c>
      <c r="Q14" s="70">
        <f>MATCH(D14,[1]!BLDGTYPE,0)</f>
        <v>5</v>
      </c>
      <c r="R14" s="200">
        <f t="shared" si="6"/>
        <v>0.23462323739305441</v>
      </c>
      <c r="S14" s="200">
        <f t="shared" si="6"/>
        <v>3.999473857861454E-2</v>
      </c>
      <c r="T14" s="188">
        <f t="shared" si="7"/>
        <v>2.7686177351277715E-2</v>
      </c>
      <c r="U14" s="188">
        <f>IF(G14="GasHt",VLOOKUP(MMap!D14,Savings!$B$7:$N$24,11,FALSE),0)</f>
        <v>4.2694444444444445E-2</v>
      </c>
      <c r="V14" s="188">
        <f t="shared" si="9"/>
        <v>27.686177351277713</v>
      </c>
      <c r="W14" s="188">
        <f t="shared" si="8"/>
        <v>9.0038031906442928</v>
      </c>
      <c r="X14" s="188">
        <f t="shared" si="10"/>
        <v>1.5317581230503501</v>
      </c>
    </row>
    <row r="15" spans="1:24" s="201" customFormat="1">
      <c r="A15" s="179" t="str">
        <f t="shared" si="1"/>
        <v>Commercial EM-Retro</v>
      </c>
      <c r="B15" s="182" t="str">
        <f t="shared" si="2"/>
        <v>Commercial EM-Retro-Large Ret</v>
      </c>
      <c r="C15" s="182" t="str">
        <f t="shared" si="3"/>
        <v>Commercial EM-Retro-Large Ret-GasHt</v>
      </c>
      <c r="D15" s="71" t="s">
        <v>169</v>
      </c>
      <c r="E15" s="66" t="s">
        <v>31</v>
      </c>
      <c r="F15" s="67" t="s">
        <v>192</v>
      </c>
      <c r="G15" s="67" t="s">
        <v>193</v>
      </c>
      <c r="H15" s="68">
        <f t="shared" si="11"/>
        <v>5</v>
      </c>
      <c r="I15" s="69">
        <f t="shared" si="4"/>
        <v>1.0593107738682607E-2</v>
      </c>
      <c r="J15" s="69">
        <f t="shared" si="4"/>
        <v>0.98322307122393326</v>
      </c>
      <c r="K15" s="69">
        <f t="shared" si="4"/>
        <v>6.1838210373840949E-3</v>
      </c>
      <c r="L15" s="69">
        <f t="shared" si="4"/>
        <v>0.25776672816535129</v>
      </c>
      <c r="M15" s="183">
        <f>INDEX(Savings!$G$3:$I$24,MATCH(MMap!D15,Savings!$B$7:$B$24,0)+4,MATCH(G15,Savings!$G$4:$I$4,0))</f>
        <v>0.84923076923076912</v>
      </c>
      <c r="N15" s="183">
        <f>Savings!M11</f>
        <v>0.55769230769230771</v>
      </c>
      <c r="O15" s="70" t="str">
        <f>VLOOKUP(A15,[1]!STOCK,Q15,FALSE)</f>
        <v>_PRE2013</v>
      </c>
      <c r="P15" s="200">
        <f t="shared" si="5"/>
        <v>0.98526989662125641</v>
      </c>
      <c r="Q15" s="70">
        <f>MATCH(D15,[1]!BLDGTYPE,0)</f>
        <v>6</v>
      </c>
      <c r="R15" s="200">
        <f t="shared" si="6"/>
        <v>5.5262096022427078E-2</v>
      </c>
      <c r="S15" s="200">
        <f t="shared" si="6"/>
        <v>9.4201798094731004E-3</v>
      </c>
      <c r="T15" s="188">
        <f t="shared" si="7"/>
        <v>0.21523090947322607</v>
      </c>
      <c r="U15" s="188">
        <f>IF(G15="GasHt",VLOOKUP(MMap!D15,Savings!$B$7:$N$24,11,FALSE),0)</f>
        <v>4.2694444444444445E-2</v>
      </c>
      <c r="V15" s="188">
        <f t="shared" si="9"/>
        <v>215.23090947322603</v>
      </c>
      <c r="W15" s="188">
        <f t="shared" si="8"/>
        <v>141.34276210877621</v>
      </c>
      <c r="X15" s="188">
        <f t="shared" si="10"/>
        <v>10.820573676994087</v>
      </c>
    </row>
    <row r="16" spans="1:24" s="201" customFormat="1">
      <c r="A16" s="179" t="str">
        <f t="shared" si="1"/>
        <v>Commercial EM-Retro</v>
      </c>
      <c r="B16" s="182" t="str">
        <f t="shared" si="2"/>
        <v>Commercial EM-Retro-Medium Ret</v>
      </c>
      <c r="C16" s="182" t="str">
        <f t="shared" si="3"/>
        <v>Commercial EM-Retro-Medium Ret-GasHt</v>
      </c>
      <c r="D16" s="71" t="s">
        <v>168</v>
      </c>
      <c r="E16" s="66" t="s">
        <v>31</v>
      </c>
      <c r="F16" s="67" t="s">
        <v>192</v>
      </c>
      <c r="G16" s="67" t="s">
        <v>193</v>
      </c>
      <c r="H16" s="68">
        <f t="shared" si="11"/>
        <v>5</v>
      </c>
      <c r="I16" s="69">
        <f t="shared" si="4"/>
        <v>0.12006240959495594</v>
      </c>
      <c r="J16" s="69">
        <f t="shared" si="4"/>
        <v>0.80985008893074606</v>
      </c>
      <c r="K16" s="69">
        <f t="shared" si="4"/>
        <v>7.0087501474297986E-2</v>
      </c>
      <c r="L16" s="69">
        <f t="shared" si="4"/>
        <v>2.7574670878248778E-2</v>
      </c>
      <c r="M16" s="183">
        <f>INDEX(Savings!$G$3:$I$24,MATCH(MMap!D16,Savings!$B$7:$B$24,0)+4,MATCH(G16,Savings!$G$4:$I$4,0))</f>
        <v>1.1815384615384614</v>
      </c>
      <c r="N16" s="183">
        <f>Savings!M12</f>
        <v>0.55769230769230771</v>
      </c>
      <c r="O16" s="70" t="str">
        <f>VLOOKUP(A16,[1]!STOCK,Q16,FALSE)</f>
        <v>_PRE2013</v>
      </c>
      <c r="P16" s="200">
        <f t="shared" si="5"/>
        <v>0.65234151837252696</v>
      </c>
      <c r="Q16" s="70">
        <f>MATCH(D16,[1]!BLDGTYPE,0)</f>
        <v>7</v>
      </c>
      <c r="R16" s="200">
        <f t="shared" si="6"/>
        <v>0.60637878991755256</v>
      </c>
      <c r="S16" s="200">
        <f t="shared" si="6"/>
        <v>0.10336555514209726</v>
      </c>
      <c r="T16" s="188">
        <f t="shared" si="7"/>
        <v>2.6385348524881714E-2</v>
      </c>
      <c r="U16" s="188">
        <f>IF(G16="GasHt",VLOOKUP(MMap!D16,Savings!$B$7:$N$24,11,FALSE),0)</f>
        <v>4.2694444444444445E-2</v>
      </c>
      <c r="V16" s="188">
        <f t="shared" si="9"/>
        <v>26.385348524881717</v>
      </c>
      <c r="W16" s="188">
        <f t="shared" si="8"/>
        <v>12.454021927434404</v>
      </c>
      <c r="X16" s="188">
        <f t="shared" si="10"/>
        <v>0.95342456755581151</v>
      </c>
    </row>
    <row r="17" spans="1:24" s="201" customFormat="1">
      <c r="A17" s="179" t="str">
        <f t="shared" si="1"/>
        <v>Commercial EM-Retro</v>
      </c>
      <c r="B17" s="182" t="str">
        <f t="shared" si="2"/>
        <v>Commercial EM-Retro-Small Ret</v>
      </c>
      <c r="C17" s="182" t="str">
        <f t="shared" si="3"/>
        <v>Commercial EM-Retro-Small Ret-GasHt</v>
      </c>
      <c r="D17" s="71" t="s">
        <v>170</v>
      </c>
      <c r="E17" s="66" t="s">
        <v>31</v>
      </c>
      <c r="F17" s="67" t="s">
        <v>192</v>
      </c>
      <c r="G17" s="67" t="s">
        <v>193</v>
      </c>
      <c r="H17" s="68">
        <f t="shared" si="11"/>
        <v>5</v>
      </c>
      <c r="I17" s="69">
        <f t="shared" si="4"/>
        <v>0.2732917310450087</v>
      </c>
      <c r="J17" s="69">
        <f t="shared" si="4"/>
        <v>0.56717178566142912</v>
      </c>
      <c r="K17" s="69">
        <f t="shared" si="4"/>
        <v>0.15953648329356207</v>
      </c>
      <c r="L17" s="69">
        <f t="shared" si="4"/>
        <v>0.10146503328904084</v>
      </c>
      <c r="M17" s="183">
        <f>INDEX(Savings!$G$3:$I$24,MATCH(MMap!D17,Savings!$B$7:$B$24,0)+4,MATCH(G17,Savings!$G$4:$I$4,0))</f>
        <v>1.2369230769230766</v>
      </c>
      <c r="N17" s="183">
        <f>Savings!M13</f>
        <v>0.25096153846153846</v>
      </c>
      <c r="O17" s="70" t="str">
        <f>VLOOKUP(A17,[1]!STOCK,Q17,FALSE)</f>
        <v>_PRE2013</v>
      </c>
      <c r="P17" s="200">
        <f t="shared" si="5"/>
        <v>0.66014461756611731</v>
      </c>
      <c r="Q17" s="70">
        <f>MATCH(D17,[1]!BLDGTYPE,0)</f>
        <v>8</v>
      </c>
      <c r="R17" s="200">
        <f t="shared" si="6"/>
        <v>0.10373587666696588</v>
      </c>
      <c r="S17" s="200">
        <f t="shared" si="6"/>
        <v>1.7683198453051097E-2</v>
      </c>
      <c r="T17" s="188">
        <f t="shared" si="7"/>
        <v>7.1182578010221945E-2</v>
      </c>
      <c r="U17" s="188">
        <f>IF(G17="GasHt",VLOOKUP(MMap!D17,Savings!$B$7:$N$24,11,FALSE),0)</f>
        <v>4.2694444444444445E-2</v>
      </c>
      <c r="V17" s="188">
        <f t="shared" si="9"/>
        <v>71.182578010221945</v>
      </c>
      <c r="W17" s="188">
        <f t="shared" si="8"/>
        <v>14.442360743678432</v>
      </c>
      <c r="X17" s="188">
        <f t="shared" si="10"/>
        <v>2.4569843339245527</v>
      </c>
    </row>
    <row r="18" spans="1:24" s="201" customFormat="1">
      <c r="A18" s="179" t="str">
        <f t="shared" si="1"/>
        <v>Commercial EM-Retro</v>
      </c>
      <c r="B18" s="182" t="str">
        <f t="shared" si="2"/>
        <v>Commercial EM-Retro-School K-12</v>
      </c>
      <c r="C18" s="182" t="str">
        <f t="shared" si="3"/>
        <v>Commercial EM-Retro-School K-12-GasHt</v>
      </c>
      <c r="D18" s="71" t="s">
        <v>171</v>
      </c>
      <c r="E18" s="66" t="s">
        <v>31</v>
      </c>
      <c r="F18" s="67" t="s">
        <v>192</v>
      </c>
      <c r="G18" s="67" t="s">
        <v>193</v>
      </c>
      <c r="H18" s="68">
        <f t="shared" si="11"/>
        <v>5</v>
      </c>
      <c r="I18" s="69">
        <f t="shared" si="4"/>
        <v>5.8369343906151915E-2</v>
      </c>
      <c r="J18" s="69">
        <f t="shared" si="4"/>
        <v>0.84777782221188291</v>
      </c>
      <c r="K18" s="69">
        <f t="shared" si="4"/>
        <v>9.3852833881965178E-2</v>
      </c>
      <c r="L18" s="69">
        <f t="shared" si="4"/>
        <v>0.29515325476216947</v>
      </c>
      <c r="M18" s="183">
        <f>INDEX(Savings!$G$3:$I$24,MATCH(MMap!D18,Savings!$B$7:$B$24,0)+4,MATCH(G18,Savings!$G$4:$I$4,0))</f>
        <v>0.57230769230769218</v>
      </c>
      <c r="N18" s="183">
        <f>Savings!M14</f>
        <v>0.27884615384615385</v>
      </c>
      <c r="O18" s="70" t="str">
        <f>VLOOKUP(A18,[1]!STOCK,Q18,FALSE)</f>
        <v>_PRE2013</v>
      </c>
      <c r="P18" s="200">
        <f t="shared" si="5"/>
        <v>0.69618308739231149</v>
      </c>
      <c r="Q18" s="70">
        <f>MATCH(D18,[1]!BLDGTYPE,0)</f>
        <v>9</v>
      </c>
      <c r="R18" s="200">
        <f t="shared" si="6"/>
        <v>0.66429751499430445</v>
      </c>
      <c r="S18" s="200">
        <f t="shared" si="6"/>
        <v>7.3255633922263544E-2</v>
      </c>
      <c r="T18" s="188">
        <f t="shared" si="7"/>
        <v>0.14320533950347666</v>
      </c>
      <c r="U18" s="188">
        <f>IF(G18="GasHt",VLOOKUP(MMap!D18,Savings!$B$7:$N$24,11,FALSE),0)</f>
        <v>4.2694444444444445E-2</v>
      </c>
      <c r="V18" s="188">
        <f t="shared" si="9"/>
        <v>143.20533950347667</v>
      </c>
      <c r="W18" s="188">
        <f t="shared" si="8"/>
        <v>69.774106948938581</v>
      </c>
      <c r="X18" s="188">
        <f t="shared" si="10"/>
        <v>10.683191041737484</v>
      </c>
    </row>
    <row r="19" spans="1:24" s="201" customFormat="1">
      <c r="A19" s="179" t="str">
        <f t="shared" si="1"/>
        <v>Commercial EM-Retro</v>
      </c>
      <c r="B19" s="182" t="str">
        <f t="shared" si="2"/>
        <v>Commercial EM-Retro-University</v>
      </c>
      <c r="C19" s="182" t="str">
        <f t="shared" si="3"/>
        <v>Commercial EM-Retro-University-GasHt</v>
      </c>
      <c r="D19" s="71" t="s">
        <v>155</v>
      </c>
      <c r="E19" s="66" t="s">
        <v>31</v>
      </c>
      <c r="F19" s="67" t="s">
        <v>192</v>
      </c>
      <c r="G19" s="67" t="s">
        <v>193</v>
      </c>
      <c r="H19" s="68">
        <f t="shared" si="11"/>
        <v>5</v>
      </c>
      <c r="I19" s="69">
        <f t="shared" si="4"/>
        <v>0.1</v>
      </c>
      <c r="J19" s="69">
        <f t="shared" si="4"/>
        <v>0.8</v>
      </c>
      <c r="K19" s="69">
        <f t="shared" si="4"/>
        <v>0.1</v>
      </c>
      <c r="L19" s="69">
        <f t="shared" si="4"/>
        <v>0.77756785592800526</v>
      </c>
      <c r="M19" s="183">
        <f>INDEX(Savings!$G$3:$I$24,MATCH(MMap!D19,Savings!$B$7:$B$24,0)+4,MATCH(G19,Savings!$G$4:$I$4,0))</f>
        <v>0.94153846153846144</v>
      </c>
      <c r="N19" s="183">
        <f>Savings!M15</f>
        <v>0.27884615384615385</v>
      </c>
      <c r="O19" s="70" t="str">
        <f>VLOOKUP(A19,[1]!STOCK,Q19,FALSE)</f>
        <v>_PRE2013</v>
      </c>
      <c r="P19" s="200">
        <f t="shared" si="5"/>
        <v>0.75</v>
      </c>
      <c r="Q19" s="70">
        <f>MATCH(D19,[1]!BLDGTYPE,0)</f>
        <v>10</v>
      </c>
      <c r="R19" s="200">
        <f t="shared" si="6"/>
        <v>0.33570248500569549</v>
      </c>
      <c r="S19" s="200">
        <f t="shared" si="6"/>
        <v>3.701970546823774E-2</v>
      </c>
      <c r="T19" s="188">
        <f t="shared" si="7"/>
        <v>0.58568803424977134</v>
      </c>
      <c r="U19" s="188">
        <f>IF(G19="GasHt",VLOOKUP(MMap!D19,Savings!$B$7:$N$24,11,FALSE),0)</f>
        <v>4.2694444444444445E-2</v>
      </c>
      <c r="V19" s="188">
        <f t="shared" si="9"/>
        <v>585.68803424977136</v>
      </c>
      <c r="W19" s="188">
        <f t="shared" si="8"/>
        <v>173.45744478393965</v>
      </c>
      <c r="X19" s="188">
        <f t="shared" si="10"/>
        <v>26.558262101363201</v>
      </c>
    </row>
    <row r="20" spans="1:24" s="201" customFormat="1">
      <c r="A20" s="179" t="str">
        <f t="shared" si="1"/>
        <v>Commercial EM-Retro</v>
      </c>
      <c r="B20" s="182" t="str">
        <f t="shared" si="2"/>
        <v>Commercial EM-Retro-Warehouse</v>
      </c>
      <c r="C20" s="182" t="str">
        <f t="shared" si="3"/>
        <v>Commercial EM-Retro-Warehouse-GasHt</v>
      </c>
      <c r="D20" s="71" t="s">
        <v>10</v>
      </c>
      <c r="E20" s="66" t="s">
        <v>31</v>
      </c>
      <c r="F20" s="67" t="s">
        <v>192</v>
      </c>
      <c r="G20" s="67" t="s">
        <v>193</v>
      </c>
      <c r="H20" s="68">
        <f t="shared" si="11"/>
        <v>5</v>
      </c>
      <c r="I20" s="69">
        <f t="shared" si="4"/>
        <v>6.3929137015483993E-3</v>
      </c>
      <c r="J20" s="69">
        <f t="shared" si="4"/>
        <v>0.98700382329725422</v>
      </c>
      <c r="K20" s="69">
        <f t="shared" si="4"/>
        <v>6.6032630011973147E-3</v>
      </c>
      <c r="L20" s="69">
        <f t="shared" si="4"/>
        <v>0.13082984106717208</v>
      </c>
      <c r="M20" s="183">
        <f>INDEX(Savings!$G$3:$I$24,MATCH(MMap!D20,Savings!$B$7:$B$24,0)+4,MATCH(G20,Savings!$G$4:$I$4,0))</f>
        <v>0.20307692307692307</v>
      </c>
      <c r="N20" s="183">
        <f>Savings!M16</f>
        <v>0.11153846153846154</v>
      </c>
      <c r="O20" s="70" t="str">
        <f>VLOOKUP(A20,[1]!STOCK,Q20,FALSE)</f>
        <v>_PRE2013</v>
      </c>
      <c r="P20" s="200">
        <f t="shared" si="5"/>
        <v>0.23</v>
      </c>
      <c r="Q20" s="70">
        <f>MATCH(D20,[1]!BLDGTYPE,0)</f>
        <v>11</v>
      </c>
      <c r="R20" s="200">
        <f t="shared" si="6"/>
        <v>1</v>
      </c>
      <c r="S20" s="200">
        <f t="shared" si="6"/>
        <v>0.13203580856943528</v>
      </c>
      <c r="T20" s="188">
        <f t="shared" si="7"/>
        <v>2.622323236950241E-2</v>
      </c>
      <c r="U20" s="188">
        <f>IF(G20="GasHt",VLOOKUP(MMap!D20,Savings!$B$7:$N$24,11,FALSE),0)</f>
        <v>2.5027777777777781E-2</v>
      </c>
      <c r="V20" s="188">
        <f t="shared" si="9"/>
        <v>26.223232369502409</v>
      </c>
      <c r="W20" s="188">
        <f t="shared" si="8"/>
        <v>14.402911718097915</v>
      </c>
      <c r="X20" s="188">
        <f t="shared" si="10"/>
        <v>3.2318257654038485</v>
      </c>
    </row>
    <row r="21" spans="1:24" s="201" customFormat="1">
      <c r="A21" s="179" t="str">
        <f t="shared" si="1"/>
        <v>Commercial EM-Retro</v>
      </c>
      <c r="B21" s="182" t="str">
        <f t="shared" si="2"/>
        <v>Commercial EM-Retro-Supermarket</v>
      </c>
      <c r="C21" s="182" t="str">
        <f t="shared" si="3"/>
        <v>Commercial EM-Retro-Supermarket-GasHt</v>
      </c>
      <c r="D21" s="71" t="s">
        <v>158</v>
      </c>
      <c r="E21" s="66" t="s">
        <v>31</v>
      </c>
      <c r="F21" s="67" t="s">
        <v>192</v>
      </c>
      <c r="G21" s="67" t="s">
        <v>193</v>
      </c>
      <c r="H21" s="68">
        <f t="shared" si="11"/>
        <v>5</v>
      </c>
      <c r="I21" s="69">
        <f t="shared" si="4"/>
        <v>3.9182634298973458E-2</v>
      </c>
      <c r="J21" s="69">
        <f t="shared" si="4"/>
        <v>0.46957192737561176</v>
      </c>
      <c r="K21" s="69">
        <f t="shared" si="4"/>
        <v>6.234756715808213E-2</v>
      </c>
      <c r="L21" s="69">
        <f t="shared" si="4"/>
        <v>7.1447125331852143E-2</v>
      </c>
      <c r="M21" s="183">
        <f>INDEX(Savings!$G$3:$I$24,MATCH(MMap!D21,Savings!$B$7:$B$24,0)+4,MATCH(G21,Savings!$G$4:$I$4,0))</f>
        <v>1.4030769230769229</v>
      </c>
      <c r="N21" s="183">
        <f>Savings!M17</f>
        <v>0.33461538461538459</v>
      </c>
      <c r="O21" s="70" t="str">
        <f>VLOOKUP(A21,[1]!STOCK,Q21,FALSE)</f>
        <v>_PRE2013</v>
      </c>
      <c r="P21" s="200">
        <f t="shared" si="5"/>
        <v>0.89440943169321674</v>
      </c>
      <c r="Q21" s="70">
        <f>MATCH(D21,[1]!BLDGTYPE,0)</f>
        <v>12</v>
      </c>
      <c r="R21" s="200">
        <f t="shared" si="6"/>
        <v>0.84840559081310307</v>
      </c>
      <c r="S21" s="200">
        <f t="shared" si="6"/>
        <v>1.9535504789016944E-2</v>
      </c>
      <c r="T21" s="188">
        <f t="shared" si="7"/>
        <v>4.7072619515296198E-2</v>
      </c>
      <c r="U21" s="188">
        <f>IF(G21="GasHt",VLOOKUP(MMap!D21,Savings!$B$7:$N$24,11,FALSE),0)</f>
        <v>7.3611111111111113E-2</v>
      </c>
      <c r="V21" s="188">
        <f t="shared" si="9"/>
        <v>47.072619515296196</v>
      </c>
      <c r="W21" s="188">
        <f t="shared" si="8"/>
        <v>11.226200377825572</v>
      </c>
      <c r="X21" s="188">
        <f t="shared" si="10"/>
        <v>2.4696207089150133</v>
      </c>
    </row>
    <row r="22" spans="1:24" s="201" customFormat="1">
      <c r="A22" s="179" t="str">
        <f t="shared" si="1"/>
        <v>Commercial EM-Retro</v>
      </c>
      <c r="B22" s="182" t="str">
        <f t="shared" si="2"/>
        <v>Commercial EM-Retro-MiniMart</v>
      </c>
      <c r="C22" s="182" t="str">
        <f t="shared" si="3"/>
        <v>Commercial EM-Retro-MiniMart-GasHt</v>
      </c>
      <c r="D22" s="71" t="s">
        <v>196</v>
      </c>
      <c r="E22" s="66" t="s">
        <v>31</v>
      </c>
      <c r="F22" s="67" t="s">
        <v>192</v>
      </c>
      <c r="G22" s="67" t="s">
        <v>193</v>
      </c>
      <c r="H22" s="68">
        <f t="shared" si="11"/>
        <v>5</v>
      </c>
      <c r="I22" s="69">
        <f t="shared" si="4"/>
        <v>9.8940421863423066E-3</v>
      </c>
      <c r="J22" s="69">
        <f t="shared" si="4"/>
        <v>0.86606113087441317</v>
      </c>
      <c r="K22" s="69">
        <f t="shared" si="4"/>
        <v>1.5743440192688529E-2</v>
      </c>
      <c r="L22" s="69">
        <f t="shared" si="4"/>
        <v>0</v>
      </c>
      <c r="M22" s="183">
        <f>INDEX(Savings!$G$3:$I$24,MATCH(MMap!D22,Savings!$B$7:$B$24,0)+4,MATCH(G22,Savings!$G$4:$I$4,0))</f>
        <v>1.8646153846153843</v>
      </c>
      <c r="N22" s="183">
        <f>Savings!M18</f>
        <v>0.55769230769230771</v>
      </c>
      <c r="O22" s="70" t="str">
        <f>VLOOKUP(A22,[1]!STOCK,Q22,FALSE)</f>
        <v>_PRE2013</v>
      </c>
      <c r="P22" s="200">
        <f t="shared" si="5"/>
        <v>0.91392039395838554</v>
      </c>
      <c r="Q22" s="70">
        <f>MATCH(D22,[1]!BLDGTYPE,0)</f>
        <v>13</v>
      </c>
      <c r="R22" s="200">
        <f t="shared" si="6"/>
        <v>0.15159440918689687</v>
      </c>
      <c r="S22" s="200">
        <f t="shared" si="6"/>
        <v>3.4906338887047794E-3</v>
      </c>
      <c r="T22" s="188">
        <f t="shared" si="7"/>
        <v>0</v>
      </c>
      <c r="U22" s="188">
        <f>IF(G22="GasHt",VLOOKUP(MMap!D22,Savings!$B$7:$N$24,11,FALSE),0)</f>
        <v>7.3611111111111113E-2</v>
      </c>
      <c r="V22" s="188">
        <f t="shared" si="9"/>
        <v>0</v>
      </c>
      <c r="W22" s="188">
        <f t="shared" si="8"/>
        <v>0</v>
      </c>
      <c r="X22" s="188">
        <f t="shared" si="10"/>
        <v>0</v>
      </c>
    </row>
    <row r="23" spans="1:24" s="201" customFormat="1">
      <c r="A23" s="179" t="str">
        <f t="shared" si="1"/>
        <v>Commercial EM-Retro</v>
      </c>
      <c r="B23" s="182" t="str">
        <f t="shared" si="2"/>
        <v>Commercial EM-Retro-Restaurant</v>
      </c>
      <c r="C23" s="182" t="str">
        <f t="shared" si="3"/>
        <v>Commercial EM-Retro-Restaurant-GasHt</v>
      </c>
      <c r="D23" s="71" t="s">
        <v>161</v>
      </c>
      <c r="E23" s="66" t="s">
        <v>31</v>
      </c>
      <c r="F23" s="67" t="s">
        <v>192</v>
      </c>
      <c r="G23" s="67" t="s">
        <v>193</v>
      </c>
      <c r="H23" s="68">
        <f t="shared" si="11"/>
        <v>5</v>
      </c>
      <c r="I23" s="69">
        <f t="shared" si="4"/>
        <v>3.0050555941853869E-2</v>
      </c>
      <c r="J23" s="69">
        <f t="shared" si="4"/>
        <v>0.79365284945968273</v>
      </c>
      <c r="K23" s="69">
        <f t="shared" si="4"/>
        <v>0.17629659459846331</v>
      </c>
      <c r="L23" s="69">
        <f t="shared" si="4"/>
        <v>2.3525905182962954E-2</v>
      </c>
      <c r="M23" s="183">
        <f>INDEX(Savings!$G$3:$I$24,MATCH(MMap!D23,Savings!$B$7:$B$24,0)+4,MATCH(G23,Savings!$G$4:$I$4,0))</f>
        <v>1.8646153846153843</v>
      </c>
      <c r="N23" s="183">
        <f>Savings!M19</f>
        <v>0.55769230769230771</v>
      </c>
      <c r="O23" s="70" t="str">
        <f>VLOOKUP(A23,[1]!STOCK,Q23,FALSE)</f>
        <v>_PRE2013</v>
      </c>
      <c r="P23" s="200">
        <f t="shared" si="5"/>
        <v>0.9581056413122655</v>
      </c>
      <c r="Q23" s="70">
        <f>MATCH(D23,[1]!BLDGTYPE,0)</f>
        <v>14</v>
      </c>
      <c r="R23" s="200">
        <f t="shared" si="6"/>
        <v>1</v>
      </c>
      <c r="S23" s="200">
        <f t="shared" si="6"/>
        <v>1.5835296654172451E-2</v>
      </c>
      <c r="T23" s="188">
        <f t="shared" si="7"/>
        <v>3.4814982833395625E-2</v>
      </c>
      <c r="U23" s="188">
        <f>IF(G23="GasHt",VLOOKUP(MMap!D23,Savings!$B$7:$N$24,11,FALSE),0)</f>
        <v>7.3611111111111113E-2</v>
      </c>
      <c r="V23" s="188">
        <f t="shared" si="9"/>
        <v>34.814982833395625</v>
      </c>
      <c r="W23" s="188">
        <f t="shared" si="8"/>
        <v>10.412897093321714</v>
      </c>
      <c r="X23" s="188">
        <f t="shared" si="10"/>
        <v>1.3744226240035748</v>
      </c>
    </row>
    <row r="24" spans="1:24" s="201" customFormat="1">
      <c r="A24" s="179" t="str">
        <f t="shared" si="1"/>
        <v>Commercial EM-Retro</v>
      </c>
      <c r="B24" s="182" t="str">
        <f t="shared" si="2"/>
        <v>Commercial EM-Retro-Lodging</v>
      </c>
      <c r="C24" s="182" t="str">
        <f t="shared" si="3"/>
        <v>Commercial EM-Retro-Lodging-GasHt</v>
      </c>
      <c r="D24" s="71" t="s">
        <v>5</v>
      </c>
      <c r="E24" s="66" t="s">
        <v>31</v>
      </c>
      <c r="F24" s="67" t="s">
        <v>192</v>
      </c>
      <c r="G24" s="67" t="s">
        <v>193</v>
      </c>
      <c r="H24" s="68">
        <f t="shared" si="11"/>
        <v>5</v>
      </c>
      <c r="I24" s="69">
        <f t="shared" si="4"/>
        <v>0.44679184687802564</v>
      </c>
      <c r="J24" s="69">
        <f t="shared" si="4"/>
        <v>0.24941748529786834</v>
      </c>
      <c r="K24" s="69">
        <f t="shared" si="4"/>
        <v>0.30379066782410608</v>
      </c>
      <c r="L24" s="69">
        <f t="shared" si="4"/>
        <v>7.934694377848886E-2</v>
      </c>
      <c r="M24" s="183">
        <f>INDEX(Savings!$G$3:$I$24,MATCH(MMap!D24,Savings!$B$7:$B$24,0)+4,MATCH(G24,Savings!$G$4:$I$4,0))</f>
        <v>0.94153846153846144</v>
      </c>
      <c r="N24" s="183">
        <f>Savings!M20</f>
        <v>0.25096153846153846</v>
      </c>
      <c r="O24" s="70" t="str">
        <f>VLOOKUP(A24,[1]!STOCK,Q24,FALSE)</f>
        <v>_PRE2013</v>
      </c>
      <c r="P24" s="200">
        <f t="shared" si="5"/>
        <v>0.82644591140120194</v>
      </c>
      <c r="Q24" s="70">
        <f>MATCH(D24,[1]!BLDGTYPE,0)</f>
        <v>15</v>
      </c>
      <c r="R24" s="200">
        <f t="shared" si="6"/>
        <v>1</v>
      </c>
      <c r="S24" s="200">
        <f t="shared" si="6"/>
        <v>5.1068065124091046E-2</v>
      </c>
      <c r="T24" s="188">
        <f t="shared" si="7"/>
        <v>1.8633531218739757E-2</v>
      </c>
      <c r="U24" s="188">
        <f>IF(G24="GasHt",VLOOKUP(MMap!D24,Savings!$B$7:$N$24,11,FALSE),0)</f>
        <v>4.4166666666666667E-2</v>
      </c>
      <c r="V24" s="188">
        <f t="shared" si="9"/>
        <v>18.633531218739755</v>
      </c>
      <c r="W24" s="188">
        <f t="shared" si="8"/>
        <v>4.9666581373479124</v>
      </c>
      <c r="X24" s="188">
        <f t="shared" si="10"/>
        <v>0.87408108726250633</v>
      </c>
    </row>
    <row r="25" spans="1:24" s="201" customFormat="1">
      <c r="A25" s="179" t="str">
        <f t="shared" si="1"/>
        <v>Commercial EM-Retro</v>
      </c>
      <c r="B25" s="182" t="str">
        <f t="shared" si="2"/>
        <v>Commercial EM-Retro-Hospital</v>
      </c>
      <c r="C25" s="182" t="str">
        <f t="shared" si="3"/>
        <v>Commercial EM-Retro-Hospital-GasHt</v>
      </c>
      <c r="D25" s="71" t="s">
        <v>164</v>
      </c>
      <c r="E25" s="66" t="s">
        <v>31</v>
      </c>
      <c r="F25" s="67" t="s">
        <v>192</v>
      </c>
      <c r="G25" s="67" t="s">
        <v>193</v>
      </c>
      <c r="H25" s="68">
        <f t="shared" si="11"/>
        <v>5</v>
      </c>
      <c r="I25" s="69">
        <f t="shared" si="4"/>
        <v>0.08</v>
      </c>
      <c r="J25" s="69">
        <f t="shared" si="4"/>
        <v>0.91</v>
      </c>
      <c r="K25" s="69">
        <f t="shared" si="4"/>
        <v>0.01</v>
      </c>
      <c r="L25" s="69">
        <f t="shared" si="4"/>
        <v>0.85339696790936803</v>
      </c>
      <c r="M25" s="183">
        <f>INDEX(Savings!$G$3:$I$24,MATCH(MMap!D25,Savings!$B$7:$B$24,0)+4,MATCH(G25,Savings!$G$4:$I$4,0))</f>
        <v>1.6984615384615382</v>
      </c>
      <c r="N25" s="183">
        <f>Savings!M21</f>
        <v>0.27884615384615385</v>
      </c>
      <c r="O25" s="70" t="str">
        <f>VLOOKUP(A25,[1]!STOCK,Q25,FALSE)</f>
        <v>_PRE2013</v>
      </c>
      <c r="P25" s="200">
        <f t="shared" si="5"/>
        <v>0.95</v>
      </c>
      <c r="Q25" s="70">
        <f>MATCH(D25,[1]!BLDGTYPE,0)</f>
        <v>16</v>
      </c>
      <c r="R25" s="200">
        <f t="shared" si="6"/>
        <v>1</v>
      </c>
      <c r="S25" s="200">
        <f t="shared" si="6"/>
        <v>3.0978070527759683E-2</v>
      </c>
      <c r="T25" s="188">
        <f t="shared" si="7"/>
        <v>1.3190103536007192</v>
      </c>
      <c r="U25" s="188">
        <f>IF(G25="GasHt",VLOOKUP(MMap!D25,Savings!$B$7:$N$24,11,FALSE),0)</f>
        <v>7.3611111111111113E-2</v>
      </c>
      <c r="V25" s="188">
        <f t="shared" si="9"/>
        <v>1319.0103536007191</v>
      </c>
      <c r="W25" s="188">
        <f t="shared" si="8"/>
        <v>216.54948060700215</v>
      </c>
      <c r="X25" s="188">
        <f t="shared" si="10"/>
        <v>57.16574411426226</v>
      </c>
    </row>
    <row r="26" spans="1:24" s="201" customFormat="1">
      <c r="A26" s="179" t="str">
        <f t="shared" si="1"/>
        <v>Commercial EM-Retro</v>
      </c>
      <c r="B26" s="182" t="str">
        <f t="shared" si="2"/>
        <v>Commercial EM-Retro-Residential Care</v>
      </c>
      <c r="C26" s="182" t="str">
        <f t="shared" si="3"/>
        <v>Commercial EM-Retro-Residential Care-GasHt</v>
      </c>
      <c r="D26" s="71" t="s">
        <v>7</v>
      </c>
      <c r="E26" s="66" t="s">
        <v>31</v>
      </c>
      <c r="F26" s="67" t="s">
        <v>192</v>
      </c>
      <c r="G26" s="67" t="s">
        <v>193</v>
      </c>
      <c r="H26" s="68">
        <f t="shared" si="11"/>
        <v>5</v>
      </c>
      <c r="I26" s="69">
        <f t="shared" si="4"/>
        <v>0.33985691133471541</v>
      </c>
      <c r="J26" s="69">
        <f t="shared" si="4"/>
        <v>0.40556621261939335</v>
      </c>
      <c r="K26" s="69">
        <f t="shared" si="4"/>
        <v>0.25457687604589124</v>
      </c>
      <c r="L26" s="69">
        <f t="shared" si="4"/>
        <v>7.6228114216259218E-2</v>
      </c>
      <c r="M26" s="183">
        <f>INDEX(Savings!$G$3:$I$24,MATCH(MMap!D26,Savings!$B$7:$B$24,0)+4,MATCH(G26,Savings!$G$4:$I$4,0))</f>
        <v>1.44</v>
      </c>
      <c r="N26" s="183">
        <f>Savings!M22</f>
        <v>0.27884615384615385</v>
      </c>
      <c r="O26" s="70" t="str">
        <f>VLOOKUP(A26,[1]!STOCK,Q26,FALSE)</f>
        <v>_PRE2013</v>
      </c>
      <c r="P26" s="200">
        <f t="shared" si="5"/>
        <v>0.82648440258098632</v>
      </c>
      <c r="Q26" s="70">
        <f>MATCH(D26,[1]!BLDGTYPE,0)</f>
        <v>17</v>
      </c>
      <c r="R26" s="200">
        <f t="shared" si="6"/>
        <v>1</v>
      </c>
      <c r="S26" s="200">
        <f t="shared" si="6"/>
        <v>3.7369486472404026E-2</v>
      </c>
      <c r="T26" s="188">
        <f t="shared" si="7"/>
        <v>4.4518388512041769E-2</v>
      </c>
      <c r="U26" s="188">
        <f>IF(G26="GasHt",VLOOKUP(MMap!D26,Savings!$B$7:$N$24,11,FALSE),0)</f>
        <v>7.3611111111111113E-2</v>
      </c>
      <c r="V26" s="188">
        <f t="shared" si="9"/>
        <v>44.518388512041774</v>
      </c>
      <c r="W26" s="188">
        <f t="shared" si="8"/>
        <v>8.6206815361192</v>
      </c>
      <c r="X26" s="188">
        <f t="shared" si="10"/>
        <v>2.2757278078107772</v>
      </c>
    </row>
    <row r="27" spans="1:24" s="201" customFormat="1">
      <c r="A27" s="179" t="str">
        <f t="shared" si="1"/>
        <v>Commercial EM-Retro</v>
      </c>
      <c r="B27" s="182" t="str">
        <f t="shared" si="2"/>
        <v>Commercial EM-Retro-Assembly</v>
      </c>
      <c r="C27" s="182" t="str">
        <f t="shared" si="3"/>
        <v>Commercial EM-Retro-Assembly-GasHt</v>
      </c>
      <c r="D27" s="71" t="s">
        <v>3</v>
      </c>
      <c r="E27" s="66" t="s">
        <v>31</v>
      </c>
      <c r="F27" s="67" t="s">
        <v>192</v>
      </c>
      <c r="G27" s="67" t="s">
        <v>193</v>
      </c>
      <c r="H27" s="68">
        <f t="shared" si="11"/>
        <v>5</v>
      </c>
      <c r="I27" s="69">
        <f t="shared" si="4"/>
        <v>0.10640191237323121</v>
      </c>
      <c r="J27" s="69">
        <f t="shared" si="4"/>
        <v>0.77815390025512432</v>
      </c>
      <c r="K27" s="69">
        <f t="shared" si="4"/>
        <v>0.11544418737164447</v>
      </c>
      <c r="L27" s="69">
        <f t="shared" si="4"/>
        <v>0.16854152512418574</v>
      </c>
      <c r="M27" s="183">
        <f>INDEX(Savings!$G$3:$I$24,MATCH(MMap!D27,Savings!$B$7:$B$24,0)+4,MATCH(G27,Savings!$G$4:$I$4,0))</f>
        <v>0.84923076923076912</v>
      </c>
      <c r="N27" s="183">
        <f>Savings!M23</f>
        <v>0.25096153846153846</v>
      </c>
      <c r="O27" s="70" t="str">
        <f>VLOOKUP(A27,[1]!STOCK,Q27,FALSE)</f>
        <v>_PRE2013</v>
      </c>
      <c r="P27" s="200">
        <f t="shared" si="5"/>
        <v>0.77184416415983825</v>
      </c>
      <c r="Q27" s="70">
        <f>MATCH(D27,[1]!BLDGTYPE,0)</f>
        <v>18</v>
      </c>
      <c r="R27" s="200">
        <f t="shared" si="6"/>
        <v>1</v>
      </c>
      <c r="S27" s="200">
        <f t="shared" si="6"/>
        <v>0.11013494038183547</v>
      </c>
      <c r="T27" s="188">
        <f t="shared" si="7"/>
        <v>0.11137767278760514</v>
      </c>
      <c r="U27" s="188">
        <f>IF(G27="GasHt",VLOOKUP(MMap!D27,Savings!$B$7:$N$24,11,FALSE),0)</f>
        <v>5.8888888888888893E-2</v>
      </c>
      <c r="V27" s="188">
        <f t="shared" si="9"/>
        <v>111.37767278760515</v>
      </c>
      <c r="W27" s="188">
        <f t="shared" si="8"/>
        <v>32.913918249054518</v>
      </c>
      <c r="X27" s="188">
        <f t="shared" si="10"/>
        <v>7.7233511021195609</v>
      </c>
    </row>
    <row r="28" spans="1:24" s="201" customFormat="1">
      <c r="A28" s="179" t="str">
        <f t="shared" si="1"/>
        <v>Commercial EM-Retro</v>
      </c>
      <c r="B28" s="182" t="str">
        <f t="shared" si="2"/>
        <v>Commercial EM-Retro-Other</v>
      </c>
      <c r="C28" s="182" t="str">
        <f t="shared" si="3"/>
        <v>Commercial EM-Retro-Other-GasHt</v>
      </c>
      <c r="D28" s="71" t="s">
        <v>11</v>
      </c>
      <c r="E28" s="66" t="s">
        <v>31</v>
      </c>
      <c r="F28" s="67" t="s">
        <v>192</v>
      </c>
      <c r="G28" s="67" t="s">
        <v>193</v>
      </c>
      <c r="H28" s="68">
        <f t="shared" si="11"/>
        <v>5</v>
      </c>
      <c r="I28" s="69">
        <f t="shared" si="4"/>
        <v>0.16939513747697868</v>
      </c>
      <c r="J28" s="69">
        <f t="shared" si="4"/>
        <v>0.7257160432726234</v>
      </c>
      <c r="K28" s="69">
        <f t="shared" si="4"/>
        <v>0.104888819250398</v>
      </c>
      <c r="L28" s="69">
        <f t="shared" si="4"/>
        <v>0.20051702037858005</v>
      </c>
      <c r="M28" s="183">
        <f>INDEX(Savings!$G$3:$I$24,MATCH(MMap!D28,Savings!$B$7:$B$24,0)+4,MATCH(G28,Savings!$G$4:$I$4,0))</f>
        <v>0.84923076923076912</v>
      </c>
      <c r="N28" s="183">
        <f>Savings!M24</f>
        <v>0.25096153846153846</v>
      </c>
      <c r="O28" s="70" t="str">
        <f>VLOOKUP(A28,[1]!STOCK,Q28,FALSE)</f>
        <v>_PRE2013</v>
      </c>
      <c r="P28" s="200">
        <f t="shared" si="5"/>
        <v>0.71310077098671132</v>
      </c>
      <c r="Q28" s="70">
        <f>MATCH(D28,[1]!BLDGTYPE,0)</f>
        <v>19</v>
      </c>
      <c r="R28" s="200">
        <f t="shared" si="6"/>
        <v>1</v>
      </c>
      <c r="S28" s="200">
        <f t="shared" si="6"/>
        <v>9.9554262623279946E-2</v>
      </c>
      <c r="T28" s="188">
        <f t="shared" si="7"/>
        <v>0.12357871859715909</v>
      </c>
      <c r="U28" s="188">
        <f>IF(G28="GasHt",VLOOKUP(MMap!D28,Savings!$B$7:$N$24,11,FALSE),0)</f>
        <v>8.8333333333333333E-2</v>
      </c>
      <c r="V28" s="188">
        <f t="shared" si="9"/>
        <v>123.5787185971591</v>
      </c>
      <c r="W28" s="188">
        <f t="shared" si="8"/>
        <v>36.519526215872432</v>
      </c>
      <c r="X28" s="188">
        <f t="shared" si="10"/>
        <v>12.854126979686386</v>
      </c>
    </row>
    <row r="29" spans="1:24" s="201" customFormat="1">
      <c r="A29" s="179" t="str">
        <f t="shared" si="1"/>
        <v>Commercial EM-Retro</v>
      </c>
      <c r="B29" s="182" t="str">
        <f t="shared" si="2"/>
        <v>Commercial EM-Retro-Large Off</v>
      </c>
      <c r="C29" s="182" t="str">
        <f t="shared" si="3"/>
        <v>Commercial EM-Retro-Large Off-ElecHt</v>
      </c>
      <c r="D29" s="66" t="s">
        <v>148</v>
      </c>
      <c r="E29" s="66" t="s">
        <v>31</v>
      </c>
      <c r="F29" s="67" t="s">
        <v>192</v>
      </c>
      <c r="G29" s="67" t="s">
        <v>438</v>
      </c>
      <c r="H29" s="68">
        <f t="shared" si="11"/>
        <v>5</v>
      </c>
      <c r="I29" s="69">
        <f t="shared" si="4"/>
        <v>0.20943280302167308</v>
      </c>
      <c r="J29" s="69">
        <f t="shared" si="4"/>
        <v>0.54037060186620078</v>
      </c>
      <c r="K29" s="69">
        <f t="shared" si="4"/>
        <v>0.25019659511212627</v>
      </c>
      <c r="L29" s="69">
        <f t="shared" si="4"/>
        <v>0.63007020528877222</v>
      </c>
      <c r="M29" s="183">
        <f>INDEX(Savings!$G$3:$I$24,MATCH(MMap!D47,Savings!$B$7:$B$24,0)+4,MATCH(G29,Savings!$G$4:$I$4,0))</f>
        <v>1.307076923076923</v>
      </c>
      <c r="N29" s="183">
        <f t="shared" ref="N29:N60" si="12">N11</f>
        <v>0.25096153846153846</v>
      </c>
      <c r="O29" s="70" t="str">
        <f>VLOOKUP(A29,[1]!STOCK,Q29,FALSE)</f>
        <v>_PRE2013</v>
      </c>
      <c r="P29" s="200">
        <f t="shared" si="5"/>
        <v>0.76889412716362515</v>
      </c>
      <c r="Q29" s="70">
        <f>MATCH(D29,[1]!BLDGTYPE,0)</f>
        <v>2</v>
      </c>
      <c r="R29" s="200">
        <f t="shared" si="6"/>
        <v>0.43937391922213881</v>
      </c>
      <c r="S29" s="200">
        <f t="shared" si="6"/>
        <v>9.6336650827114415E-2</v>
      </c>
      <c r="T29" s="188">
        <f t="shared" si="7"/>
        <v>0.17247843210350866</v>
      </c>
      <c r="U29" s="188">
        <f>IF(G29="GasHt",VLOOKUP(MMap!D29,Savings!$B$7:$N$24,11,FALSE),0)</f>
        <v>0</v>
      </c>
      <c r="V29" s="188">
        <f t="shared" si="9"/>
        <v>172.47843210350865</v>
      </c>
      <c r="W29" s="188">
        <f t="shared" si="8"/>
        <v>33.11622438428067</v>
      </c>
      <c r="X29" s="188">
        <f t="shared" si="10"/>
        <v>0</v>
      </c>
    </row>
    <row r="30" spans="1:24" s="201" customFormat="1">
      <c r="A30" s="179" t="str">
        <f t="shared" si="1"/>
        <v>Commercial EM-Retro</v>
      </c>
      <c r="B30" s="182" t="str">
        <f t="shared" si="2"/>
        <v>Commercial EM-Retro-Medium Off</v>
      </c>
      <c r="C30" s="182" t="str">
        <f t="shared" si="3"/>
        <v>Commercial EM-Retro-Medium Off-ElecHt</v>
      </c>
      <c r="D30" s="71" t="s">
        <v>149</v>
      </c>
      <c r="E30" s="66" t="s">
        <v>31</v>
      </c>
      <c r="F30" s="67" t="s">
        <v>192</v>
      </c>
      <c r="G30" s="67" t="s">
        <v>438</v>
      </c>
      <c r="H30" s="68">
        <f t="shared" si="11"/>
        <v>5</v>
      </c>
      <c r="I30" s="69">
        <f t="shared" si="4"/>
        <v>0.22131165109110185</v>
      </c>
      <c r="J30" s="69">
        <f t="shared" si="4"/>
        <v>0.51430081857580845</v>
      </c>
      <c r="K30" s="69">
        <f t="shared" si="4"/>
        <v>0.26438753033308959</v>
      </c>
      <c r="L30" s="69">
        <f t="shared" si="4"/>
        <v>9.3963931374592982E-2</v>
      </c>
      <c r="M30" s="183">
        <f>INDEX(Savings!$G$3:$I$24,MATCH(MMap!D48,Savings!$B$7:$B$24,0)+4,MATCH(G30,Savings!$G$4:$I$4,0))</f>
        <v>1.1224615384615384</v>
      </c>
      <c r="N30" s="183">
        <f t="shared" si="12"/>
        <v>0.25096153846153846</v>
      </c>
      <c r="O30" s="70" t="str">
        <f>VLOOKUP(A30,[1]!STOCK,Q30,FALSE)</f>
        <v>_PRE2013</v>
      </c>
      <c r="P30" s="200">
        <f t="shared" si="5"/>
        <v>0.9156533727398849</v>
      </c>
      <c r="Q30" s="70">
        <f>MATCH(D30,[1]!BLDGTYPE,0)</f>
        <v>3</v>
      </c>
      <c r="R30" s="200">
        <f t="shared" si="6"/>
        <v>0.43063730719145626</v>
      </c>
      <c r="S30" s="200">
        <f t="shared" si="6"/>
        <v>9.4421070712341362E-2</v>
      </c>
      <c r="T30" s="188">
        <f t="shared" si="7"/>
        <v>2.3341938793250718E-2</v>
      </c>
      <c r="U30" s="188">
        <f>IF(G30="GasHt",VLOOKUP(MMap!D30,Savings!$B$7:$N$24,11,FALSE),0)</f>
        <v>0</v>
      </c>
      <c r="V30" s="188">
        <f t="shared" si="9"/>
        <v>23.341938793250719</v>
      </c>
      <c r="W30" s="188">
        <f t="shared" si="8"/>
        <v>5.2188236919531583</v>
      </c>
      <c r="X30" s="188">
        <f t="shared" si="10"/>
        <v>0</v>
      </c>
    </row>
    <row r="31" spans="1:24" s="201" customFormat="1">
      <c r="A31" s="179" t="str">
        <f t="shared" si="1"/>
        <v>Commercial EM-Retro</v>
      </c>
      <c r="B31" s="182" t="str">
        <f t="shared" si="2"/>
        <v>Commercial EM-Retro-Small Off</v>
      </c>
      <c r="C31" s="182" t="str">
        <f t="shared" si="3"/>
        <v>Commercial EM-Retro-Small Off-ElecHt</v>
      </c>
      <c r="D31" s="71" t="s">
        <v>150</v>
      </c>
      <c r="E31" s="66" t="s">
        <v>31</v>
      </c>
      <c r="F31" s="67" t="s">
        <v>192</v>
      </c>
      <c r="G31" s="67" t="s">
        <v>438</v>
      </c>
      <c r="H31" s="68">
        <f t="shared" si="11"/>
        <v>5</v>
      </c>
      <c r="I31" s="69">
        <f t="shared" ref="I31:L50" si="13">VLOOKUP(I$9,V_PRE2013,$Q31,FALSE)</f>
        <v>0.30640942705415353</v>
      </c>
      <c r="J31" s="69">
        <f t="shared" si="13"/>
        <v>0.3275419203320854</v>
      </c>
      <c r="K31" s="69">
        <f t="shared" si="13"/>
        <v>0.36604865261376096</v>
      </c>
      <c r="L31" s="69">
        <f t="shared" si="13"/>
        <v>2.9006395725036469E-2</v>
      </c>
      <c r="M31" s="183">
        <f>INDEX(Savings!$G$3:$I$24,MATCH(MMap!D49,Savings!$B$7:$B$24,0)+4,MATCH(G31,Savings!$G$4:$I$4,0))</f>
        <v>0.97476923076923061</v>
      </c>
      <c r="N31" s="183">
        <f t="shared" si="12"/>
        <v>0.55769230769230771</v>
      </c>
      <c r="O31" s="70" t="str">
        <f>VLOOKUP(A31,[1]!STOCK,Q31,FALSE)</f>
        <v>_PRE2013</v>
      </c>
      <c r="P31" s="200">
        <f t="shared" si="5"/>
        <v>0.85579006639653332</v>
      </c>
      <c r="Q31" s="70">
        <f>MATCH(D31,[1]!BLDGTYPE,0)</f>
        <v>4</v>
      </c>
      <c r="R31" s="200">
        <f t="shared" ref="R31:S50" si="14">VLOOKUP(R$9,V_PRE2013,$Q31,FALSE)</f>
        <v>0.12998877358640493</v>
      </c>
      <c r="S31" s="200">
        <f t="shared" si="14"/>
        <v>2.8501198056107426E-2</v>
      </c>
      <c r="T31" s="188">
        <f t="shared" si="7"/>
        <v>8.6635862292325679E-3</v>
      </c>
      <c r="U31" s="188">
        <f>IF(G31="GasHt",VLOOKUP(MMap!D31,Savings!$B$7:$N$24,11,FALSE),0)</f>
        <v>0</v>
      </c>
      <c r="V31" s="188">
        <f t="shared" si="9"/>
        <v>8.6635862292325676</v>
      </c>
      <c r="W31" s="188">
        <f t="shared" si="8"/>
        <v>4.9566761491426865</v>
      </c>
      <c r="X31" s="188">
        <f t="shared" si="10"/>
        <v>0</v>
      </c>
    </row>
    <row r="32" spans="1:24" s="201" customFormat="1">
      <c r="A32" s="179" t="str">
        <f t="shared" si="1"/>
        <v>Commercial EM-Retro</v>
      </c>
      <c r="B32" s="182" t="str">
        <f t="shared" si="2"/>
        <v>Commercial EM-Retro-Xlarge Ret</v>
      </c>
      <c r="C32" s="182" t="str">
        <f t="shared" si="3"/>
        <v>Commercial EM-Retro-Xlarge Ret-ElecHt</v>
      </c>
      <c r="D32" s="71" t="s">
        <v>197</v>
      </c>
      <c r="E32" s="66" t="s">
        <v>31</v>
      </c>
      <c r="F32" s="67" t="s">
        <v>192</v>
      </c>
      <c r="G32" s="67" t="s">
        <v>438</v>
      </c>
      <c r="H32" s="68">
        <f t="shared" si="11"/>
        <v>5</v>
      </c>
      <c r="I32" s="69">
        <f t="shared" si="13"/>
        <v>5.2995881766435368E-2</v>
      </c>
      <c r="J32" s="69">
        <f t="shared" si="13"/>
        <v>0.91606730000738101</v>
      </c>
      <c r="K32" s="69">
        <f t="shared" si="13"/>
        <v>3.0936818226183656E-2</v>
      </c>
      <c r="L32" s="69">
        <f t="shared" si="13"/>
        <v>3.9164397027771525E-2</v>
      </c>
      <c r="M32" s="183">
        <f>INDEX(Savings!$G$3:$I$24,MATCH(MMap!D50,Savings!$B$7:$B$24,0)+4,MATCH(G32,Savings!$G$4:$I$4,0))</f>
        <v>1.1224615384615384</v>
      </c>
      <c r="N32" s="183">
        <f t="shared" si="12"/>
        <v>0.25096153846153846</v>
      </c>
      <c r="O32" s="70" t="str">
        <f>VLOOKUP(A32,[1]!STOCK,Q32,FALSE)</f>
        <v>_PRE2013</v>
      </c>
      <c r="P32" s="200">
        <f t="shared" si="5"/>
        <v>0.95160006380782447</v>
      </c>
      <c r="Q32" s="70">
        <f>MATCH(D32,[1]!BLDGTYPE,0)</f>
        <v>5</v>
      </c>
      <c r="R32" s="200">
        <f t="shared" si="14"/>
        <v>0.23462323739305441</v>
      </c>
      <c r="S32" s="200">
        <f t="shared" si="14"/>
        <v>3.999473857861454E-2</v>
      </c>
      <c r="T32" s="188">
        <f t="shared" si="7"/>
        <v>2.3297270153302295E-3</v>
      </c>
      <c r="U32" s="188">
        <f>IF(G32="GasHt",VLOOKUP(MMap!D32,Savings!$B$7:$N$24,11,FALSE),0)</f>
        <v>0</v>
      </c>
      <c r="V32" s="188">
        <f t="shared" si="9"/>
        <v>2.3297270153302292</v>
      </c>
      <c r="W32" s="188">
        <f t="shared" si="8"/>
        <v>0.52088366142508724</v>
      </c>
      <c r="X32" s="188">
        <f t="shared" si="10"/>
        <v>0</v>
      </c>
    </row>
    <row r="33" spans="1:24" s="201" customFormat="1">
      <c r="A33" s="179" t="str">
        <f t="shared" si="1"/>
        <v>Commercial EM-Retro</v>
      </c>
      <c r="B33" s="182" t="str">
        <f t="shared" si="2"/>
        <v>Commercial EM-Retro-Large Ret</v>
      </c>
      <c r="C33" s="182" t="str">
        <f t="shared" si="3"/>
        <v>Commercial EM-Retro-Large Ret-ElecHt</v>
      </c>
      <c r="D33" s="71" t="s">
        <v>169</v>
      </c>
      <c r="E33" s="66" t="s">
        <v>31</v>
      </c>
      <c r="F33" s="67" t="s">
        <v>192</v>
      </c>
      <c r="G33" s="67" t="s">
        <v>438</v>
      </c>
      <c r="H33" s="68">
        <f t="shared" si="11"/>
        <v>5</v>
      </c>
      <c r="I33" s="69">
        <f t="shared" si="13"/>
        <v>1.0593107738682607E-2</v>
      </c>
      <c r="J33" s="69">
        <f t="shared" si="13"/>
        <v>0.98322307122393326</v>
      </c>
      <c r="K33" s="69">
        <f t="shared" si="13"/>
        <v>6.1838210373840949E-3</v>
      </c>
      <c r="L33" s="69">
        <f t="shared" si="13"/>
        <v>0.25776672816535129</v>
      </c>
      <c r="M33" s="183">
        <f>INDEX(Savings!$G$3:$I$24,MATCH(MMap!D51,Savings!$B$7:$B$24,0)+4,MATCH(G33,Savings!$G$4:$I$4,0))</f>
        <v>1.2369230769230768</v>
      </c>
      <c r="N33" s="183">
        <f t="shared" si="12"/>
        <v>0.55769230769230771</v>
      </c>
      <c r="O33" s="70" t="str">
        <f>VLOOKUP(A33,[1]!STOCK,Q33,FALSE)</f>
        <v>_PRE2013</v>
      </c>
      <c r="P33" s="200">
        <f t="shared" si="5"/>
        <v>0.98526989662125641</v>
      </c>
      <c r="Q33" s="70">
        <f>MATCH(D33,[1]!BLDGTYPE,0)</f>
        <v>6</v>
      </c>
      <c r="R33" s="200">
        <f t="shared" si="14"/>
        <v>5.5262096022427078E-2</v>
      </c>
      <c r="S33" s="200">
        <f t="shared" si="14"/>
        <v>9.4201798094731004E-3</v>
      </c>
      <c r="T33" s="188">
        <f t="shared" si="7"/>
        <v>3.3774812018680556E-3</v>
      </c>
      <c r="U33" s="188">
        <f>IF(G33="GasHt",VLOOKUP(MMap!D33,Savings!$B$7:$N$24,11,FALSE),0)</f>
        <v>0</v>
      </c>
      <c r="V33" s="188">
        <f t="shared" si="9"/>
        <v>3.3774812018680551</v>
      </c>
      <c r="W33" s="188">
        <f t="shared" si="8"/>
        <v>1.5228071339268288</v>
      </c>
      <c r="X33" s="188">
        <f t="shared" si="10"/>
        <v>0</v>
      </c>
    </row>
    <row r="34" spans="1:24" s="201" customFormat="1">
      <c r="A34" s="179" t="str">
        <f t="shared" si="1"/>
        <v>Commercial EM-Retro</v>
      </c>
      <c r="B34" s="182" t="str">
        <f t="shared" si="2"/>
        <v>Commercial EM-Retro-Medium Ret</v>
      </c>
      <c r="C34" s="182" t="str">
        <f t="shared" si="3"/>
        <v>Commercial EM-Retro-Medium Ret-ElecHt</v>
      </c>
      <c r="D34" s="71" t="s">
        <v>168</v>
      </c>
      <c r="E34" s="66" t="s">
        <v>31</v>
      </c>
      <c r="F34" s="67" t="s">
        <v>192</v>
      </c>
      <c r="G34" s="67" t="s">
        <v>438</v>
      </c>
      <c r="H34" s="68">
        <f t="shared" si="11"/>
        <v>5</v>
      </c>
      <c r="I34" s="69">
        <f t="shared" si="13"/>
        <v>0.12006240959495594</v>
      </c>
      <c r="J34" s="69">
        <f t="shared" si="13"/>
        <v>0.80985008893074606</v>
      </c>
      <c r="K34" s="69">
        <f t="shared" si="13"/>
        <v>7.0087501474297986E-2</v>
      </c>
      <c r="L34" s="69">
        <f t="shared" si="13"/>
        <v>2.7574670878248778E-2</v>
      </c>
      <c r="M34" s="183">
        <f>INDEX(Savings!$G$3:$I$24,MATCH(MMap!D52,Savings!$B$7:$B$24,0)+4,MATCH(G34,Savings!$G$4:$I$4,0))</f>
        <v>1.716923076923077</v>
      </c>
      <c r="N34" s="183">
        <f t="shared" si="12"/>
        <v>0.55769230769230771</v>
      </c>
      <c r="O34" s="70" t="str">
        <f>VLOOKUP(A34,[1]!STOCK,Q34,FALSE)</f>
        <v>_PRE2013</v>
      </c>
      <c r="P34" s="200">
        <f t="shared" si="5"/>
        <v>0.65234151837252696</v>
      </c>
      <c r="Q34" s="70">
        <f>MATCH(D34,[1]!BLDGTYPE,0)</f>
        <v>7</v>
      </c>
      <c r="R34" s="200">
        <f t="shared" si="14"/>
        <v>0.60637878991755256</v>
      </c>
      <c r="S34" s="200">
        <f t="shared" si="14"/>
        <v>0.10336555514209726</v>
      </c>
      <c r="T34" s="188">
        <f t="shared" si="7"/>
        <v>5.6841853465297472E-3</v>
      </c>
      <c r="U34" s="188">
        <f>IF(G34="GasHt",VLOOKUP(MMap!D34,Savings!$B$7:$N$24,11,FALSE),0)</f>
        <v>0</v>
      </c>
      <c r="V34" s="188">
        <f t="shared" si="9"/>
        <v>5.6841853465297474</v>
      </c>
      <c r="W34" s="188">
        <f t="shared" si="8"/>
        <v>1.8463415664131124</v>
      </c>
      <c r="X34" s="188">
        <f t="shared" si="10"/>
        <v>0</v>
      </c>
    </row>
    <row r="35" spans="1:24" s="201" customFormat="1">
      <c r="A35" s="179" t="str">
        <f t="shared" si="1"/>
        <v>Commercial EM-Retro</v>
      </c>
      <c r="B35" s="182" t="str">
        <f t="shared" si="2"/>
        <v>Commercial EM-Retro-Small Ret</v>
      </c>
      <c r="C35" s="182" t="str">
        <f t="shared" si="3"/>
        <v>Commercial EM-Retro-Small Ret-ElecHt</v>
      </c>
      <c r="D35" s="71" t="s">
        <v>170</v>
      </c>
      <c r="E35" s="66" t="s">
        <v>31</v>
      </c>
      <c r="F35" s="67" t="s">
        <v>192</v>
      </c>
      <c r="G35" s="67" t="s">
        <v>438</v>
      </c>
      <c r="H35" s="68">
        <f t="shared" si="11"/>
        <v>5</v>
      </c>
      <c r="I35" s="69">
        <f t="shared" si="13"/>
        <v>0.2732917310450087</v>
      </c>
      <c r="J35" s="69">
        <f t="shared" si="13"/>
        <v>0.56717178566142912</v>
      </c>
      <c r="K35" s="69">
        <f t="shared" si="13"/>
        <v>0.15953648329356207</v>
      </c>
      <c r="L35" s="69">
        <f t="shared" si="13"/>
        <v>0.10146503328904084</v>
      </c>
      <c r="M35" s="183">
        <f>INDEX(Savings!$G$3:$I$24,MATCH(MMap!D53,Savings!$B$7:$B$24,0)+4,MATCH(G35,Savings!$G$4:$I$4,0))</f>
        <v>1.7723076923076921</v>
      </c>
      <c r="N35" s="183">
        <f t="shared" si="12"/>
        <v>0.25096153846153846</v>
      </c>
      <c r="O35" s="70" t="str">
        <f>VLOOKUP(A35,[1]!STOCK,Q35,FALSE)</f>
        <v>_PRE2013</v>
      </c>
      <c r="P35" s="200">
        <f t="shared" si="5"/>
        <v>0.66014461756611731</v>
      </c>
      <c r="Q35" s="70">
        <f>MATCH(D35,[1]!BLDGTYPE,0)</f>
        <v>8</v>
      </c>
      <c r="R35" s="200">
        <f t="shared" si="14"/>
        <v>0.10373587666696588</v>
      </c>
      <c r="S35" s="200">
        <f t="shared" si="14"/>
        <v>1.7683198453051097E-2</v>
      </c>
      <c r="T35" s="188">
        <f t="shared" si="7"/>
        <v>4.9145302900758178E-2</v>
      </c>
      <c r="U35" s="188">
        <f>IF(G35="GasHt",VLOOKUP(MMap!D35,Savings!$B$7:$N$24,11,FALSE),0)</f>
        <v>0</v>
      </c>
      <c r="V35" s="188">
        <f t="shared" si="9"/>
        <v>49.145302900758175</v>
      </c>
      <c r="W35" s="188">
        <f t="shared" si="8"/>
        <v>6.9590516802831406</v>
      </c>
      <c r="X35" s="188">
        <f t="shared" si="10"/>
        <v>0</v>
      </c>
    </row>
    <row r="36" spans="1:24" s="201" customFormat="1">
      <c r="A36" s="179" t="str">
        <f t="shared" si="1"/>
        <v>Commercial EM-Retro</v>
      </c>
      <c r="B36" s="182" t="str">
        <f t="shared" si="2"/>
        <v>Commercial EM-Retro-School K-12</v>
      </c>
      <c r="C36" s="182" t="str">
        <f t="shared" si="3"/>
        <v>Commercial EM-Retro-School K-12-ElecHt</v>
      </c>
      <c r="D36" s="71" t="s">
        <v>171</v>
      </c>
      <c r="E36" s="66" t="s">
        <v>31</v>
      </c>
      <c r="F36" s="67" t="s">
        <v>192</v>
      </c>
      <c r="G36" s="67" t="s">
        <v>438</v>
      </c>
      <c r="H36" s="68">
        <f t="shared" si="11"/>
        <v>5</v>
      </c>
      <c r="I36" s="69">
        <f t="shared" si="13"/>
        <v>5.8369343906151915E-2</v>
      </c>
      <c r="J36" s="69">
        <f t="shared" si="13"/>
        <v>0.84777782221188291</v>
      </c>
      <c r="K36" s="69">
        <f t="shared" si="13"/>
        <v>9.3852833881965178E-2</v>
      </c>
      <c r="L36" s="69">
        <f t="shared" si="13"/>
        <v>0.29515325476216947</v>
      </c>
      <c r="M36" s="183">
        <f>INDEX(Savings!$G$3:$I$24,MATCH(MMap!D54,Savings!$B$7:$B$24,0)+4,MATCH(G36,Savings!$G$4:$I$4,0))</f>
        <v>1.1076923076923075</v>
      </c>
      <c r="N36" s="183">
        <f t="shared" si="12"/>
        <v>0.27884615384615385</v>
      </c>
      <c r="O36" s="70" t="str">
        <f>VLOOKUP(A36,[1]!STOCK,Q36,FALSE)</f>
        <v>_PRE2013</v>
      </c>
      <c r="P36" s="200">
        <f t="shared" si="5"/>
        <v>0.69618308739231149</v>
      </c>
      <c r="Q36" s="70">
        <f>MATCH(D36,[1]!BLDGTYPE,0)</f>
        <v>9</v>
      </c>
      <c r="R36" s="200">
        <f t="shared" si="14"/>
        <v>0.66429751499430445</v>
      </c>
      <c r="S36" s="200">
        <f t="shared" si="14"/>
        <v>7.3255633922263544E-2</v>
      </c>
      <c r="T36" s="188">
        <f t="shared" si="7"/>
        <v>1.908321433724286E-2</v>
      </c>
      <c r="U36" s="188">
        <f>IF(G36="GasHt",VLOOKUP(MMap!D36,Savings!$B$7:$N$24,11,FALSE),0)</f>
        <v>0</v>
      </c>
      <c r="V36" s="188">
        <f t="shared" si="9"/>
        <v>19.083214337242858</v>
      </c>
      <c r="W36" s="188">
        <f t="shared" si="8"/>
        <v>4.8039341647573179</v>
      </c>
      <c r="X36" s="188">
        <f t="shared" si="10"/>
        <v>0</v>
      </c>
    </row>
    <row r="37" spans="1:24" s="201" customFormat="1">
      <c r="A37" s="179" t="str">
        <f t="shared" si="1"/>
        <v>Commercial EM-Retro</v>
      </c>
      <c r="B37" s="182" t="str">
        <f t="shared" si="2"/>
        <v>Commercial EM-Retro-University</v>
      </c>
      <c r="C37" s="182" t="str">
        <f t="shared" si="3"/>
        <v>Commercial EM-Retro-University-ElecHt</v>
      </c>
      <c r="D37" s="71" t="s">
        <v>155</v>
      </c>
      <c r="E37" s="66" t="s">
        <v>31</v>
      </c>
      <c r="F37" s="67" t="s">
        <v>192</v>
      </c>
      <c r="G37" s="67" t="s">
        <v>438</v>
      </c>
      <c r="H37" s="68">
        <f t="shared" si="11"/>
        <v>5</v>
      </c>
      <c r="I37" s="69">
        <f t="shared" si="13"/>
        <v>0.1</v>
      </c>
      <c r="J37" s="69">
        <f t="shared" si="13"/>
        <v>0.8</v>
      </c>
      <c r="K37" s="69">
        <f t="shared" si="13"/>
        <v>0.1</v>
      </c>
      <c r="L37" s="69">
        <f t="shared" si="13"/>
        <v>0.77756785592800526</v>
      </c>
      <c r="M37" s="183">
        <f>INDEX(Savings!$G$3:$I$24,MATCH(MMap!D55,Savings!$B$7:$B$24,0)+4,MATCH(G37,Savings!$G$4:$I$4,0))</f>
        <v>1.6615384615384614</v>
      </c>
      <c r="N37" s="183">
        <f t="shared" si="12"/>
        <v>0.27884615384615385</v>
      </c>
      <c r="O37" s="70" t="str">
        <f>VLOOKUP(A37,[1]!STOCK,Q37,FALSE)</f>
        <v>_PRE2013</v>
      </c>
      <c r="P37" s="200">
        <f t="shared" si="5"/>
        <v>0.75</v>
      </c>
      <c r="Q37" s="70">
        <f>MATCH(D37,[1]!BLDGTYPE,0)</f>
        <v>10</v>
      </c>
      <c r="R37" s="200">
        <f t="shared" si="14"/>
        <v>0.33570248500569549</v>
      </c>
      <c r="S37" s="200">
        <f t="shared" si="14"/>
        <v>3.701970546823774E-2</v>
      </c>
      <c r="T37" s="188">
        <f t="shared" si="7"/>
        <v>0.12919588990803779</v>
      </c>
      <c r="U37" s="188">
        <f>IF(G37="GasHt",VLOOKUP(MMap!D37,Savings!$B$7:$N$24,11,FALSE),0)</f>
        <v>0</v>
      </c>
      <c r="V37" s="188">
        <f t="shared" si="9"/>
        <v>129.1958899080378</v>
      </c>
      <c r="W37" s="188">
        <f t="shared" si="8"/>
        <v>21.682180597992456</v>
      </c>
      <c r="X37" s="188">
        <f t="shared" si="10"/>
        <v>0</v>
      </c>
    </row>
    <row r="38" spans="1:24" s="201" customFormat="1">
      <c r="A38" s="179" t="str">
        <f t="shared" si="1"/>
        <v>Commercial EM-Retro</v>
      </c>
      <c r="B38" s="182" t="str">
        <f t="shared" si="2"/>
        <v>Commercial EM-Retro-Warehouse</v>
      </c>
      <c r="C38" s="182" t="str">
        <f t="shared" si="3"/>
        <v>Commercial EM-Retro-Warehouse-ElecHt</v>
      </c>
      <c r="D38" s="71" t="s">
        <v>10</v>
      </c>
      <c r="E38" s="66" t="s">
        <v>31</v>
      </c>
      <c r="F38" s="67" t="s">
        <v>192</v>
      </c>
      <c r="G38" s="67" t="s">
        <v>438</v>
      </c>
      <c r="H38" s="68">
        <f t="shared" si="11"/>
        <v>5</v>
      </c>
      <c r="I38" s="69">
        <f t="shared" si="13"/>
        <v>6.3929137015483993E-3</v>
      </c>
      <c r="J38" s="69">
        <f t="shared" si="13"/>
        <v>0.98700382329725422</v>
      </c>
      <c r="K38" s="69">
        <f t="shared" si="13"/>
        <v>6.6032630011973147E-3</v>
      </c>
      <c r="L38" s="69">
        <f t="shared" si="13"/>
        <v>0.13082984106717208</v>
      </c>
      <c r="M38" s="183">
        <f>INDEX(Savings!$G$3:$I$24,MATCH(MMap!D56,Savings!$B$7:$B$24,0)+4,MATCH(G38,Savings!$G$4:$I$4,0))</f>
        <v>0.55384615384615377</v>
      </c>
      <c r="N38" s="183">
        <f t="shared" si="12"/>
        <v>0.11153846153846154</v>
      </c>
      <c r="O38" s="70" t="str">
        <f>VLOOKUP(A38,[1]!STOCK,Q38,FALSE)</f>
        <v>_PRE2013</v>
      </c>
      <c r="P38" s="200">
        <f t="shared" si="5"/>
        <v>0.23</v>
      </c>
      <c r="Q38" s="70">
        <f>MATCH(D38,[1]!BLDGTYPE,0)</f>
        <v>11</v>
      </c>
      <c r="R38" s="200">
        <f t="shared" si="14"/>
        <v>1</v>
      </c>
      <c r="S38" s="200">
        <f t="shared" si="14"/>
        <v>0.13203580856943528</v>
      </c>
      <c r="T38" s="188">
        <f t="shared" si="7"/>
        <v>4.6322799703184698E-4</v>
      </c>
      <c r="U38" s="188">
        <f>IF(G38="GasHt",VLOOKUP(MMap!D38,Savings!$B$7:$N$24,11,FALSE),0)</f>
        <v>0</v>
      </c>
      <c r="V38" s="188">
        <f t="shared" si="9"/>
        <v>0.46322799703184703</v>
      </c>
      <c r="W38" s="188">
        <f t="shared" si="8"/>
        <v>9.3288971624469197E-2</v>
      </c>
      <c r="X38" s="188">
        <f t="shared" si="10"/>
        <v>0</v>
      </c>
    </row>
    <row r="39" spans="1:24" s="201" customFormat="1">
      <c r="A39" s="179" t="str">
        <f t="shared" si="1"/>
        <v>Commercial EM-Retro</v>
      </c>
      <c r="B39" s="182" t="str">
        <f t="shared" si="2"/>
        <v>Commercial EM-Retro-Supermarket</v>
      </c>
      <c r="C39" s="182" t="str">
        <f t="shared" si="3"/>
        <v>Commercial EM-Retro-Supermarket-ElecHt</v>
      </c>
      <c r="D39" s="71" t="s">
        <v>158</v>
      </c>
      <c r="E39" s="66" t="s">
        <v>31</v>
      </c>
      <c r="F39" s="67" t="s">
        <v>192</v>
      </c>
      <c r="G39" s="67" t="s">
        <v>438</v>
      </c>
      <c r="H39" s="68">
        <f t="shared" si="11"/>
        <v>5</v>
      </c>
      <c r="I39" s="69">
        <f t="shared" si="13"/>
        <v>3.9182634298973458E-2</v>
      </c>
      <c r="J39" s="69">
        <f t="shared" si="13"/>
        <v>0.46957192737561176</v>
      </c>
      <c r="K39" s="69">
        <f t="shared" si="13"/>
        <v>6.234756715808213E-2</v>
      </c>
      <c r="L39" s="69">
        <f t="shared" si="13"/>
        <v>7.1447125331852143E-2</v>
      </c>
      <c r="M39" s="183">
        <f>INDEX(Savings!$G$3:$I$24,MATCH(MMap!D57,Savings!$B$7:$B$24,0)+4,MATCH(G39,Savings!$G$4:$I$4,0))</f>
        <v>2.3076923076923075</v>
      </c>
      <c r="N39" s="183">
        <f t="shared" si="12"/>
        <v>0.33461538461538459</v>
      </c>
      <c r="O39" s="70" t="str">
        <f>VLOOKUP(A39,[1]!STOCK,Q39,FALSE)</f>
        <v>_PRE2013</v>
      </c>
      <c r="P39" s="200">
        <f t="shared" si="5"/>
        <v>0.89440943169321674</v>
      </c>
      <c r="Q39" s="70">
        <f>MATCH(D39,[1]!BLDGTYPE,0)</f>
        <v>12</v>
      </c>
      <c r="R39" s="200">
        <f t="shared" si="14"/>
        <v>0.84840559081310307</v>
      </c>
      <c r="S39" s="200">
        <f t="shared" si="14"/>
        <v>1.9535504789016944E-2</v>
      </c>
      <c r="T39" s="188">
        <f t="shared" si="7"/>
        <v>6.4603536544405038E-3</v>
      </c>
      <c r="U39" s="188">
        <f>IF(G39="GasHt",VLOOKUP(MMap!D39,Savings!$B$7:$N$24,11,FALSE),0)</f>
        <v>0</v>
      </c>
      <c r="V39" s="188">
        <f t="shared" si="9"/>
        <v>6.460353654440504</v>
      </c>
      <c r="W39" s="188">
        <f t="shared" si="8"/>
        <v>0.93675127989387297</v>
      </c>
      <c r="X39" s="188">
        <f t="shared" si="10"/>
        <v>0</v>
      </c>
    </row>
    <row r="40" spans="1:24" s="201" customFormat="1">
      <c r="A40" s="179" t="str">
        <f t="shared" si="1"/>
        <v>Commercial EM-Retro</v>
      </c>
      <c r="B40" s="182" t="str">
        <f t="shared" si="2"/>
        <v>Commercial EM-Retro-MiniMart</v>
      </c>
      <c r="C40" s="182" t="str">
        <f t="shared" si="3"/>
        <v>Commercial EM-Retro-MiniMart-ElecHt</v>
      </c>
      <c r="D40" s="71" t="s">
        <v>196</v>
      </c>
      <c r="E40" s="66" t="s">
        <v>31</v>
      </c>
      <c r="F40" s="67" t="s">
        <v>192</v>
      </c>
      <c r="G40" s="67" t="s">
        <v>438</v>
      </c>
      <c r="H40" s="68">
        <f t="shared" si="11"/>
        <v>5</v>
      </c>
      <c r="I40" s="69">
        <f t="shared" si="13"/>
        <v>9.8940421863423066E-3</v>
      </c>
      <c r="J40" s="69">
        <f t="shared" si="13"/>
        <v>0.86606113087441317</v>
      </c>
      <c r="K40" s="69">
        <f t="shared" si="13"/>
        <v>1.5743440192688529E-2</v>
      </c>
      <c r="L40" s="69">
        <f t="shared" si="13"/>
        <v>0</v>
      </c>
      <c r="M40" s="183">
        <f>INDEX(Savings!$G$3:$I$24,MATCH(MMap!D58,Savings!$B$7:$B$24,0)+4,MATCH(G40,Savings!$G$4:$I$4,0))</f>
        <v>2.5846153846153843</v>
      </c>
      <c r="N40" s="183">
        <f t="shared" si="12"/>
        <v>0.55769230769230771</v>
      </c>
      <c r="O40" s="70" t="str">
        <f>VLOOKUP(A40,[1]!STOCK,Q40,FALSE)</f>
        <v>_PRE2013</v>
      </c>
      <c r="P40" s="200">
        <f t="shared" si="5"/>
        <v>0.91392039395838554</v>
      </c>
      <c r="Q40" s="70">
        <f>MATCH(D40,[1]!BLDGTYPE,0)</f>
        <v>13</v>
      </c>
      <c r="R40" s="200">
        <f t="shared" si="14"/>
        <v>0.15159440918689687</v>
      </c>
      <c r="S40" s="200">
        <f t="shared" si="14"/>
        <v>3.4906338887047794E-3</v>
      </c>
      <c r="T40" s="188">
        <f t="shared" si="7"/>
        <v>0</v>
      </c>
      <c r="U40" s="188">
        <f>IF(G40="GasHt",VLOOKUP(MMap!D40,Savings!$B$7:$N$24,11,FALSE),0)</f>
        <v>0</v>
      </c>
      <c r="V40" s="188">
        <f t="shared" si="9"/>
        <v>0</v>
      </c>
      <c r="W40" s="188">
        <f t="shared" si="8"/>
        <v>0</v>
      </c>
      <c r="X40" s="188">
        <f t="shared" si="10"/>
        <v>0</v>
      </c>
    </row>
    <row r="41" spans="1:24" s="201" customFormat="1">
      <c r="A41" s="179" t="str">
        <f t="shared" si="1"/>
        <v>Commercial EM-Retro</v>
      </c>
      <c r="B41" s="182" t="str">
        <f t="shared" si="2"/>
        <v>Commercial EM-Retro-Restaurant</v>
      </c>
      <c r="C41" s="182" t="str">
        <f t="shared" si="3"/>
        <v>Commercial EM-Retro-Restaurant-ElecHt</v>
      </c>
      <c r="D41" s="71" t="s">
        <v>161</v>
      </c>
      <c r="E41" s="66" t="s">
        <v>31</v>
      </c>
      <c r="F41" s="67" t="s">
        <v>192</v>
      </c>
      <c r="G41" s="67" t="s">
        <v>438</v>
      </c>
      <c r="H41" s="68">
        <f t="shared" si="11"/>
        <v>5</v>
      </c>
      <c r="I41" s="69">
        <f t="shared" si="13"/>
        <v>3.0050555941853869E-2</v>
      </c>
      <c r="J41" s="69">
        <f t="shared" si="13"/>
        <v>0.79365284945968273</v>
      </c>
      <c r="K41" s="69">
        <f t="shared" si="13"/>
        <v>0.17629659459846331</v>
      </c>
      <c r="L41" s="69">
        <f t="shared" si="13"/>
        <v>2.3525905182962954E-2</v>
      </c>
      <c r="M41" s="183">
        <f>INDEX(Savings!$G$3:$I$24,MATCH(MMap!D59,Savings!$B$7:$B$24,0)+4,MATCH(G41,Savings!$G$4:$I$4,0))</f>
        <v>2.5846153846153843</v>
      </c>
      <c r="N41" s="183">
        <f t="shared" si="12"/>
        <v>0.55769230769230771</v>
      </c>
      <c r="O41" s="70" t="str">
        <f>VLOOKUP(A41,[1]!STOCK,Q41,FALSE)</f>
        <v>_PRE2013</v>
      </c>
      <c r="P41" s="200">
        <f t="shared" si="5"/>
        <v>0.9581056413122655</v>
      </c>
      <c r="Q41" s="70">
        <f>MATCH(D41,[1]!BLDGTYPE,0)</f>
        <v>14</v>
      </c>
      <c r="R41" s="200">
        <f t="shared" si="14"/>
        <v>1</v>
      </c>
      <c r="S41" s="200">
        <f t="shared" si="14"/>
        <v>1.5835296654172451E-2</v>
      </c>
      <c r="T41" s="188">
        <f t="shared" si="7"/>
        <v>1.8272365692862693E-3</v>
      </c>
      <c r="U41" s="188">
        <f>IF(G41="GasHt",VLOOKUP(MMap!D41,Savings!$B$7:$N$24,11,FALSE),0)</f>
        <v>0</v>
      </c>
      <c r="V41" s="188">
        <f t="shared" si="9"/>
        <v>1.8272365692862691</v>
      </c>
      <c r="W41" s="188">
        <f t="shared" si="8"/>
        <v>0.39426979545611474</v>
      </c>
      <c r="X41" s="188">
        <f t="shared" si="10"/>
        <v>0</v>
      </c>
    </row>
    <row r="42" spans="1:24" s="201" customFormat="1">
      <c r="A42" s="179" t="str">
        <f t="shared" si="1"/>
        <v>Commercial EM-Retro</v>
      </c>
      <c r="B42" s="182" t="str">
        <f t="shared" si="2"/>
        <v>Commercial EM-Retro-Lodging</v>
      </c>
      <c r="C42" s="182" t="str">
        <f t="shared" si="3"/>
        <v>Commercial EM-Retro-Lodging-ElecHt</v>
      </c>
      <c r="D42" s="71" t="s">
        <v>5</v>
      </c>
      <c r="E42" s="66" t="s">
        <v>31</v>
      </c>
      <c r="F42" s="67" t="s">
        <v>192</v>
      </c>
      <c r="G42" s="67" t="s">
        <v>438</v>
      </c>
      <c r="H42" s="68">
        <f t="shared" si="11"/>
        <v>5</v>
      </c>
      <c r="I42" s="69">
        <f t="shared" si="13"/>
        <v>0.44679184687802564</v>
      </c>
      <c r="J42" s="69">
        <f t="shared" si="13"/>
        <v>0.24941748529786834</v>
      </c>
      <c r="K42" s="69">
        <f t="shared" si="13"/>
        <v>0.30379066782410608</v>
      </c>
      <c r="L42" s="69">
        <f t="shared" si="13"/>
        <v>7.934694377848886E-2</v>
      </c>
      <c r="M42" s="183">
        <f>INDEX(Savings!$G$3:$I$24,MATCH(MMap!D60,Savings!$B$7:$B$24,0)+4,MATCH(G42,Savings!$G$4:$I$4,0))</f>
        <v>1.6615384615384614</v>
      </c>
      <c r="N42" s="183">
        <f t="shared" si="12"/>
        <v>0.25096153846153846</v>
      </c>
      <c r="O42" s="70" t="str">
        <f>VLOOKUP(A42,[1]!STOCK,Q42,FALSE)</f>
        <v>_PRE2013</v>
      </c>
      <c r="P42" s="200">
        <f t="shared" si="5"/>
        <v>0.82644591140120194</v>
      </c>
      <c r="Q42" s="70">
        <f>MATCH(D42,[1]!BLDGTYPE,0)</f>
        <v>15</v>
      </c>
      <c r="R42" s="200">
        <f t="shared" si="14"/>
        <v>1</v>
      </c>
      <c r="S42" s="200">
        <f t="shared" si="14"/>
        <v>5.1068065124091046E-2</v>
      </c>
      <c r="T42" s="188">
        <f t="shared" si="7"/>
        <v>5.890414301432513E-2</v>
      </c>
      <c r="U42" s="188">
        <f>IF(G42="GasHt",VLOOKUP(MMap!D42,Savings!$B$7:$N$24,11,FALSE),0)</f>
        <v>0</v>
      </c>
      <c r="V42" s="188">
        <f t="shared" si="9"/>
        <v>58.904143014325136</v>
      </c>
      <c r="W42" s="188">
        <f t="shared" si="8"/>
        <v>8.8969799344553575</v>
      </c>
      <c r="X42" s="188">
        <f t="shared" si="10"/>
        <v>0</v>
      </c>
    </row>
    <row r="43" spans="1:24" s="201" customFormat="1">
      <c r="A43" s="179" t="str">
        <f t="shared" ref="A43:A74" si="15">CONCATENATE($A$6,"-",E43)</f>
        <v>Commercial EM-Retro</v>
      </c>
      <c r="B43" s="182" t="str">
        <f t="shared" ref="B43:B74" si="16">CONCATENATE(A43,"-",D43)</f>
        <v>Commercial EM-Retro-Hospital</v>
      </c>
      <c r="C43" s="182" t="str">
        <f t="shared" ref="C43:C74" si="17">CONCATENATE(A43,"-",D43,"-",G43)</f>
        <v>Commercial EM-Retro-Hospital-ElecHt</v>
      </c>
      <c r="D43" s="71" t="s">
        <v>164</v>
      </c>
      <c r="E43" s="66" t="s">
        <v>31</v>
      </c>
      <c r="F43" s="67" t="s">
        <v>192</v>
      </c>
      <c r="G43" s="67" t="s">
        <v>438</v>
      </c>
      <c r="H43" s="68">
        <f t="shared" si="11"/>
        <v>5</v>
      </c>
      <c r="I43" s="69">
        <f t="shared" si="13"/>
        <v>0.08</v>
      </c>
      <c r="J43" s="69">
        <f t="shared" si="13"/>
        <v>0.91</v>
      </c>
      <c r="K43" s="69">
        <f t="shared" si="13"/>
        <v>0.01</v>
      </c>
      <c r="L43" s="69">
        <f t="shared" si="13"/>
        <v>0.85339696790936803</v>
      </c>
      <c r="M43" s="183">
        <f>INDEX(Savings!$G$3:$I$24,MATCH(MMap!D61,Savings!$B$7:$B$24,0)+4,MATCH(G43,Savings!$G$4:$I$4,0))</f>
        <v>2.7692307692307692</v>
      </c>
      <c r="N43" s="183">
        <f t="shared" si="12"/>
        <v>0.27884615384615385</v>
      </c>
      <c r="O43" s="70" t="str">
        <f>VLOOKUP(A43,[1]!STOCK,Q43,FALSE)</f>
        <v>_PRE2013</v>
      </c>
      <c r="P43" s="200">
        <f t="shared" ref="P43:P64" si="18">VLOOKUP(P$9,V_PRE2013,$Q43,FALSE)</f>
        <v>0.95</v>
      </c>
      <c r="Q43" s="70">
        <f>MATCH(D43,[1]!BLDGTYPE,0)</f>
        <v>16</v>
      </c>
      <c r="R43" s="200">
        <f t="shared" si="14"/>
        <v>1</v>
      </c>
      <c r="S43" s="200">
        <f t="shared" si="14"/>
        <v>3.0978070527759683E-2</v>
      </c>
      <c r="T43" s="188">
        <f t="shared" ref="T43:T74" si="19">M43*L43*INDEX($I$8:$K$118,ROW()-7,MATCH(G43,$I$8:$K$8))</f>
        <v>0.18906025135222923</v>
      </c>
      <c r="U43" s="188">
        <f>IF(G43="GasHt",VLOOKUP(MMap!D43,Savings!$B$7:$N$24,11,FALSE),0)</f>
        <v>0</v>
      </c>
      <c r="V43" s="188">
        <f t="shared" si="9"/>
        <v>189.06025135222922</v>
      </c>
      <c r="W43" s="188">
        <f t="shared" ref="W43:W74" si="20">$N43*$L43*$W$8*HLOOKUP($G43,$I$8:$K$118,ROW()-7,FALSE)</f>
        <v>19.037316976439751</v>
      </c>
      <c r="X43" s="188">
        <f t="shared" si="10"/>
        <v>0</v>
      </c>
    </row>
    <row r="44" spans="1:24" s="201" customFormat="1">
      <c r="A44" s="179" t="str">
        <f t="shared" si="15"/>
        <v>Commercial EM-Retro</v>
      </c>
      <c r="B44" s="182" t="str">
        <f t="shared" si="16"/>
        <v>Commercial EM-Retro-Residential Care</v>
      </c>
      <c r="C44" s="182" t="str">
        <f t="shared" si="17"/>
        <v>Commercial EM-Retro-Residential Care-ElecHt</v>
      </c>
      <c r="D44" s="71" t="s">
        <v>7</v>
      </c>
      <c r="E44" s="66" t="s">
        <v>31</v>
      </c>
      <c r="F44" s="67" t="s">
        <v>192</v>
      </c>
      <c r="G44" s="67" t="s">
        <v>438</v>
      </c>
      <c r="H44" s="68">
        <f t="shared" si="11"/>
        <v>5</v>
      </c>
      <c r="I44" s="69">
        <f t="shared" si="13"/>
        <v>0.33985691133471541</v>
      </c>
      <c r="J44" s="69">
        <f t="shared" si="13"/>
        <v>0.40556621261939335</v>
      </c>
      <c r="K44" s="69">
        <f t="shared" si="13"/>
        <v>0.25457687604589124</v>
      </c>
      <c r="L44" s="69">
        <f t="shared" si="13"/>
        <v>7.6228114216259218E-2</v>
      </c>
      <c r="M44" s="183">
        <f>INDEX(Savings!$G$3:$I$24,MATCH(MMap!D62,Savings!$B$7:$B$24,0)+4,MATCH(G44,Savings!$G$4:$I$4,0))</f>
        <v>2.3446153846153841</v>
      </c>
      <c r="N44" s="183">
        <f t="shared" si="12"/>
        <v>0.27884615384615385</v>
      </c>
      <c r="O44" s="70" t="str">
        <f>VLOOKUP(A44,[1]!STOCK,Q44,FALSE)</f>
        <v>_PRE2013</v>
      </c>
      <c r="P44" s="200">
        <f t="shared" si="18"/>
        <v>0.82648440258098632</v>
      </c>
      <c r="Q44" s="70">
        <f>MATCH(D44,[1]!BLDGTYPE,0)</f>
        <v>17</v>
      </c>
      <c r="R44" s="200">
        <f t="shared" si="14"/>
        <v>1</v>
      </c>
      <c r="S44" s="200">
        <f t="shared" si="14"/>
        <v>3.7369486472404026E-2</v>
      </c>
      <c r="T44" s="188">
        <f t="shared" si="19"/>
        <v>6.0741133563872972E-2</v>
      </c>
      <c r="U44" s="188">
        <f>IF(G44="GasHt",VLOOKUP(MMap!D44,Savings!$B$7:$N$24,11,FALSE),0)</f>
        <v>0</v>
      </c>
      <c r="V44" s="188">
        <f t="shared" ref="V44:V75" si="21">M44*L44*$V$8*HLOOKUP(G44,$I$8:$K$118,ROW()-7,FALSE)</f>
        <v>60.741133563872978</v>
      </c>
      <c r="W44" s="188">
        <f t="shared" si="20"/>
        <v>7.2239701170944741</v>
      </c>
      <c r="X44" s="188">
        <f t="shared" si="10"/>
        <v>0</v>
      </c>
    </row>
    <row r="45" spans="1:24" s="201" customFormat="1">
      <c r="A45" s="179" t="str">
        <f t="shared" si="15"/>
        <v>Commercial EM-Retro</v>
      </c>
      <c r="B45" s="182" t="str">
        <f t="shared" si="16"/>
        <v>Commercial EM-Retro-Assembly</v>
      </c>
      <c r="C45" s="182" t="str">
        <f t="shared" si="17"/>
        <v>Commercial EM-Retro-Assembly-ElecHt</v>
      </c>
      <c r="D45" s="71" t="s">
        <v>3</v>
      </c>
      <c r="E45" s="66" t="s">
        <v>31</v>
      </c>
      <c r="F45" s="67" t="s">
        <v>192</v>
      </c>
      <c r="G45" s="67" t="s">
        <v>438</v>
      </c>
      <c r="H45" s="68">
        <f t="shared" si="11"/>
        <v>5</v>
      </c>
      <c r="I45" s="69">
        <f t="shared" si="13"/>
        <v>0.10640191237323121</v>
      </c>
      <c r="J45" s="69">
        <f t="shared" si="13"/>
        <v>0.77815390025512432</v>
      </c>
      <c r="K45" s="69">
        <f t="shared" si="13"/>
        <v>0.11544418737164447</v>
      </c>
      <c r="L45" s="69">
        <f t="shared" si="13"/>
        <v>0.16854152512418574</v>
      </c>
      <c r="M45" s="183">
        <f>INDEX(Savings!$G$3:$I$24,MATCH(MMap!D63,Savings!$B$7:$B$24,0)+4,MATCH(G45,Savings!$G$4:$I$4,0))</f>
        <v>1.569230769230769</v>
      </c>
      <c r="N45" s="183">
        <f t="shared" si="12"/>
        <v>0.25096153846153846</v>
      </c>
      <c r="O45" s="70" t="str">
        <f>VLOOKUP(A45,[1]!STOCK,Q45,FALSE)</f>
        <v>_PRE2013</v>
      </c>
      <c r="P45" s="200">
        <f t="shared" si="18"/>
        <v>0.77184416415983825</v>
      </c>
      <c r="Q45" s="70">
        <f>MATCH(D45,[1]!BLDGTYPE,0)</f>
        <v>18</v>
      </c>
      <c r="R45" s="200">
        <f t="shared" si="14"/>
        <v>1</v>
      </c>
      <c r="S45" s="200">
        <f t="shared" si="14"/>
        <v>0.11013494038183547</v>
      </c>
      <c r="T45" s="188">
        <f t="shared" si="19"/>
        <v>2.8141235998868683E-2</v>
      </c>
      <c r="U45" s="188">
        <f>IF(G45="GasHt",VLOOKUP(MMap!D45,Savings!$B$7:$N$24,11,FALSE),0)</f>
        <v>0</v>
      </c>
      <c r="V45" s="188">
        <f t="shared" si="21"/>
        <v>28.141235998868684</v>
      </c>
      <c r="W45" s="188">
        <f t="shared" si="20"/>
        <v>4.5005285512896611</v>
      </c>
      <c r="X45" s="188">
        <f t="shared" si="10"/>
        <v>0</v>
      </c>
    </row>
    <row r="46" spans="1:24" s="201" customFormat="1">
      <c r="A46" s="179" t="str">
        <f t="shared" si="15"/>
        <v>Commercial EM-Retro</v>
      </c>
      <c r="B46" s="182" t="str">
        <f t="shared" si="16"/>
        <v>Commercial EM-Retro-Other</v>
      </c>
      <c r="C46" s="182" t="str">
        <f t="shared" si="17"/>
        <v>Commercial EM-Retro-Other-ElecHt</v>
      </c>
      <c r="D46" s="71" t="s">
        <v>11</v>
      </c>
      <c r="E46" s="66" t="s">
        <v>31</v>
      </c>
      <c r="F46" s="67" t="s">
        <v>192</v>
      </c>
      <c r="G46" s="67" t="s">
        <v>438</v>
      </c>
      <c r="H46" s="68">
        <f t="shared" si="11"/>
        <v>5</v>
      </c>
      <c r="I46" s="69">
        <f t="shared" si="13"/>
        <v>0.16939513747697868</v>
      </c>
      <c r="J46" s="69">
        <f t="shared" si="13"/>
        <v>0.7257160432726234</v>
      </c>
      <c r="K46" s="69">
        <f t="shared" si="13"/>
        <v>0.104888819250398</v>
      </c>
      <c r="L46" s="69">
        <f t="shared" si="13"/>
        <v>0.20051702037858005</v>
      </c>
      <c r="M46" s="183">
        <f>INDEX(Savings!$G$3:$I$24,MATCH(MMap!D64,Savings!$B$7:$B$24,0)+4,MATCH(G46,Savings!$G$4:$I$4,0))</f>
        <v>1.569230769230769</v>
      </c>
      <c r="N46" s="183">
        <f t="shared" si="12"/>
        <v>0.25096153846153846</v>
      </c>
      <c r="O46" s="70" t="str">
        <f>VLOOKUP(A46,[1]!STOCK,Q46,FALSE)</f>
        <v>_PRE2013</v>
      </c>
      <c r="P46" s="200">
        <f t="shared" si="18"/>
        <v>0.71310077098671132</v>
      </c>
      <c r="Q46" s="70">
        <f>MATCH(D46,[1]!BLDGTYPE,0)</f>
        <v>19</v>
      </c>
      <c r="R46" s="200">
        <f t="shared" si="14"/>
        <v>1</v>
      </c>
      <c r="S46" s="200">
        <f t="shared" si="14"/>
        <v>9.9554262623279946E-2</v>
      </c>
      <c r="T46" s="188">
        <f t="shared" si="19"/>
        <v>5.3301446766421193E-2</v>
      </c>
      <c r="U46" s="188">
        <f>IF(G46="GasHt",VLOOKUP(MMap!D46,Savings!$B$7:$N$24,11,FALSE),0)</f>
        <v>0</v>
      </c>
      <c r="V46" s="188">
        <f t="shared" si="21"/>
        <v>53.301446766421194</v>
      </c>
      <c r="W46" s="188">
        <f t="shared" si="20"/>
        <v>8.5243122586004478</v>
      </c>
      <c r="X46" s="188">
        <f t="shared" si="10"/>
        <v>0</v>
      </c>
    </row>
    <row r="47" spans="1:24" s="201" customFormat="1">
      <c r="A47" s="179" t="str">
        <f t="shared" si="15"/>
        <v>Commercial EM-Retro</v>
      </c>
      <c r="B47" s="182" t="str">
        <f t="shared" si="16"/>
        <v>Commercial EM-Retro-Large Off</v>
      </c>
      <c r="C47" s="182" t="str">
        <f t="shared" si="17"/>
        <v>Commercial EM-Retro-Large Off-HtPmpHt</v>
      </c>
      <c r="D47" s="66" t="s">
        <v>148</v>
      </c>
      <c r="E47" s="66" t="s">
        <v>31</v>
      </c>
      <c r="F47" s="67" t="s">
        <v>192</v>
      </c>
      <c r="G47" s="67" t="s">
        <v>439</v>
      </c>
      <c r="H47" s="68">
        <f t="shared" si="11"/>
        <v>5</v>
      </c>
      <c r="I47" s="69">
        <f t="shared" si="13"/>
        <v>0.20943280302167308</v>
      </c>
      <c r="J47" s="69">
        <f t="shared" si="13"/>
        <v>0.54037060186620078</v>
      </c>
      <c r="K47" s="69">
        <f t="shared" si="13"/>
        <v>0.25019659511212627</v>
      </c>
      <c r="L47" s="69">
        <f t="shared" si="13"/>
        <v>0.63007020528877222</v>
      </c>
      <c r="M47" s="183">
        <f>INDEX(Savings!$G$3:$I$24,MATCH(MMap!D83,Savings!$B$7:$B$24,0)+4,MATCH(G47,Savings!$G$4:$I$4,0))</f>
        <v>1.1224615384615384</v>
      </c>
      <c r="N47" s="183">
        <f t="shared" si="12"/>
        <v>0.25096153846153846</v>
      </c>
      <c r="O47" s="70" t="str">
        <f>VLOOKUP(A47,[1]!STOCK,Q47,FALSE)</f>
        <v>_PRE2013</v>
      </c>
      <c r="P47" s="200">
        <f t="shared" si="18"/>
        <v>0.76889412716362515</v>
      </c>
      <c r="Q47" s="70">
        <f>MATCH(D47,[1]!BLDGTYPE,0)</f>
        <v>2</v>
      </c>
      <c r="R47" s="200">
        <f t="shared" si="14"/>
        <v>0.43937391922213881</v>
      </c>
      <c r="S47" s="200">
        <f t="shared" si="14"/>
        <v>9.6336650827114415E-2</v>
      </c>
      <c r="T47" s="188">
        <f t="shared" si="19"/>
        <v>0.17694643086880305</v>
      </c>
      <c r="U47" s="188">
        <f>IF(G47="GasHt",VLOOKUP(MMap!D47,Savings!$B$7:$N$24,11,FALSE),0)</f>
        <v>0</v>
      </c>
      <c r="V47" s="188">
        <f t="shared" si="21"/>
        <v>176.94643086880305</v>
      </c>
      <c r="W47" s="188">
        <f t="shared" si="20"/>
        <v>39.561933299716969</v>
      </c>
      <c r="X47" s="188">
        <f t="shared" si="10"/>
        <v>0</v>
      </c>
    </row>
    <row r="48" spans="1:24" s="201" customFormat="1">
      <c r="A48" s="179" t="str">
        <f t="shared" si="15"/>
        <v>Commercial EM-Retro</v>
      </c>
      <c r="B48" s="182" t="str">
        <f t="shared" si="16"/>
        <v>Commercial EM-Retro-Medium Off</v>
      </c>
      <c r="C48" s="182" t="str">
        <f t="shared" si="17"/>
        <v>Commercial EM-Retro-Medium Off-HtPmpHt</v>
      </c>
      <c r="D48" s="71" t="s">
        <v>149</v>
      </c>
      <c r="E48" s="66" t="s">
        <v>31</v>
      </c>
      <c r="F48" s="67" t="s">
        <v>192</v>
      </c>
      <c r="G48" s="67" t="s">
        <v>439</v>
      </c>
      <c r="H48" s="68">
        <f t="shared" si="11"/>
        <v>5</v>
      </c>
      <c r="I48" s="69">
        <f t="shared" si="13"/>
        <v>0.22131165109110185</v>
      </c>
      <c r="J48" s="69">
        <f t="shared" si="13"/>
        <v>0.51430081857580845</v>
      </c>
      <c r="K48" s="69">
        <f t="shared" si="13"/>
        <v>0.26438753033308959</v>
      </c>
      <c r="L48" s="69">
        <f t="shared" si="13"/>
        <v>9.3963931374592982E-2</v>
      </c>
      <c r="M48" s="183">
        <f>INDEX(Savings!$G$3:$I$24,MATCH(MMap!D84,Savings!$B$7:$B$24,0)+4,MATCH(G48,Savings!$G$4:$I$4,0))</f>
        <v>0.93784615384615377</v>
      </c>
      <c r="N48" s="183">
        <f t="shared" si="12"/>
        <v>0.25096153846153846</v>
      </c>
      <c r="O48" s="70" t="str">
        <f>VLOOKUP(A48,[1]!STOCK,Q48,FALSE)</f>
        <v>_PRE2013</v>
      </c>
      <c r="P48" s="200">
        <f t="shared" si="18"/>
        <v>0.9156533727398849</v>
      </c>
      <c r="Q48" s="70">
        <f>MATCH(D48,[1]!BLDGTYPE,0)</f>
        <v>3</v>
      </c>
      <c r="R48" s="200">
        <f t="shared" si="14"/>
        <v>0.43063730719145626</v>
      </c>
      <c r="S48" s="200">
        <f t="shared" si="14"/>
        <v>9.4421070712341362E-2</v>
      </c>
      <c r="T48" s="188">
        <f t="shared" si="19"/>
        <v>2.3298810484265367E-2</v>
      </c>
      <c r="U48" s="188">
        <f>IF(G48="GasHt",VLOOKUP(MMap!D48,Savings!$B$7:$N$24,11,FALSE),0)</f>
        <v>0</v>
      </c>
      <c r="V48" s="188">
        <f t="shared" si="21"/>
        <v>23.298810484265367</v>
      </c>
      <c r="W48" s="188">
        <f t="shared" si="20"/>
        <v>6.234610335048866</v>
      </c>
      <c r="X48" s="188">
        <f t="shared" si="10"/>
        <v>0</v>
      </c>
    </row>
    <row r="49" spans="1:24" s="201" customFormat="1">
      <c r="A49" s="179" t="str">
        <f t="shared" si="15"/>
        <v>Commercial EM-Retro</v>
      </c>
      <c r="B49" s="182" t="str">
        <f t="shared" si="16"/>
        <v>Commercial EM-Retro-Small Off</v>
      </c>
      <c r="C49" s="182" t="str">
        <f t="shared" si="17"/>
        <v>Commercial EM-Retro-Small Off-HtPmpHt</v>
      </c>
      <c r="D49" s="71" t="s">
        <v>150</v>
      </c>
      <c r="E49" s="66" t="s">
        <v>31</v>
      </c>
      <c r="F49" s="67" t="s">
        <v>192</v>
      </c>
      <c r="G49" s="67" t="s">
        <v>439</v>
      </c>
      <c r="H49" s="68">
        <f t="shared" si="11"/>
        <v>5</v>
      </c>
      <c r="I49" s="69">
        <f t="shared" si="13"/>
        <v>0.30640942705415353</v>
      </c>
      <c r="J49" s="69">
        <f t="shared" si="13"/>
        <v>0.3275419203320854</v>
      </c>
      <c r="K49" s="69">
        <f t="shared" si="13"/>
        <v>0.36604865261376096</v>
      </c>
      <c r="L49" s="69">
        <f t="shared" si="13"/>
        <v>2.9006395725036469E-2</v>
      </c>
      <c r="M49" s="183">
        <f>INDEX(Savings!$G$3:$I$24,MATCH(MMap!D85,Savings!$B$7:$B$24,0)+4,MATCH(G49,Savings!$G$4:$I$4,0))</f>
        <v>0.79015384615384598</v>
      </c>
      <c r="N49" s="183">
        <f t="shared" si="12"/>
        <v>0.55769230769230771</v>
      </c>
      <c r="O49" s="70" t="str">
        <f>VLOOKUP(A49,[1]!STOCK,Q49,FALSE)</f>
        <v>_PRE2013</v>
      </c>
      <c r="P49" s="200">
        <f t="shared" si="18"/>
        <v>0.85579006639653332</v>
      </c>
      <c r="Q49" s="70">
        <f>MATCH(D49,[1]!BLDGTYPE,0)</f>
        <v>4</v>
      </c>
      <c r="R49" s="200">
        <f t="shared" si="14"/>
        <v>0.12998877358640493</v>
      </c>
      <c r="S49" s="200">
        <f t="shared" si="14"/>
        <v>2.8501198056107426E-2</v>
      </c>
      <c r="T49" s="188">
        <f t="shared" si="19"/>
        <v>8.3896576374604317E-3</v>
      </c>
      <c r="U49" s="188">
        <f>IF(G49="GasHt",VLOOKUP(MMap!D49,Savings!$B$7:$N$24,11,FALSE),0)</f>
        <v>0</v>
      </c>
      <c r="V49" s="188">
        <f t="shared" si="21"/>
        <v>8.3896576374604308</v>
      </c>
      <c r="W49" s="188">
        <f t="shared" si="20"/>
        <v>5.9214386557231435</v>
      </c>
      <c r="X49" s="188">
        <f t="shared" si="10"/>
        <v>0</v>
      </c>
    </row>
    <row r="50" spans="1:24" s="201" customFormat="1">
      <c r="A50" s="179" t="str">
        <f t="shared" si="15"/>
        <v>Commercial EM-Retro</v>
      </c>
      <c r="B50" s="182" t="str">
        <f t="shared" si="16"/>
        <v>Commercial EM-Retro-Xlarge Ret</v>
      </c>
      <c r="C50" s="182" t="str">
        <f t="shared" si="17"/>
        <v>Commercial EM-Retro-Xlarge Ret-HtPmpHt</v>
      </c>
      <c r="D50" s="71" t="s">
        <v>197</v>
      </c>
      <c r="E50" s="66" t="s">
        <v>31</v>
      </c>
      <c r="F50" s="67" t="s">
        <v>192</v>
      </c>
      <c r="G50" s="67" t="s">
        <v>439</v>
      </c>
      <c r="H50" s="68">
        <f t="shared" si="11"/>
        <v>5</v>
      </c>
      <c r="I50" s="69">
        <f t="shared" si="13"/>
        <v>5.2995881766435368E-2</v>
      </c>
      <c r="J50" s="69">
        <f t="shared" si="13"/>
        <v>0.91606730000738101</v>
      </c>
      <c r="K50" s="69">
        <f t="shared" si="13"/>
        <v>3.0936818226183656E-2</v>
      </c>
      <c r="L50" s="69">
        <f t="shared" si="13"/>
        <v>3.9164397027771525E-2</v>
      </c>
      <c r="M50" s="183">
        <f>INDEX(Savings!$G$3:$I$24,MATCH(MMap!D86,Savings!$B$7:$B$24,0)+4,MATCH(G50,Savings!$G$4:$I$4,0))</f>
        <v>0.93784615384615377</v>
      </c>
      <c r="N50" s="183">
        <f t="shared" si="12"/>
        <v>0.25096153846153846</v>
      </c>
      <c r="O50" s="70" t="str">
        <f>VLOOKUP(A50,[1]!STOCK,Q50,FALSE)</f>
        <v>_PRE2013</v>
      </c>
      <c r="P50" s="200">
        <f t="shared" si="18"/>
        <v>0.95160006380782447</v>
      </c>
      <c r="Q50" s="70">
        <f>MATCH(D50,[1]!BLDGTYPE,0)</f>
        <v>5</v>
      </c>
      <c r="R50" s="200">
        <f t="shared" si="14"/>
        <v>0.23462323739305441</v>
      </c>
      <c r="S50" s="200">
        <f t="shared" si="14"/>
        <v>3.999473857861454E-2</v>
      </c>
      <c r="T50" s="188">
        <f t="shared" si="19"/>
        <v>1.1363148748567708E-3</v>
      </c>
      <c r="U50" s="188">
        <f>IF(G50="GasHt",VLOOKUP(MMap!D50,Savings!$B$7:$N$24,11,FALSE),0)</f>
        <v>0</v>
      </c>
      <c r="V50" s="188">
        <f t="shared" si="21"/>
        <v>1.1363148748567709</v>
      </c>
      <c r="W50" s="188">
        <f t="shared" si="20"/>
        <v>0.30407047893866596</v>
      </c>
      <c r="X50" s="188">
        <f t="shared" si="10"/>
        <v>0</v>
      </c>
    </row>
    <row r="51" spans="1:24" s="201" customFormat="1">
      <c r="A51" s="179" t="str">
        <f t="shared" si="15"/>
        <v>Commercial EM-Retro</v>
      </c>
      <c r="B51" s="182" t="str">
        <f t="shared" si="16"/>
        <v>Commercial EM-Retro-Large Ret</v>
      </c>
      <c r="C51" s="182" t="str">
        <f t="shared" si="17"/>
        <v>Commercial EM-Retro-Large Ret-HtPmpHt</v>
      </c>
      <c r="D51" s="71" t="s">
        <v>169</v>
      </c>
      <c r="E51" s="66" t="s">
        <v>31</v>
      </c>
      <c r="F51" s="67" t="s">
        <v>192</v>
      </c>
      <c r="G51" s="67" t="s">
        <v>439</v>
      </c>
      <c r="H51" s="68">
        <f t="shared" si="11"/>
        <v>5</v>
      </c>
      <c r="I51" s="69">
        <f t="shared" ref="I51:L64" si="22">VLOOKUP(I$9,V_PRE2013,$Q51,FALSE)</f>
        <v>1.0593107738682607E-2</v>
      </c>
      <c r="J51" s="69">
        <f t="shared" si="22"/>
        <v>0.98322307122393326</v>
      </c>
      <c r="K51" s="69">
        <f t="shared" si="22"/>
        <v>6.1838210373840949E-3</v>
      </c>
      <c r="L51" s="69">
        <f t="shared" si="22"/>
        <v>0.25776672816535129</v>
      </c>
      <c r="M51" s="183">
        <f>INDEX(Savings!$G$3:$I$24,MATCH(MMap!D87,Savings!$B$7:$B$24,0)+4,MATCH(G51,Savings!$G$4:$I$4,0))</f>
        <v>1.0338461538461536</v>
      </c>
      <c r="N51" s="183">
        <f t="shared" si="12"/>
        <v>0.55769230769230771</v>
      </c>
      <c r="O51" s="70" t="str">
        <f>VLOOKUP(A51,[1]!STOCK,Q51,FALSE)</f>
        <v>_PRE2013</v>
      </c>
      <c r="P51" s="200">
        <f t="shared" si="18"/>
        <v>0.98526989662125641</v>
      </c>
      <c r="Q51" s="70">
        <f>MATCH(D51,[1]!BLDGTYPE,0)</f>
        <v>6</v>
      </c>
      <c r="R51" s="200">
        <f t="shared" ref="R51:S64" si="23">VLOOKUP(R$9,V_PRE2013,$Q51,FALSE)</f>
        <v>5.5262096022427078E-2</v>
      </c>
      <c r="S51" s="200">
        <f t="shared" si="23"/>
        <v>9.4201798094731004E-3</v>
      </c>
      <c r="T51" s="188">
        <f t="shared" si="19"/>
        <v>1.6479335209205117E-3</v>
      </c>
      <c r="U51" s="188">
        <f>IF(G51="GasHt",VLOOKUP(MMap!D51,Savings!$B$7:$N$24,11,FALSE),0)</f>
        <v>0</v>
      </c>
      <c r="V51" s="188">
        <f t="shared" si="21"/>
        <v>1.6479335209205117</v>
      </c>
      <c r="W51" s="188">
        <f t="shared" si="20"/>
        <v>0.88895223412750846</v>
      </c>
      <c r="X51" s="188">
        <f t="shared" si="10"/>
        <v>0</v>
      </c>
    </row>
    <row r="52" spans="1:24" s="201" customFormat="1">
      <c r="A52" s="179" t="str">
        <f t="shared" si="15"/>
        <v>Commercial EM-Retro</v>
      </c>
      <c r="B52" s="182" t="str">
        <f t="shared" si="16"/>
        <v>Commercial EM-Retro-Medium Ret</v>
      </c>
      <c r="C52" s="182" t="str">
        <f t="shared" si="17"/>
        <v>Commercial EM-Retro-Medium Ret-HtPmpHt</v>
      </c>
      <c r="D52" s="71" t="s">
        <v>168</v>
      </c>
      <c r="E52" s="66" t="s">
        <v>31</v>
      </c>
      <c r="F52" s="67" t="s">
        <v>192</v>
      </c>
      <c r="G52" s="67" t="s">
        <v>439</v>
      </c>
      <c r="H52" s="68">
        <f t="shared" si="11"/>
        <v>5</v>
      </c>
      <c r="I52" s="69">
        <f t="shared" si="22"/>
        <v>0.12006240959495594</v>
      </c>
      <c r="J52" s="69">
        <f t="shared" si="22"/>
        <v>0.80985008893074606</v>
      </c>
      <c r="K52" s="69">
        <f t="shared" si="22"/>
        <v>7.0087501474297986E-2</v>
      </c>
      <c r="L52" s="69">
        <f t="shared" si="22"/>
        <v>2.7574670878248778E-2</v>
      </c>
      <c r="M52" s="183">
        <f>INDEX(Savings!$G$3:$I$24,MATCH(MMap!D88,Savings!$B$7:$B$24,0)+4,MATCH(G52,Savings!$G$4:$I$4,0))</f>
        <v>1.4399999999999997</v>
      </c>
      <c r="N52" s="183">
        <f t="shared" si="12"/>
        <v>0.55769230769230771</v>
      </c>
      <c r="O52" s="70" t="str">
        <f>VLOOKUP(A52,[1]!STOCK,Q52,FALSE)</f>
        <v>_PRE2013</v>
      </c>
      <c r="P52" s="200">
        <f t="shared" si="18"/>
        <v>0.65234151837252696</v>
      </c>
      <c r="Q52" s="70">
        <f>MATCH(D52,[1]!BLDGTYPE,0)</f>
        <v>7</v>
      </c>
      <c r="R52" s="200">
        <f t="shared" si="23"/>
        <v>0.60637878991755256</v>
      </c>
      <c r="S52" s="200">
        <f t="shared" si="23"/>
        <v>0.10336555514209726</v>
      </c>
      <c r="T52" s="188">
        <f t="shared" si="19"/>
        <v>2.7830012915988616E-3</v>
      </c>
      <c r="U52" s="188">
        <f>IF(G52="GasHt",VLOOKUP(MMap!D52,Savings!$B$7:$N$24,11,FALSE),0)</f>
        <v>0</v>
      </c>
      <c r="V52" s="188">
        <f t="shared" si="21"/>
        <v>2.7830012915988616</v>
      </c>
      <c r="W52" s="188">
        <f t="shared" si="20"/>
        <v>1.0778183420989182</v>
      </c>
      <c r="X52" s="188">
        <f t="shared" si="10"/>
        <v>0</v>
      </c>
    </row>
    <row r="53" spans="1:24" s="201" customFormat="1">
      <c r="A53" s="179" t="str">
        <f t="shared" si="15"/>
        <v>Commercial EM-Retro</v>
      </c>
      <c r="B53" s="182" t="str">
        <f t="shared" si="16"/>
        <v>Commercial EM-Retro-Small Ret</v>
      </c>
      <c r="C53" s="182" t="str">
        <f t="shared" si="17"/>
        <v>Commercial EM-Retro-Small Ret-HtPmpHt</v>
      </c>
      <c r="D53" s="71" t="s">
        <v>170</v>
      </c>
      <c r="E53" s="66" t="s">
        <v>31</v>
      </c>
      <c r="F53" s="67" t="s">
        <v>192</v>
      </c>
      <c r="G53" s="67" t="s">
        <v>439</v>
      </c>
      <c r="H53" s="68">
        <f t="shared" si="11"/>
        <v>5</v>
      </c>
      <c r="I53" s="69">
        <f t="shared" si="22"/>
        <v>0.2732917310450087</v>
      </c>
      <c r="J53" s="69">
        <f t="shared" si="22"/>
        <v>0.56717178566142912</v>
      </c>
      <c r="K53" s="69">
        <f t="shared" si="22"/>
        <v>0.15953648329356207</v>
      </c>
      <c r="L53" s="69">
        <f t="shared" si="22"/>
        <v>0.10146503328904084</v>
      </c>
      <c r="M53" s="183">
        <f>INDEX(Savings!$G$3:$I$24,MATCH(MMap!D89,Savings!$B$7:$B$24,0)+4,MATCH(G53,Savings!$G$4:$I$4,0))</f>
        <v>1.4953846153846151</v>
      </c>
      <c r="N53" s="183">
        <f t="shared" si="12"/>
        <v>0.25096153846153846</v>
      </c>
      <c r="O53" s="70" t="str">
        <f>VLOOKUP(A53,[1]!STOCK,Q53,FALSE)</f>
        <v>_PRE2013</v>
      </c>
      <c r="P53" s="200">
        <f t="shared" si="18"/>
        <v>0.66014461756611731</v>
      </c>
      <c r="Q53" s="70">
        <f>MATCH(D53,[1]!BLDGTYPE,0)</f>
        <v>8</v>
      </c>
      <c r="R53" s="200">
        <f t="shared" si="23"/>
        <v>0.10373587666696588</v>
      </c>
      <c r="S53" s="200">
        <f t="shared" si="23"/>
        <v>1.7683198453051097E-2</v>
      </c>
      <c r="T53" s="188">
        <f t="shared" si="19"/>
        <v>2.4206350922658833E-2</v>
      </c>
      <c r="U53" s="188">
        <f>IF(G53="GasHt",VLOOKUP(MMap!D53,Savings!$B$7:$N$24,11,FALSE),0)</f>
        <v>0</v>
      </c>
      <c r="V53" s="188">
        <f t="shared" si="21"/>
        <v>24.206350922658835</v>
      </c>
      <c r="W53" s="188">
        <f t="shared" si="20"/>
        <v>4.062408430307328</v>
      </c>
      <c r="X53" s="188">
        <f t="shared" si="10"/>
        <v>0</v>
      </c>
    </row>
    <row r="54" spans="1:24" s="201" customFormat="1">
      <c r="A54" s="179" t="str">
        <f t="shared" si="15"/>
        <v>Commercial EM-Retro</v>
      </c>
      <c r="B54" s="182" t="str">
        <f t="shared" si="16"/>
        <v>Commercial EM-Retro-School K-12</v>
      </c>
      <c r="C54" s="182" t="str">
        <f t="shared" si="17"/>
        <v>Commercial EM-Retro-School K-12-HtPmpHt</v>
      </c>
      <c r="D54" s="71" t="s">
        <v>171</v>
      </c>
      <c r="E54" s="66" t="s">
        <v>31</v>
      </c>
      <c r="F54" s="67" t="s">
        <v>192</v>
      </c>
      <c r="G54" s="67" t="s">
        <v>439</v>
      </c>
      <c r="H54" s="68">
        <f t="shared" si="11"/>
        <v>5</v>
      </c>
      <c r="I54" s="69">
        <f t="shared" si="22"/>
        <v>5.8369343906151915E-2</v>
      </c>
      <c r="J54" s="69">
        <f t="shared" si="22"/>
        <v>0.84777782221188291</v>
      </c>
      <c r="K54" s="69">
        <f t="shared" si="22"/>
        <v>9.3852833881965178E-2</v>
      </c>
      <c r="L54" s="69">
        <f t="shared" si="22"/>
        <v>0.29515325476216947</v>
      </c>
      <c r="M54" s="183">
        <f>INDEX(Savings!$G$3:$I$24,MATCH(MMap!D90,Savings!$B$7:$B$24,0)+4,MATCH(G54,Savings!$G$4:$I$4,0))</f>
        <v>0.8307692307692307</v>
      </c>
      <c r="N54" s="183">
        <f t="shared" si="12"/>
        <v>0.27884615384615385</v>
      </c>
      <c r="O54" s="70" t="str">
        <f>VLOOKUP(A54,[1]!STOCK,Q54,FALSE)</f>
        <v>_PRE2013</v>
      </c>
      <c r="P54" s="200">
        <f t="shared" si="18"/>
        <v>0.69618308739231149</v>
      </c>
      <c r="Q54" s="70">
        <f>MATCH(D54,[1]!BLDGTYPE,0)</f>
        <v>9</v>
      </c>
      <c r="R54" s="200">
        <f t="shared" si="23"/>
        <v>0.66429751499430445</v>
      </c>
      <c r="S54" s="200">
        <f t="shared" si="23"/>
        <v>7.3255633922263544E-2</v>
      </c>
      <c r="T54" s="188">
        <f t="shared" si="19"/>
        <v>2.3013113030791121E-2</v>
      </c>
      <c r="U54" s="188">
        <f>IF(G54="GasHt",VLOOKUP(MMap!D54,Savings!$B$7:$N$24,11,FALSE),0)</f>
        <v>0</v>
      </c>
      <c r="V54" s="188">
        <f t="shared" si="21"/>
        <v>23.013113030791118</v>
      </c>
      <c r="W54" s="188">
        <f t="shared" si="20"/>
        <v>7.7243087719090573</v>
      </c>
      <c r="X54" s="188">
        <f t="shared" si="10"/>
        <v>0</v>
      </c>
    </row>
    <row r="55" spans="1:24" s="201" customFormat="1">
      <c r="A55" s="179" t="str">
        <f t="shared" si="15"/>
        <v>Commercial EM-Retro</v>
      </c>
      <c r="B55" s="182" t="str">
        <f t="shared" si="16"/>
        <v>Commercial EM-Retro-University</v>
      </c>
      <c r="C55" s="182" t="str">
        <f t="shared" si="17"/>
        <v>Commercial EM-Retro-University-HtPmpHt</v>
      </c>
      <c r="D55" s="71" t="s">
        <v>155</v>
      </c>
      <c r="E55" s="66" t="s">
        <v>31</v>
      </c>
      <c r="F55" s="67" t="s">
        <v>192</v>
      </c>
      <c r="G55" s="67" t="s">
        <v>439</v>
      </c>
      <c r="H55" s="68">
        <f t="shared" si="11"/>
        <v>5</v>
      </c>
      <c r="I55" s="69">
        <f t="shared" si="22"/>
        <v>0.1</v>
      </c>
      <c r="J55" s="69">
        <f t="shared" si="22"/>
        <v>0.8</v>
      </c>
      <c r="K55" s="69">
        <f t="shared" si="22"/>
        <v>0.1</v>
      </c>
      <c r="L55" s="69">
        <f t="shared" si="22"/>
        <v>0.77756785592800526</v>
      </c>
      <c r="M55" s="183">
        <f>INDEX(Savings!$G$3:$I$24,MATCH(MMap!D91,Savings!$B$7:$B$24,0)+4,MATCH(G55,Savings!$G$4:$I$4,0))</f>
        <v>1.2923076923076922</v>
      </c>
      <c r="N55" s="183">
        <f t="shared" si="12"/>
        <v>0.27884615384615385</v>
      </c>
      <c r="O55" s="70" t="str">
        <f>VLOOKUP(A55,[1]!STOCK,Q55,FALSE)</f>
        <v>_PRE2013</v>
      </c>
      <c r="P55" s="200">
        <f t="shared" si="18"/>
        <v>0.75</v>
      </c>
      <c r="Q55" s="70">
        <f>MATCH(D55,[1]!BLDGTYPE,0)</f>
        <v>10</v>
      </c>
      <c r="R55" s="200">
        <f t="shared" si="23"/>
        <v>0.33570248500569549</v>
      </c>
      <c r="S55" s="200">
        <f t="shared" si="23"/>
        <v>3.701970546823774E-2</v>
      </c>
      <c r="T55" s="188">
        <f t="shared" si="19"/>
        <v>0.10048569215069605</v>
      </c>
      <c r="U55" s="188">
        <f>IF(G55="GasHt",VLOOKUP(MMap!D55,Savings!$B$7:$N$24,11,FALSE),0)</f>
        <v>0</v>
      </c>
      <c r="V55" s="188">
        <f t="shared" si="21"/>
        <v>100.48569215069605</v>
      </c>
      <c r="W55" s="188">
        <f t="shared" si="20"/>
        <v>21.682180597992456</v>
      </c>
      <c r="X55" s="188">
        <f t="shared" si="10"/>
        <v>0</v>
      </c>
    </row>
    <row r="56" spans="1:24" s="201" customFormat="1">
      <c r="A56" s="179" t="str">
        <f t="shared" si="15"/>
        <v>Commercial EM-Retro</v>
      </c>
      <c r="B56" s="182" t="str">
        <f t="shared" si="16"/>
        <v>Commercial EM-Retro-Warehouse</v>
      </c>
      <c r="C56" s="182" t="str">
        <f t="shared" si="17"/>
        <v>Commercial EM-Retro-Warehouse-HtPmpHt</v>
      </c>
      <c r="D56" s="71" t="s">
        <v>10</v>
      </c>
      <c r="E56" s="66" t="s">
        <v>31</v>
      </c>
      <c r="F56" s="67" t="s">
        <v>192</v>
      </c>
      <c r="G56" s="67" t="s">
        <v>439</v>
      </c>
      <c r="H56" s="68">
        <f t="shared" si="11"/>
        <v>5</v>
      </c>
      <c r="I56" s="69">
        <f t="shared" si="22"/>
        <v>6.3929137015483993E-3</v>
      </c>
      <c r="J56" s="69">
        <f t="shared" si="22"/>
        <v>0.98700382329725422</v>
      </c>
      <c r="K56" s="69">
        <f t="shared" si="22"/>
        <v>6.6032630011973147E-3</v>
      </c>
      <c r="L56" s="69">
        <f t="shared" si="22"/>
        <v>0.13082984106717208</v>
      </c>
      <c r="M56" s="183">
        <f>INDEX(Savings!$G$3:$I$24,MATCH(MMap!D92,Savings!$B$7:$B$24,0)+4,MATCH(G56,Savings!$G$4:$I$4,0))</f>
        <v>0.3692307692307692</v>
      </c>
      <c r="N56" s="183">
        <f t="shared" si="12"/>
        <v>0.11153846153846154</v>
      </c>
      <c r="O56" s="70" t="str">
        <f>VLOOKUP(A56,[1]!STOCK,Q56,FALSE)</f>
        <v>_PRE2013</v>
      </c>
      <c r="P56" s="200">
        <f t="shared" si="18"/>
        <v>0.23</v>
      </c>
      <c r="Q56" s="70">
        <f>MATCH(D56,[1]!BLDGTYPE,0)</f>
        <v>11</v>
      </c>
      <c r="R56" s="200">
        <f t="shared" si="23"/>
        <v>1</v>
      </c>
      <c r="S56" s="200">
        <f t="shared" si="23"/>
        <v>0.13203580856943528</v>
      </c>
      <c r="T56" s="188">
        <f t="shared" si="19"/>
        <v>3.1897988269712578E-4</v>
      </c>
      <c r="U56" s="188">
        <f>IF(G56="GasHt",VLOOKUP(MMap!D56,Savings!$B$7:$N$24,11,FALSE),0)</f>
        <v>0</v>
      </c>
      <c r="V56" s="188">
        <f t="shared" si="21"/>
        <v>0.31897988269712574</v>
      </c>
      <c r="W56" s="188">
        <f t="shared" si="20"/>
        <v>9.6358506231423419E-2</v>
      </c>
      <c r="X56" s="188">
        <f t="shared" si="10"/>
        <v>0</v>
      </c>
    </row>
    <row r="57" spans="1:24" s="201" customFormat="1">
      <c r="A57" s="179" t="str">
        <f t="shared" si="15"/>
        <v>Commercial EM-Retro</v>
      </c>
      <c r="B57" s="182" t="str">
        <f t="shared" si="16"/>
        <v>Commercial EM-Retro-Supermarket</v>
      </c>
      <c r="C57" s="182" t="str">
        <f t="shared" si="17"/>
        <v>Commercial EM-Retro-Supermarket-HtPmpHt</v>
      </c>
      <c r="D57" s="71" t="s">
        <v>158</v>
      </c>
      <c r="E57" s="66" t="s">
        <v>31</v>
      </c>
      <c r="F57" s="67" t="s">
        <v>192</v>
      </c>
      <c r="G57" s="67" t="s">
        <v>439</v>
      </c>
      <c r="H57" s="68">
        <f t="shared" si="11"/>
        <v>5</v>
      </c>
      <c r="I57" s="69">
        <f t="shared" si="22"/>
        <v>3.9182634298973458E-2</v>
      </c>
      <c r="J57" s="69">
        <f t="shared" si="22"/>
        <v>0.46957192737561176</v>
      </c>
      <c r="K57" s="69">
        <f t="shared" si="22"/>
        <v>6.234756715808213E-2</v>
      </c>
      <c r="L57" s="69">
        <f t="shared" si="22"/>
        <v>7.1447125331852143E-2</v>
      </c>
      <c r="M57" s="183">
        <f>INDEX(Savings!$G$3:$I$24,MATCH(MMap!D93,Savings!$B$7:$B$24,0)+4,MATCH(G57,Savings!$G$4:$I$4,0))</f>
        <v>1.846153846153846</v>
      </c>
      <c r="N57" s="183">
        <f t="shared" si="12"/>
        <v>0.33461538461538459</v>
      </c>
      <c r="O57" s="70" t="str">
        <f>VLOOKUP(A57,[1]!STOCK,Q57,FALSE)</f>
        <v>_PRE2013</v>
      </c>
      <c r="P57" s="200">
        <f t="shared" si="18"/>
        <v>0.89440943169321674</v>
      </c>
      <c r="Q57" s="70">
        <f>MATCH(D57,[1]!BLDGTYPE,0)</f>
        <v>12</v>
      </c>
      <c r="R57" s="200">
        <f t="shared" si="23"/>
        <v>0.84840559081310307</v>
      </c>
      <c r="S57" s="200">
        <f t="shared" si="23"/>
        <v>1.9535504789016944E-2</v>
      </c>
      <c r="T57" s="188">
        <f t="shared" si="19"/>
        <v>8.2237928213161147E-3</v>
      </c>
      <c r="U57" s="188">
        <f>IF(G57="GasHt",VLOOKUP(MMap!D57,Savings!$B$7:$N$24,11,FALSE),0)</f>
        <v>0</v>
      </c>
      <c r="V57" s="188">
        <f t="shared" si="21"/>
        <v>8.2237928213161151</v>
      </c>
      <c r="W57" s="188">
        <f t="shared" si="20"/>
        <v>1.4905624488635456</v>
      </c>
      <c r="X57" s="188">
        <f t="shared" si="10"/>
        <v>0</v>
      </c>
    </row>
    <row r="58" spans="1:24" s="201" customFormat="1">
      <c r="A58" s="179" t="str">
        <f t="shared" si="15"/>
        <v>Commercial EM-Retro</v>
      </c>
      <c r="B58" s="182" t="str">
        <f t="shared" si="16"/>
        <v>Commercial EM-Retro-MiniMart</v>
      </c>
      <c r="C58" s="182" t="str">
        <f t="shared" si="17"/>
        <v>Commercial EM-Retro-MiniMart-HtPmpHt</v>
      </c>
      <c r="D58" s="71" t="s">
        <v>196</v>
      </c>
      <c r="E58" s="66" t="s">
        <v>31</v>
      </c>
      <c r="F58" s="67" t="s">
        <v>192</v>
      </c>
      <c r="G58" s="67" t="s">
        <v>439</v>
      </c>
      <c r="H58" s="68">
        <f t="shared" si="11"/>
        <v>5</v>
      </c>
      <c r="I58" s="69">
        <f t="shared" si="22"/>
        <v>9.8940421863423066E-3</v>
      </c>
      <c r="J58" s="69">
        <f t="shared" si="22"/>
        <v>0.86606113087441317</v>
      </c>
      <c r="K58" s="69">
        <f t="shared" si="22"/>
        <v>1.5743440192688529E-2</v>
      </c>
      <c r="L58" s="69">
        <f t="shared" si="22"/>
        <v>0</v>
      </c>
      <c r="M58" s="183">
        <f>INDEX(Savings!$G$3:$I$24,MATCH(MMap!D94,Savings!$B$7:$B$24,0)+4,MATCH(G58,Savings!$G$4:$I$4,0))</f>
        <v>2.2153846153846151</v>
      </c>
      <c r="N58" s="183">
        <f t="shared" si="12"/>
        <v>0.55769230769230771</v>
      </c>
      <c r="O58" s="70" t="str">
        <f>VLOOKUP(A58,[1]!STOCK,Q58,FALSE)</f>
        <v>_PRE2013</v>
      </c>
      <c r="P58" s="200">
        <f t="shared" si="18"/>
        <v>0.91392039395838554</v>
      </c>
      <c r="Q58" s="70">
        <f>MATCH(D58,[1]!BLDGTYPE,0)</f>
        <v>13</v>
      </c>
      <c r="R58" s="200">
        <f t="shared" si="23"/>
        <v>0.15159440918689687</v>
      </c>
      <c r="S58" s="200">
        <f t="shared" si="23"/>
        <v>3.4906338887047794E-3</v>
      </c>
      <c r="T58" s="188">
        <f t="shared" si="19"/>
        <v>0</v>
      </c>
      <c r="U58" s="188">
        <f>IF(G58="GasHt",VLOOKUP(MMap!D58,Savings!$B$7:$N$24,11,FALSE),0)</f>
        <v>0</v>
      </c>
      <c r="V58" s="188">
        <f t="shared" si="21"/>
        <v>0</v>
      </c>
      <c r="W58" s="188">
        <f t="shared" si="20"/>
        <v>0</v>
      </c>
      <c r="X58" s="188">
        <f t="shared" si="10"/>
        <v>0</v>
      </c>
    </row>
    <row r="59" spans="1:24" s="201" customFormat="1">
      <c r="A59" s="179" t="str">
        <f t="shared" si="15"/>
        <v>Commercial EM-Retro</v>
      </c>
      <c r="B59" s="182" t="str">
        <f t="shared" si="16"/>
        <v>Commercial EM-Retro-Restaurant</v>
      </c>
      <c r="C59" s="182" t="str">
        <f t="shared" si="17"/>
        <v>Commercial EM-Retro-Restaurant-HtPmpHt</v>
      </c>
      <c r="D59" s="71" t="s">
        <v>161</v>
      </c>
      <c r="E59" s="66" t="s">
        <v>31</v>
      </c>
      <c r="F59" s="67" t="s">
        <v>192</v>
      </c>
      <c r="G59" s="67" t="s">
        <v>439</v>
      </c>
      <c r="H59" s="68">
        <f t="shared" si="11"/>
        <v>5</v>
      </c>
      <c r="I59" s="69">
        <f t="shared" si="22"/>
        <v>3.0050555941853869E-2</v>
      </c>
      <c r="J59" s="69">
        <f t="shared" si="22"/>
        <v>0.79365284945968273</v>
      </c>
      <c r="K59" s="69">
        <f t="shared" si="22"/>
        <v>0.17629659459846331</v>
      </c>
      <c r="L59" s="69">
        <f t="shared" si="22"/>
        <v>2.3525905182962954E-2</v>
      </c>
      <c r="M59" s="183">
        <f>INDEX(Savings!$G$3:$I$24,MATCH(MMap!D95,Savings!$B$7:$B$24,0)+4,MATCH(G59,Savings!$G$4:$I$4,0))</f>
        <v>2.2153846153846151</v>
      </c>
      <c r="N59" s="183">
        <f t="shared" si="12"/>
        <v>0.55769230769230771</v>
      </c>
      <c r="O59" s="70" t="str">
        <f>VLOOKUP(A59,[1]!STOCK,Q59,FALSE)</f>
        <v>_PRE2013</v>
      </c>
      <c r="P59" s="200">
        <f t="shared" si="18"/>
        <v>0.9581056413122655</v>
      </c>
      <c r="Q59" s="70">
        <f>MATCH(D59,[1]!BLDGTYPE,0)</f>
        <v>14</v>
      </c>
      <c r="R59" s="200">
        <f t="shared" si="23"/>
        <v>1</v>
      </c>
      <c r="S59" s="200">
        <f t="shared" si="23"/>
        <v>1.5835296654172451E-2</v>
      </c>
      <c r="T59" s="188">
        <f t="shared" si="19"/>
        <v>9.1883895919813788E-3</v>
      </c>
      <c r="U59" s="188">
        <f>IF(G59="GasHt",VLOOKUP(MMap!D59,Savings!$B$7:$N$24,11,FALSE),0)</f>
        <v>0</v>
      </c>
      <c r="V59" s="188">
        <f t="shared" si="21"/>
        <v>9.1883895919813803</v>
      </c>
      <c r="W59" s="188">
        <f t="shared" si="20"/>
        <v>2.3130494632592016</v>
      </c>
      <c r="X59" s="188">
        <f t="shared" si="10"/>
        <v>0</v>
      </c>
    </row>
    <row r="60" spans="1:24" s="201" customFormat="1">
      <c r="A60" s="179" t="str">
        <f t="shared" si="15"/>
        <v>Commercial EM-Retro</v>
      </c>
      <c r="B60" s="182" t="str">
        <f t="shared" si="16"/>
        <v>Commercial EM-Retro-Lodging</v>
      </c>
      <c r="C60" s="182" t="str">
        <f t="shared" si="17"/>
        <v>Commercial EM-Retro-Lodging-HtPmpHt</v>
      </c>
      <c r="D60" s="71" t="s">
        <v>5</v>
      </c>
      <c r="E60" s="66" t="s">
        <v>31</v>
      </c>
      <c r="F60" s="67" t="s">
        <v>192</v>
      </c>
      <c r="G60" s="67" t="s">
        <v>439</v>
      </c>
      <c r="H60" s="68">
        <f t="shared" si="11"/>
        <v>5</v>
      </c>
      <c r="I60" s="69">
        <f t="shared" si="22"/>
        <v>0.44679184687802564</v>
      </c>
      <c r="J60" s="69">
        <f t="shared" si="22"/>
        <v>0.24941748529786834</v>
      </c>
      <c r="K60" s="69">
        <f t="shared" si="22"/>
        <v>0.30379066782410608</v>
      </c>
      <c r="L60" s="69">
        <f t="shared" si="22"/>
        <v>7.934694377848886E-2</v>
      </c>
      <c r="M60" s="183">
        <f>INDEX(Savings!$G$3:$I$24,MATCH(MMap!D96,Savings!$B$7:$B$24,0)+4,MATCH(G60,Savings!$G$4:$I$4,0))</f>
        <v>1.2923076923076922</v>
      </c>
      <c r="N60" s="183">
        <f t="shared" si="12"/>
        <v>0.25096153846153846</v>
      </c>
      <c r="O60" s="70" t="str">
        <f>VLOOKUP(A60,[1]!STOCK,Q60,FALSE)</f>
        <v>_PRE2013</v>
      </c>
      <c r="P60" s="200">
        <f t="shared" si="18"/>
        <v>0.82644591140120194</v>
      </c>
      <c r="Q60" s="70">
        <f>MATCH(D60,[1]!BLDGTYPE,0)</f>
        <v>15</v>
      </c>
      <c r="R60" s="200">
        <f t="shared" si="23"/>
        <v>1</v>
      </c>
      <c r="S60" s="200">
        <f t="shared" si="23"/>
        <v>5.1068065124091046E-2</v>
      </c>
      <c r="T60" s="188">
        <f t="shared" si="19"/>
        <v>3.1150897344347537E-2</v>
      </c>
      <c r="U60" s="188">
        <f>IF(G60="GasHt",VLOOKUP(MMap!D60,Savings!$B$7:$N$24,11,FALSE),0)</f>
        <v>0</v>
      </c>
      <c r="V60" s="188">
        <f t="shared" si="21"/>
        <v>31.150897344347538</v>
      </c>
      <c r="W60" s="188">
        <f t="shared" si="20"/>
        <v>6.0493930110674903</v>
      </c>
      <c r="X60" s="188">
        <f t="shared" si="10"/>
        <v>0</v>
      </c>
    </row>
    <row r="61" spans="1:24" s="201" customFormat="1">
      <c r="A61" s="179" t="str">
        <f t="shared" si="15"/>
        <v>Commercial EM-Retro</v>
      </c>
      <c r="B61" s="182" t="str">
        <f t="shared" si="16"/>
        <v>Commercial EM-Retro-Hospital</v>
      </c>
      <c r="C61" s="182" t="str">
        <f t="shared" si="17"/>
        <v>Commercial EM-Retro-Hospital-HtPmpHt</v>
      </c>
      <c r="D61" s="71" t="s">
        <v>164</v>
      </c>
      <c r="E61" s="66" t="s">
        <v>31</v>
      </c>
      <c r="F61" s="67" t="s">
        <v>192</v>
      </c>
      <c r="G61" s="67" t="s">
        <v>439</v>
      </c>
      <c r="H61" s="68">
        <f t="shared" si="11"/>
        <v>5</v>
      </c>
      <c r="I61" s="69">
        <f t="shared" si="22"/>
        <v>0.08</v>
      </c>
      <c r="J61" s="69">
        <f t="shared" si="22"/>
        <v>0.91</v>
      </c>
      <c r="K61" s="69">
        <f t="shared" si="22"/>
        <v>0.01</v>
      </c>
      <c r="L61" s="69">
        <f t="shared" si="22"/>
        <v>0.85339696790936803</v>
      </c>
      <c r="M61" s="183">
        <f>INDEX(Savings!$G$3:$I$24,MATCH(MMap!D97,Savings!$B$7:$B$24,0)+4,MATCH(G61,Savings!$G$4:$I$4,0))</f>
        <v>2.2153846153846151</v>
      </c>
      <c r="N61" s="183">
        <f t="shared" ref="N61:N64" si="24">N43</f>
        <v>0.27884615384615385</v>
      </c>
      <c r="O61" s="70" t="str">
        <f>VLOOKUP(A61,[1]!STOCK,Q61,FALSE)</f>
        <v>_PRE2013</v>
      </c>
      <c r="P61" s="200">
        <f t="shared" si="18"/>
        <v>0.95</v>
      </c>
      <c r="Q61" s="70">
        <f>MATCH(D61,[1]!BLDGTYPE,0)</f>
        <v>16</v>
      </c>
      <c r="R61" s="200">
        <f t="shared" si="23"/>
        <v>1</v>
      </c>
      <c r="S61" s="200">
        <f t="shared" si="23"/>
        <v>3.0978070527759683E-2</v>
      </c>
      <c r="T61" s="188">
        <f t="shared" si="19"/>
        <v>1.890602513522292E-2</v>
      </c>
      <c r="U61" s="188">
        <f>IF(G61="GasHt",VLOOKUP(MMap!D61,Savings!$B$7:$N$24,11,FALSE),0)</f>
        <v>0</v>
      </c>
      <c r="V61" s="188">
        <f t="shared" si="21"/>
        <v>18.906025135222919</v>
      </c>
      <c r="W61" s="188">
        <f t="shared" si="20"/>
        <v>2.3796646220549689</v>
      </c>
      <c r="X61" s="188">
        <f t="shared" si="10"/>
        <v>0</v>
      </c>
    </row>
    <row r="62" spans="1:24" s="201" customFormat="1">
      <c r="A62" s="179" t="str">
        <f t="shared" si="15"/>
        <v>Commercial EM-Retro</v>
      </c>
      <c r="B62" s="182" t="str">
        <f t="shared" si="16"/>
        <v>Commercial EM-Retro-Residential Care</v>
      </c>
      <c r="C62" s="182" t="str">
        <f t="shared" si="17"/>
        <v>Commercial EM-Retro-Residential Care-HtPmpHt</v>
      </c>
      <c r="D62" s="71" t="s">
        <v>7</v>
      </c>
      <c r="E62" s="66" t="s">
        <v>31</v>
      </c>
      <c r="F62" s="67" t="s">
        <v>192</v>
      </c>
      <c r="G62" s="67" t="s">
        <v>439</v>
      </c>
      <c r="H62" s="68">
        <f t="shared" si="11"/>
        <v>5</v>
      </c>
      <c r="I62" s="69">
        <f t="shared" si="22"/>
        <v>0.33985691133471541</v>
      </c>
      <c r="J62" s="69">
        <f t="shared" si="22"/>
        <v>0.40556621261939335</v>
      </c>
      <c r="K62" s="69">
        <f t="shared" si="22"/>
        <v>0.25457687604589124</v>
      </c>
      <c r="L62" s="69">
        <f t="shared" si="22"/>
        <v>7.6228114216259218E-2</v>
      </c>
      <c r="M62" s="183">
        <f>INDEX(Savings!$G$3:$I$24,MATCH(MMap!D98,Savings!$B$7:$B$24,0)+4,MATCH(G62,Savings!$G$4:$I$4,0))</f>
        <v>1.8830769230769229</v>
      </c>
      <c r="N62" s="183">
        <f t="shared" si="24"/>
        <v>0.27884615384615385</v>
      </c>
      <c r="O62" s="70" t="str">
        <f>VLOOKUP(A62,[1]!STOCK,Q62,FALSE)</f>
        <v>_PRE2013</v>
      </c>
      <c r="P62" s="200">
        <f t="shared" si="18"/>
        <v>0.82648440258098632</v>
      </c>
      <c r="Q62" s="70">
        <f>MATCH(D62,[1]!BLDGTYPE,0)</f>
        <v>17</v>
      </c>
      <c r="R62" s="200">
        <f t="shared" si="23"/>
        <v>1</v>
      </c>
      <c r="S62" s="200">
        <f t="shared" si="23"/>
        <v>3.7369486472404026E-2</v>
      </c>
      <c r="T62" s="188">
        <f t="shared" si="19"/>
        <v>3.6542831054262565E-2</v>
      </c>
      <c r="U62" s="188">
        <f>IF(G62="GasHt",VLOOKUP(MMap!D62,Savings!$B$7:$N$24,11,FALSE),0)</f>
        <v>0</v>
      </c>
      <c r="V62" s="188">
        <f t="shared" si="21"/>
        <v>36.542831054262564</v>
      </c>
      <c r="W62" s="188">
        <f t="shared" si="20"/>
        <v>5.4112648109355312</v>
      </c>
      <c r="X62" s="188">
        <f t="shared" si="10"/>
        <v>0</v>
      </c>
    </row>
    <row r="63" spans="1:24" s="201" customFormat="1">
      <c r="A63" s="179" t="str">
        <f t="shared" si="15"/>
        <v>Commercial EM-Retro</v>
      </c>
      <c r="B63" s="182" t="str">
        <f t="shared" si="16"/>
        <v>Commercial EM-Retro-Assembly</v>
      </c>
      <c r="C63" s="182" t="str">
        <f t="shared" si="17"/>
        <v>Commercial EM-Retro-Assembly-HtPmpHt</v>
      </c>
      <c r="D63" s="71" t="s">
        <v>3</v>
      </c>
      <c r="E63" s="66" t="s">
        <v>31</v>
      </c>
      <c r="F63" s="67" t="s">
        <v>192</v>
      </c>
      <c r="G63" s="67" t="s">
        <v>439</v>
      </c>
      <c r="H63" s="68">
        <f t="shared" si="11"/>
        <v>5</v>
      </c>
      <c r="I63" s="69">
        <f t="shared" si="22"/>
        <v>0.10640191237323121</v>
      </c>
      <c r="J63" s="69">
        <f t="shared" si="22"/>
        <v>0.77815390025512432</v>
      </c>
      <c r="K63" s="69">
        <f t="shared" si="22"/>
        <v>0.11544418737164447</v>
      </c>
      <c r="L63" s="69">
        <f t="shared" si="22"/>
        <v>0.16854152512418574</v>
      </c>
      <c r="M63" s="183">
        <f>INDEX(Savings!$G$3:$I$24,MATCH(MMap!D99,Savings!$B$7:$B$24,0)+4,MATCH(G63,Savings!$G$4:$I$4,0))</f>
        <v>1.2</v>
      </c>
      <c r="N63" s="183">
        <f t="shared" si="24"/>
        <v>0.25096153846153846</v>
      </c>
      <c r="O63" s="70" t="str">
        <f>VLOOKUP(A63,[1]!STOCK,Q63,FALSE)</f>
        <v>_PRE2013</v>
      </c>
      <c r="P63" s="200">
        <f t="shared" si="18"/>
        <v>0.77184416415983825</v>
      </c>
      <c r="Q63" s="70">
        <f>MATCH(D63,[1]!BLDGTYPE,0)</f>
        <v>18</v>
      </c>
      <c r="R63" s="200">
        <f t="shared" si="23"/>
        <v>1</v>
      </c>
      <c r="S63" s="200">
        <f t="shared" si="23"/>
        <v>0.11013494038183547</v>
      </c>
      <c r="T63" s="188">
        <f t="shared" si="19"/>
        <v>2.3348567287607067E-2</v>
      </c>
      <c r="U63" s="188">
        <f>IF(G63="GasHt",VLOOKUP(MMap!D63,Savings!$B$7:$N$24,11,FALSE),0)</f>
        <v>0</v>
      </c>
      <c r="V63" s="188">
        <f t="shared" si="21"/>
        <v>23.348567287607068</v>
      </c>
      <c r="W63" s="188">
        <f t="shared" si="20"/>
        <v>4.8829936394755169</v>
      </c>
      <c r="X63" s="188">
        <f t="shared" si="10"/>
        <v>0</v>
      </c>
    </row>
    <row r="64" spans="1:24" s="201" customFormat="1">
      <c r="A64" s="179" t="str">
        <f t="shared" si="15"/>
        <v>Commercial EM-Retro</v>
      </c>
      <c r="B64" s="182" t="str">
        <f t="shared" si="16"/>
        <v>Commercial EM-Retro-Other</v>
      </c>
      <c r="C64" s="182" t="str">
        <f t="shared" si="17"/>
        <v>Commercial EM-Retro-Other-HtPmpHt</v>
      </c>
      <c r="D64" s="71" t="s">
        <v>11</v>
      </c>
      <c r="E64" s="66" t="s">
        <v>31</v>
      </c>
      <c r="F64" s="67" t="s">
        <v>192</v>
      </c>
      <c r="G64" s="67" t="s">
        <v>439</v>
      </c>
      <c r="H64" s="68">
        <f t="shared" si="11"/>
        <v>5</v>
      </c>
      <c r="I64" s="69">
        <f t="shared" si="22"/>
        <v>0.16939513747697868</v>
      </c>
      <c r="J64" s="69">
        <f t="shared" si="22"/>
        <v>0.7257160432726234</v>
      </c>
      <c r="K64" s="69">
        <f t="shared" si="22"/>
        <v>0.104888819250398</v>
      </c>
      <c r="L64" s="69">
        <f t="shared" si="22"/>
        <v>0.20051702037858005</v>
      </c>
      <c r="M64" s="183">
        <f>INDEX(Savings!$G$3:$I$24,MATCH(MMap!D100,Savings!$B$7:$B$24,0)+4,MATCH(G64,Savings!$G$4:$I$4,0))</f>
        <v>1.2</v>
      </c>
      <c r="N64" s="183">
        <f t="shared" si="24"/>
        <v>0.25096153846153846</v>
      </c>
      <c r="O64" s="70" t="str">
        <f>VLOOKUP(A64,[1]!STOCK,Q64,FALSE)</f>
        <v>_PRE2013</v>
      </c>
      <c r="P64" s="200">
        <f t="shared" si="18"/>
        <v>0.71310077098671132</v>
      </c>
      <c r="Q64" s="70">
        <f>MATCH(D64,[1]!BLDGTYPE,0)</f>
        <v>19</v>
      </c>
      <c r="R64" s="200">
        <f t="shared" si="23"/>
        <v>1</v>
      </c>
      <c r="S64" s="200">
        <f t="shared" si="23"/>
        <v>9.9554262623279946E-2</v>
      </c>
      <c r="T64" s="188">
        <f t="shared" si="19"/>
        <v>2.5238392208540704E-2</v>
      </c>
      <c r="U64" s="188">
        <f>IF(G64="GasHt",VLOOKUP(MMap!D64,Savings!$B$7:$N$24,11,FALSE),0)</f>
        <v>0</v>
      </c>
      <c r="V64" s="188">
        <f t="shared" si="21"/>
        <v>25.238392208540706</v>
      </c>
      <c r="W64" s="188">
        <f t="shared" si="20"/>
        <v>5.2782214474592344</v>
      </c>
      <c r="X64" s="188">
        <f t="shared" si="10"/>
        <v>0</v>
      </c>
    </row>
    <row r="65" spans="1:24" s="274" customFormat="1">
      <c r="A65" s="264" t="str">
        <f t="shared" si="15"/>
        <v>Commercial EM-New</v>
      </c>
      <c r="B65" s="265" t="str">
        <f t="shared" si="16"/>
        <v>Commercial EM-New-Large Off</v>
      </c>
      <c r="C65" s="265" t="str">
        <f t="shared" si="17"/>
        <v>Commercial EM-New-Large Off-GasHt</v>
      </c>
      <c r="D65" s="266" t="s">
        <v>148</v>
      </c>
      <c r="E65" s="267" t="s">
        <v>194</v>
      </c>
      <c r="F65" s="268" t="s">
        <v>192</v>
      </c>
      <c r="G65" s="268" t="s">
        <v>193</v>
      </c>
      <c r="H65" s="68">
        <f t="shared" si="11"/>
        <v>5</v>
      </c>
      <c r="I65" s="269">
        <f t="shared" ref="I65:L84" si="25">VLOOKUP(I$9,V_POST2013,$Q65,FALSE)</f>
        <v>9.379008321141083E-2</v>
      </c>
      <c r="J65" s="269">
        <f t="shared" si="25"/>
        <v>0.80872784176745371</v>
      </c>
      <c r="K65" s="269">
        <f t="shared" si="25"/>
        <v>9.7482075021135345E-2</v>
      </c>
      <c r="L65" s="269">
        <f t="shared" si="25"/>
        <v>0.85</v>
      </c>
      <c r="M65" s="270">
        <f>INDEX(Savings!$G$30:$I$47,MATCH(MMap!D65,Savings!$B$30:$B$47,0),MATCH(G65,Savings!$G$4:$I$4,0))</f>
        <v>0.95630769230769219</v>
      </c>
      <c r="N65" s="270">
        <f>Savings!M30</f>
        <v>0.25096153846153846</v>
      </c>
      <c r="O65" s="271" t="str">
        <f>VLOOKUP(A65,[1]!STOCK,Q65,FALSE)</f>
        <v>POST2013</v>
      </c>
      <c r="P65" s="272">
        <f t="shared" ref="P65:P96" si="26">VLOOKUP(P$9,V_POST2013,$Q65,FALSE)</f>
        <v>0.95128694884061893</v>
      </c>
      <c r="Q65" s="271">
        <f>MATCH(D65,[1]!BLDGTYPE,0)</f>
        <v>2</v>
      </c>
      <c r="R65" s="272">
        <f t="shared" ref="R65:S84" si="27">VLOOKUP(R$9,V_POST2013,$Q65,FALSE)</f>
        <v>0.49844828664156315</v>
      </c>
      <c r="S65" s="272">
        <f t="shared" si="27"/>
        <v>0.15073291148870363</v>
      </c>
      <c r="T65" s="273">
        <f t="shared" si="19"/>
        <v>0.65738375765577195</v>
      </c>
      <c r="U65" s="273">
        <f>IF(G65="GasHt",VLOOKUP(MMap!D65,Savings!$B$7:$N$24,11,FALSE),0)</f>
        <v>3.9750000000000001E-2</v>
      </c>
      <c r="V65" s="273">
        <f t="shared" si="21"/>
        <v>657.383757655772</v>
      </c>
      <c r="W65" s="273">
        <f t="shared" si="20"/>
        <v>172.51564586164386</v>
      </c>
      <c r="X65" s="273">
        <f t="shared" si="10"/>
        <v>27.324891953717845</v>
      </c>
    </row>
    <row r="66" spans="1:24" s="201" customFormat="1">
      <c r="A66" s="179" t="str">
        <f t="shared" si="15"/>
        <v>Commercial EM-New</v>
      </c>
      <c r="B66" s="182" t="str">
        <f t="shared" si="16"/>
        <v>Commercial EM-New-Medium Off</v>
      </c>
      <c r="C66" s="182" t="str">
        <f t="shared" si="17"/>
        <v>Commercial EM-New-Medium Off-GasHt</v>
      </c>
      <c r="D66" s="71" t="s">
        <v>149</v>
      </c>
      <c r="E66" s="66" t="s">
        <v>194</v>
      </c>
      <c r="F66" s="67" t="s">
        <v>192</v>
      </c>
      <c r="G66" s="67" t="s">
        <v>193</v>
      </c>
      <c r="H66" s="68">
        <f t="shared" si="11"/>
        <v>5</v>
      </c>
      <c r="I66" s="69">
        <f t="shared" si="25"/>
        <v>5.7141018201974592E-2</v>
      </c>
      <c r="J66" s="69">
        <f t="shared" si="25"/>
        <v>0.93108561158422598</v>
      </c>
      <c r="K66" s="69">
        <f t="shared" si="25"/>
        <v>1.1773370213799438E-2</v>
      </c>
      <c r="L66" s="69">
        <f t="shared" si="25"/>
        <v>0.35</v>
      </c>
      <c r="M66" s="183">
        <f>INDEX(Savings!$G$30:$I$47,MATCH(MMap!D66,Savings!$B$30:$B$47,0),MATCH(G66,Savings!$G$4:$I$4,0))</f>
        <v>0.77169230769230757</v>
      </c>
      <c r="N66" s="183">
        <f>Savings!M31</f>
        <v>0.25096153846153846</v>
      </c>
      <c r="O66" s="70" t="str">
        <f>VLOOKUP(A66,[1]!STOCK,Q66,FALSE)</f>
        <v>POST2013</v>
      </c>
      <c r="P66" s="200">
        <f t="shared" si="26"/>
        <v>0.97665874571205136</v>
      </c>
      <c r="Q66" s="70">
        <f>MATCH(D66,[1]!BLDGTYPE,0)</f>
        <v>3</v>
      </c>
      <c r="R66" s="200">
        <f t="shared" si="27"/>
        <v>0.39725857197361958</v>
      </c>
      <c r="S66" s="200">
        <f t="shared" si="27"/>
        <v>0.12013270538231059</v>
      </c>
      <c r="T66" s="188">
        <f t="shared" si="19"/>
        <v>0.2514790614918872</v>
      </c>
      <c r="U66" s="188">
        <f>IF(G66="GasHt",VLOOKUP(MMap!D66,Savings!$B$7:$N$24,11,FALSE),0)</f>
        <v>3.9750000000000001E-2</v>
      </c>
      <c r="V66" s="188">
        <f t="shared" si="21"/>
        <v>251.47906149188722</v>
      </c>
      <c r="W66" s="188">
        <f t="shared" si="20"/>
        <v>81.783337132902915</v>
      </c>
      <c r="X66" s="188">
        <f t="shared" si="10"/>
        <v>12.953728571165545</v>
      </c>
    </row>
    <row r="67" spans="1:24" s="201" customFormat="1">
      <c r="A67" s="179" t="str">
        <f t="shared" si="15"/>
        <v>Commercial EM-New</v>
      </c>
      <c r="B67" s="182" t="str">
        <f t="shared" si="16"/>
        <v>Commercial EM-New-Small Off</v>
      </c>
      <c r="C67" s="182" t="str">
        <f t="shared" si="17"/>
        <v>Commercial EM-New-Small Off-GasHt</v>
      </c>
      <c r="D67" s="71" t="s">
        <v>150</v>
      </c>
      <c r="E67" s="66" t="s">
        <v>194</v>
      </c>
      <c r="F67" s="67" t="s">
        <v>192</v>
      </c>
      <c r="G67" s="67" t="s">
        <v>193</v>
      </c>
      <c r="H67" s="68">
        <f t="shared" si="11"/>
        <v>5</v>
      </c>
      <c r="I67" s="69">
        <f t="shared" si="25"/>
        <v>6.3540893141458221E-2</v>
      </c>
      <c r="J67" s="69">
        <f t="shared" si="25"/>
        <v>0.65879042006554966</v>
      </c>
      <c r="K67" s="69">
        <f t="shared" si="25"/>
        <v>0.27766868679299217</v>
      </c>
      <c r="L67" s="69">
        <f t="shared" si="25"/>
        <v>2.9006395725036469E-2</v>
      </c>
      <c r="M67" s="183">
        <f>INDEX(Savings!$G$30:$I$47,MATCH(MMap!D67,Savings!$B$30:$B$47,0),MATCH(G67,Savings!$G$4:$I$4,0))</f>
        <v>0.62399999999999989</v>
      </c>
      <c r="N67" s="183">
        <f>Savings!M32</f>
        <v>0.55769230769230771</v>
      </c>
      <c r="O67" s="70" t="str">
        <f>VLOOKUP(A67,[1]!STOCK,Q67,FALSE)</f>
        <v>POST2013</v>
      </c>
      <c r="P67" s="200">
        <f t="shared" si="26"/>
        <v>0.91122609210258287</v>
      </c>
      <c r="Q67" s="70">
        <f>MATCH(D67,[1]!BLDGTYPE,0)</f>
        <v>4</v>
      </c>
      <c r="R67" s="200">
        <f t="shared" si="27"/>
        <v>0.10429314138481716</v>
      </c>
      <c r="S67" s="200">
        <f t="shared" si="27"/>
        <v>3.1538695729415013E-2</v>
      </c>
      <c r="T67" s="188">
        <f t="shared" si="19"/>
        <v>1.1924100629553425E-2</v>
      </c>
      <c r="U67" s="188">
        <f>IF(G67="GasHt",VLOOKUP(MMap!D67,Savings!$B$7:$N$24,11,FALSE),0)</f>
        <v>3.9750000000000001E-2</v>
      </c>
      <c r="V67" s="188">
        <f t="shared" si="21"/>
        <v>11.924100629553426</v>
      </c>
      <c r="W67" s="188">
        <f t="shared" si="20"/>
        <v>10.657017944312418</v>
      </c>
      <c r="X67" s="188">
        <f t="shared" si="10"/>
        <v>0.75958814106530248</v>
      </c>
    </row>
    <row r="68" spans="1:24" s="201" customFormat="1">
      <c r="A68" s="179" t="str">
        <f t="shared" si="15"/>
        <v>Commercial EM-New</v>
      </c>
      <c r="B68" s="182" t="str">
        <f t="shared" si="16"/>
        <v>Commercial EM-New-Xlarge Ret</v>
      </c>
      <c r="C68" s="182" t="str">
        <f t="shared" si="17"/>
        <v>Commercial EM-New-Xlarge Ret-GasHt</v>
      </c>
      <c r="D68" s="71" t="s">
        <v>197</v>
      </c>
      <c r="E68" s="66" t="s">
        <v>194</v>
      </c>
      <c r="F68" s="67" t="s">
        <v>192</v>
      </c>
      <c r="G68" s="67" t="s">
        <v>193</v>
      </c>
      <c r="H68" s="68">
        <f t="shared" si="11"/>
        <v>5</v>
      </c>
      <c r="I68" s="69">
        <f t="shared" si="25"/>
        <v>0.52114684573848291</v>
      </c>
      <c r="J68" s="69">
        <f t="shared" si="25"/>
        <v>0.30364464955032466</v>
      </c>
      <c r="K68" s="69">
        <f t="shared" si="25"/>
        <v>0.17520850471119245</v>
      </c>
      <c r="L68" s="69">
        <f t="shared" si="25"/>
        <v>3.9164397027771525E-2</v>
      </c>
      <c r="M68" s="183">
        <f>INDEX(Savings!$G$30:$I$47,MATCH(MMap!D68,Savings!$B$30:$B$47,0),MATCH(G68,Savings!$G$4:$I$4,0))</f>
        <v>0.77169230769230757</v>
      </c>
      <c r="N68" s="183">
        <f>Savings!M33</f>
        <v>0.25096153846153846</v>
      </c>
      <c r="O68" s="70" t="str">
        <f>VLOOKUP(A68,[1]!STOCK,Q68,FALSE)</f>
        <v>POST2013</v>
      </c>
      <c r="P68" s="200">
        <f t="shared" si="26"/>
        <v>0.98608503921852686</v>
      </c>
      <c r="Q68" s="70">
        <f>MATCH(D68,[1]!BLDGTYPE,0)</f>
        <v>5</v>
      </c>
      <c r="R68" s="200">
        <f t="shared" si="27"/>
        <v>0.29289805028089561</v>
      </c>
      <c r="S68" s="200">
        <f t="shared" si="27"/>
        <v>2.6820893655991742E-2</v>
      </c>
      <c r="T68" s="188">
        <f t="shared" si="19"/>
        <v>9.1770109239235169E-3</v>
      </c>
      <c r="U68" s="188">
        <f>IF(G68="GasHt",VLOOKUP(MMap!D68,Savings!$B$7:$N$24,11,FALSE),0)</f>
        <v>4.2694444444444445E-2</v>
      </c>
      <c r="V68" s="188">
        <f t="shared" si="21"/>
        <v>9.1770109239235165</v>
      </c>
      <c r="W68" s="188">
        <f t="shared" si="20"/>
        <v>2.9844495752891222</v>
      </c>
      <c r="X68" s="188">
        <f t="shared" si="10"/>
        <v>0.50772487836400126</v>
      </c>
    </row>
    <row r="69" spans="1:24" s="201" customFormat="1">
      <c r="A69" s="179" t="str">
        <f t="shared" si="15"/>
        <v>Commercial EM-New</v>
      </c>
      <c r="B69" s="182" t="str">
        <f t="shared" si="16"/>
        <v>Commercial EM-New-Large Ret</v>
      </c>
      <c r="C69" s="182" t="str">
        <f t="shared" si="17"/>
        <v>Commercial EM-New-Large Ret-GasHt</v>
      </c>
      <c r="D69" s="71" t="s">
        <v>169</v>
      </c>
      <c r="E69" s="66" t="s">
        <v>194</v>
      </c>
      <c r="F69" s="67" t="s">
        <v>192</v>
      </c>
      <c r="G69" s="67" t="s">
        <v>193</v>
      </c>
      <c r="H69" s="68">
        <f t="shared" si="11"/>
        <v>5</v>
      </c>
      <c r="I69" s="69">
        <f t="shared" si="25"/>
        <v>0.64094486042254439</v>
      </c>
      <c r="J69" s="69">
        <f t="shared" si="25"/>
        <v>0.20980203614718312</v>
      </c>
      <c r="K69" s="69">
        <f t="shared" si="25"/>
        <v>0.14925310343027248</v>
      </c>
      <c r="L69" s="69">
        <f t="shared" si="25"/>
        <v>0.25776672816535129</v>
      </c>
      <c r="M69" s="183">
        <f>INDEX(Savings!$G$30:$I$47,MATCH(MMap!D69,Savings!$B$30:$B$47,0),MATCH(G69,Savings!$G$4:$I$4,0))</f>
        <v>0.84923076923076912</v>
      </c>
      <c r="N69" s="183">
        <f>Savings!M34</f>
        <v>0.55769230769230771</v>
      </c>
      <c r="O69" s="70" t="str">
        <f>VLOOKUP(A69,[1]!STOCK,Q69,FALSE)</f>
        <v>POST2013</v>
      </c>
      <c r="P69" s="200">
        <f t="shared" si="26"/>
        <v>0.77181511362305244</v>
      </c>
      <c r="Q69" s="70">
        <f>MATCH(D69,[1]!BLDGTYPE,0)</f>
        <v>6</v>
      </c>
      <c r="R69" s="200">
        <f t="shared" si="27"/>
        <v>0.11837446567671327</v>
      </c>
      <c r="S69" s="200">
        <f t="shared" si="27"/>
        <v>1.0839638408159987E-2</v>
      </c>
      <c r="T69" s="188">
        <f t="shared" si="19"/>
        <v>4.5926386769059475E-2</v>
      </c>
      <c r="U69" s="188">
        <f>IF(G69="GasHt",VLOOKUP(MMap!D69,Savings!$B$7:$N$24,11,FALSE),0)</f>
        <v>4.2694444444444445E-2</v>
      </c>
      <c r="V69" s="188">
        <f t="shared" si="21"/>
        <v>45.926386769059476</v>
      </c>
      <c r="W69" s="188">
        <f t="shared" si="20"/>
        <v>30.159991311203015</v>
      </c>
      <c r="X69" s="188">
        <f t="shared" si="10"/>
        <v>2.3089148903798749</v>
      </c>
    </row>
    <row r="70" spans="1:24" s="201" customFormat="1">
      <c r="A70" s="179" t="str">
        <f t="shared" si="15"/>
        <v>Commercial EM-New</v>
      </c>
      <c r="B70" s="182" t="str">
        <f t="shared" si="16"/>
        <v>Commercial EM-New-Medium Ret</v>
      </c>
      <c r="C70" s="182" t="str">
        <f t="shared" si="17"/>
        <v>Commercial EM-New-Medium Ret-GasHt</v>
      </c>
      <c r="D70" s="71" t="s">
        <v>168</v>
      </c>
      <c r="E70" s="66" t="s">
        <v>194</v>
      </c>
      <c r="F70" s="67" t="s">
        <v>192</v>
      </c>
      <c r="G70" s="67" t="s">
        <v>193</v>
      </c>
      <c r="H70" s="68">
        <f t="shared" si="11"/>
        <v>5</v>
      </c>
      <c r="I70" s="69">
        <f t="shared" si="25"/>
        <v>0.56159710090996928</v>
      </c>
      <c r="J70" s="69">
        <f t="shared" si="25"/>
        <v>0.42422729730852854</v>
      </c>
      <c r="K70" s="69">
        <f t="shared" si="25"/>
        <v>1.4175601781502387E-2</v>
      </c>
      <c r="L70" s="69">
        <f t="shared" si="25"/>
        <v>2.7574670878248778E-2</v>
      </c>
      <c r="M70" s="183">
        <f>INDEX(Savings!$G$30:$I$47,MATCH(MMap!D70,Savings!$B$30:$B$47,0),MATCH(G70,Savings!$G$4:$I$4,0))</f>
        <v>1.1815384615384614</v>
      </c>
      <c r="N70" s="183">
        <f>Savings!M35</f>
        <v>0.55769230769230771</v>
      </c>
      <c r="O70" s="70" t="str">
        <f>VLOOKUP(A70,[1]!STOCK,Q70,FALSE)</f>
        <v>POST2013</v>
      </c>
      <c r="P70" s="200">
        <f t="shared" si="26"/>
        <v>0.90527535536267667</v>
      </c>
      <c r="Q70" s="70">
        <f>MATCH(D70,[1]!BLDGTYPE,0)</f>
        <v>7</v>
      </c>
      <c r="R70" s="200">
        <f t="shared" si="27"/>
        <v>0.44658380004081855</v>
      </c>
      <c r="S70" s="200">
        <f t="shared" si="27"/>
        <v>4.0894012773033235E-2</v>
      </c>
      <c r="T70" s="188">
        <f t="shared" si="19"/>
        <v>1.3821551971467817E-2</v>
      </c>
      <c r="U70" s="188">
        <f>IF(G70="GasHt",VLOOKUP(MMap!D70,Savings!$B$7:$N$24,11,FALSE),0)</f>
        <v>4.2694444444444445E-2</v>
      </c>
      <c r="V70" s="188">
        <f t="shared" si="21"/>
        <v>13.821551971467818</v>
      </c>
      <c r="W70" s="188">
        <f t="shared" si="20"/>
        <v>6.5238445177826616</v>
      </c>
      <c r="X70" s="188">
        <f t="shared" si="10"/>
        <v>0.49943654141691707</v>
      </c>
    </row>
    <row r="71" spans="1:24" s="201" customFormat="1">
      <c r="A71" s="179" t="str">
        <f t="shared" si="15"/>
        <v>Commercial EM-New</v>
      </c>
      <c r="B71" s="182" t="str">
        <f t="shared" si="16"/>
        <v>Commercial EM-New-Small Ret</v>
      </c>
      <c r="C71" s="182" t="str">
        <f t="shared" si="17"/>
        <v>Commercial EM-New-Small Ret-GasHt</v>
      </c>
      <c r="D71" s="71" t="s">
        <v>170</v>
      </c>
      <c r="E71" s="66" t="s">
        <v>194</v>
      </c>
      <c r="F71" s="67" t="s">
        <v>192</v>
      </c>
      <c r="G71" s="67" t="s">
        <v>193</v>
      </c>
      <c r="H71" s="68">
        <f t="shared" si="11"/>
        <v>5</v>
      </c>
      <c r="I71" s="69">
        <f t="shared" si="25"/>
        <v>0.19952525247533903</v>
      </c>
      <c r="J71" s="69">
        <f t="shared" si="25"/>
        <v>0.44747439425166918</v>
      </c>
      <c r="K71" s="69">
        <f t="shared" si="25"/>
        <v>0.35300035327299167</v>
      </c>
      <c r="L71" s="69">
        <f t="shared" si="25"/>
        <v>0.10146503328904084</v>
      </c>
      <c r="M71" s="183">
        <f>INDEX(Savings!$G$30:$I$47,MATCH(MMap!D71,Savings!$B$30:$B$47,0),MATCH(G71,Savings!$G$4:$I$4,0))</f>
        <v>1.2369230769230766</v>
      </c>
      <c r="N71" s="183">
        <f>Savings!M36</f>
        <v>0.25096153846153846</v>
      </c>
      <c r="O71" s="70" t="str">
        <f>VLOOKUP(A71,[1]!STOCK,Q71,FALSE)</f>
        <v>POST2013</v>
      </c>
      <c r="P71" s="200">
        <f t="shared" si="26"/>
        <v>0.53668215741883951</v>
      </c>
      <c r="Q71" s="70">
        <f>MATCH(D71,[1]!BLDGTYPE,0)</f>
        <v>8</v>
      </c>
      <c r="R71" s="200">
        <f t="shared" si="27"/>
        <v>0.14214368400157257</v>
      </c>
      <c r="S71" s="200">
        <f t="shared" si="27"/>
        <v>1.3016203517984767E-2</v>
      </c>
      <c r="T71" s="188">
        <f t="shared" si="19"/>
        <v>5.616002379111714E-2</v>
      </c>
      <c r="U71" s="188">
        <f>IF(G71="GasHt",VLOOKUP(MMap!D71,Savings!$B$7:$N$24,11,FALSE),0)</f>
        <v>4.2694444444444445E-2</v>
      </c>
      <c r="V71" s="188">
        <f t="shared" si="21"/>
        <v>56.16002379111714</v>
      </c>
      <c r="W71" s="188">
        <f t="shared" si="20"/>
        <v>11.394407812096999</v>
      </c>
      <c r="X71" s="188">
        <f t="shared" si="10"/>
        <v>1.938456045070329</v>
      </c>
    </row>
    <row r="72" spans="1:24" s="201" customFormat="1">
      <c r="A72" s="179" t="str">
        <f t="shared" si="15"/>
        <v>Commercial EM-New</v>
      </c>
      <c r="B72" s="182" t="str">
        <f t="shared" si="16"/>
        <v>Commercial EM-New-School K-12</v>
      </c>
      <c r="C72" s="182" t="str">
        <f t="shared" si="17"/>
        <v>Commercial EM-New-School K-12-GasHt</v>
      </c>
      <c r="D72" s="71" t="s">
        <v>171</v>
      </c>
      <c r="E72" s="66" t="s">
        <v>194</v>
      </c>
      <c r="F72" s="67" t="s">
        <v>192</v>
      </c>
      <c r="G72" s="67" t="s">
        <v>193</v>
      </c>
      <c r="H72" s="68">
        <f t="shared" si="11"/>
        <v>5</v>
      </c>
      <c r="I72" s="69">
        <f t="shared" si="25"/>
        <v>0.22286467137317267</v>
      </c>
      <c r="J72" s="69">
        <f t="shared" si="25"/>
        <v>0.53090550528653346</v>
      </c>
      <c r="K72" s="69">
        <f t="shared" si="25"/>
        <v>0.24622982334029381</v>
      </c>
      <c r="L72" s="69">
        <f t="shared" si="25"/>
        <v>0.29515325476216947</v>
      </c>
      <c r="M72" s="183">
        <f>INDEX(Savings!$G$30:$I$47,MATCH(MMap!D72,Savings!$B$30:$B$47,0),MATCH(G72,Savings!$G$4:$I$4,0))</f>
        <v>0.57230769230769218</v>
      </c>
      <c r="N72" s="183">
        <f>Savings!M37</f>
        <v>0.27884615384615385</v>
      </c>
      <c r="O72" s="70" t="str">
        <f>VLOOKUP(A72,[1]!STOCK,Q72,FALSE)</f>
        <v>POST2013</v>
      </c>
      <c r="P72" s="200">
        <f t="shared" si="26"/>
        <v>0.96128535178408803</v>
      </c>
      <c r="Q72" s="70">
        <f>MATCH(D72,[1]!BLDGTYPE,0)</f>
        <v>9</v>
      </c>
      <c r="R72" s="200">
        <f t="shared" si="27"/>
        <v>0.58044164275770982</v>
      </c>
      <c r="S72" s="200">
        <f t="shared" si="27"/>
        <v>3.0886857559635036E-2</v>
      </c>
      <c r="T72" s="188">
        <f t="shared" si="19"/>
        <v>8.9679749973243864E-2</v>
      </c>
      <c r="U72" s="188">
        <f>IF(G72="GasHt",VLOOKUP(MMap!D72,Savings!$B$7:$N$24,11,FALSE),0)</f>
        <v>4.2694444444444445E-2</v>
      </c>
      <c r="V72" s="188">
        <f t="shared" si="21"/>
        <v>89.679749973243858</v>
      </c>
      <c r="W72" s="188">
        <f t="shared" si="20"/>
        <v>43.694770652286167</v>
      </c>
      <c r="X72" s="188">
        <f t="shared" si="10"/>
        <v>6.690154884316704</v>
      </c>
    </row>
    <row r="73" spans="1:24" s="201" customFormat="1">
      <c r="A73" s="179" t="str">
        <f t="shared" si="15"/>
        <v>Commercial EM-New</v>
      </c>
      <c r="B73" s="182" t="str">
        <f t="shared" si="16"/>
        <v>Commercial EM-New-University</v>
      </c>
      <c r="C73" s="182" t="str">
        <f t="shared" si="17"/>
        <v>Commercial EM-New-University-GasHt</v>
      </c>
      <c r="D73" s="71" t="s">
        <v>155</v>
      </c>
      <c r="E73" s="66" t="s">
        <v>194</v>
      </c>
      <c r="F73" s="67" t="s">
        <v>192</v>
      </c>
      <c r="G73" s="67" t="s">
        <v>193</v>
      </c>
      <c r="H73" s="68">
        <f t="shared" si="11"/>
        <v>5</v>
      </c>
      <c r="I73" s="69">
        <f t="shared" si="25"/>
        <v>0.15885643507420852</v>
      </c>
      <c r="J73" s="69">
        <f t="shared" si="25"/>
        <v>0.73038501205930684</v>
      </c>
      <c r="K73" s="69">
        <f t="shared" si="25"/>
        <v>0.1107585528664846</v>
      </c>
      <c r="L73" s="69">
        <f t="shared" si="25"/>
        <v>0.77756785592800526</v>
      </c>
      <c r="M73" s="183">
        <f>INDEX(Savings!$G$30:$I$47,MATCH(MMap!D73,Savings!$B$30:$B$47,0),MATCH(G73,Savings!$G$4:$I$4,0))</f>
        <v>0.94153846153846144</v>
      </c>
      <c r="N73" s="183">
        <f>Savings!M38</f>
        <v>0.27884615384615385</v>
      </c>
      <c r="O73" s="70" t="str">
        <f>VLOOKUP(A73,[1]!STOCK,Q73,FALSE)</f>
        <v>POST2013</v>
      </c>
      <c r="P73" s="200">
        <f t="shared" si="26"/>
        <v>0.75</v>
      </c>
      <c r="Q73" s="70">
        <f>MATCH(D73,[1]!BLDGTYPE,0)</f>
        <v>10</v>
      </c>
      <c r="R73" s="200">
        <f t="shared" si="27"/>
        <v>0.41955835724229024</v>
      </c>
      <c r="S73" s="200">
        <f t="shared" si="27"/>
        <v>2.2325826170102026E-2</v>
      </c>
      <c r="T73" s="188">
        <f t="shared" si="19"/>
        <v>0.53472220244813873</v>
      </c>
      <c r="U73" s="188">
        <f>IF(G73="GasHt",VLOOKUP(MMap!D73,Savings!$B$7:$N$24,11,FALSE),0)</f>
        <v>4.2694444444444445E-2</v>
      </c>
      <c r="V73" s="188">
        <f t="shared" si="21"/>
        <v>534.72220244813866</v>
      </c>
      <c r="W73" s="188">
        <f t="shared" si="20"/>
        <v>158.36339737536787</v>
      </c>
      <c r="X73" s="188">
        <f t="shared" si="10"/>
        <v>24.247195731472992</v>
      </c>
    </row>
    <row r="74" spans="1:24" s="201" customFormat="1">
      <c r="A74" s="179" t="str">
        <f t="shared" si="15"/>
        <v>Commercial EM-New</v>
      </c>
      <c r="B74" s="182" t="str">
        <f t="shared" si="16"/>
        <v>Commercial EM-New-Warehouse</v>
      </c>
      <c r="C74" s="182" t="str">
        <f t="shared" si="17"/>
        <v>Commercial EM-New-Warehouse-GasHt</v>
      </c>
      <c r="D74" s="71" t="s">
        <v>10</v>
      </c>
      <c r="E74" s="66" t="s">
        <v>194</v>
      </c>
      <c r="F74" s="67" t="s">
        <v>192</v>
      </c>
      <c r="G74" s="67" t="s">
        <v>193</v>
      </c>
      <c r="H74" s="68">
        <f t="shared" si="11"/>
        <v>5</v>
      </c>
      <c r="I74" s="69">
        <f t="shared" si="25"/>
        <v>0.52114684573848291</v>
      </c>
      <c r="J74" s="69">
        <f t="shared" si="25"/>
        <v>0.30364464955032466</v>
      </c>
      <c r="K74" s="69">
        <f t="shared" si="25"/>
        <v>0.17520850471119245</v>
      </c>
      <c r="L74" s="69">
        <f t="shared" si="25"/>
        <v>0.13082984106717208</v>
      </c>
      <c r="M74" s="183">
        <f>INDEX(Savings!$G$30:$I$47,MATCH(MMap!D74,Savings!$B$30:$B$47,0),MATCH(G74,Savings!$G$4:$I$4,0))</f>
        <v>0.20307692307692307</v>
      </c>
      <c r="N74" s="183">
        <f>Savings!M39</f>
        <v>0.11153846153846154</v>
      </c>
      <c r="O74" s="70" t="str">
        <f>VLOOKUP(A74,[1]!STOCK,Q74,FALSE)</f>
        <v>POST2013</v>
      </c>
      <c r="P74" s="200">
        <f t="shared" si="26"/>
        <v>0.18162271351024481</v>
      </c>
      <c r="Q74" s="70">
        <f>MATCH(D74,[1]!BLDGTYPE,0)</f>
        <v>11</v>
      </c>
      <c r="R74" s="200">
        <f t="shared" si="27"/>
        <v>1</v>
      </c>
      <c r="S74" s="200">
        <f t="shared" si="27"/>
        <v>0.10087192274660353</v>
      </c>
      <c r="T74" s="188">
        <f t="shared" si="19"/>
        <v>8.0673894213641999E-3</v>
      </c>
      <c r="U74" s="188">
        <f>IF(G74="GasHt",VLOOKUP(MMap!D74,Savings!$B$7:$N$24,11,FALSE),0)</f>
        <v>2.5027777777777781E-2</v>
      </c>
      <c r="V74" s="188">
        <f t="shared" si="21"/>
        <v>8.067389421364199</v>
      </c>
      <c r="W74" s="188">
        <f t="shared" si="20"/>
        <v>4.430952523097762</v>
      </c>
      <c r="X74" s="188">
        <f t="shared" si="10"/>
        <v>0.9942480249625304</v>
      </c>
    </row>
    <row r="75" spans="1:24" s="201" customFormat="1">
      <c r="A75" s="179" t="str">
        <f t="shared" ref="A75:A106" si="28">CONCATENATE($A$6,"-",E75)</f>
        <v>Commercial EM-New</v>
      </c>
      <c r="B75" s="182" t="str">
        <f t="shared" ref="B75:B106" si="29">CONCATENATE(A75,"-",D75)</f>
        <v>Commercial EM-New-Supermarket</v>
      </c>
      <c r="C75" s="182" t="str">
        <f t="shared" ref="C75:C106" si="30">CONCATENATE(A75,"-",D75,"-",G75)</f>
        <v>Commercial EM-New-Supermarket-GasHt</v>
      </c>
      <c r="D75" s="71" t="s">
        <v>158</v>
      </c>
      <c r="E75" s="66" t="s">
        <v>194</v>
      </c>
      <c r="F75" s="67" t="s">
        <v>192</v>
      </c>
      <c r="G75" s="67" t="s">
        <v>193</v>
      </c>
      <c r="H75" s="68">
        <f t="shared" si="11"/>
        <v>5</v>
      </c>
      <c r="I75" s="69">
        <f t="shared" si="25"/>
        <v>1.5377816133020691E-2</v>
      </c>
      <c r="J75" s="69">
        <f t="shared" si="25"/>
        <v>0.88455863187555051</v>
      </c>
      <c r="K75" s="69">
        <f t="shared" si="25"/>
        <v>0.1000635519914288</v>
      </c>
      <c r="L75" s="69">
        <f t="shared" si="25"/>
        <v>7.1447125331852143E-2</v>
      </c>
      <c r="M75" s="183">
        <f>INDEX(Savings!$G$30:$I$47,MATCH(MMap!D75,Savings!$B$30:$B$47,0),MATCH(G75,Savings!$G$4:$I$4,0))</f>
        <v>1.4030769230769229</v>
      </c>
      <c r="N75" s="183">
        <f>Savings!M40</f>
        <v>0.33461538461538459</v>
      </c>
      <c r="O75" s="70" t="str">
        <f>VLOOKUP(A75,[1]!STOCK,Q75,FALSE)</f>
        <v>POST2013</v>
      </c>
      <c r="P75" s="200">
        <f t="shared" si="26"/>
        <v>0.92147944946531313</v>
      </c>
      <c r="Q75" s="70">
        <f>MATCH(D75,[1]!BLDGTYPE,0)</f>
        <v>12</v>
      </c>
      <c r="R75" s="200">
        <f t="shared" si="27"/>
        <v>0.70766579331774959</v>
      </c>
      <c r="S75" s="200">
        <f t="shared" si="27"/>
        <v>6.1675003194375045E-3</v>
      </c>
      <c r="T75" s="188">
        <f t="shared" ref="T75:T106" si="31">M75*L75*INDEX($I$8:$K$118,ROW()-7,MATCH(G75,$I$8:$K$8))</f>
        <v>8.8673298998008479E-2</v>
      </c>
      <c r="U75" s="188">
        <f>IF(G75="GasHt",VLOOKUP(MMap!D75,Savings!$B$7:$N$24,11,FALSE),0)</f>
        <v>7.3611111111111113E-2</v>
      </c>
      <c r="V75" s="188">
        <f t="shared" si="21"/>
        <v>88.673298998008477</v>
      </c>
      <c r="W75" s="188">
        <f t="shared" ref="W75:W106" si="32">$N75*$L75*$W$8*HLOOKUP($G75,$I$8:$K$118,ROW()-7,FALSE)</f>
        <v>21.147415057090836</v>
      </c>
      <c r="X75" s="188">
        <f t="shared" si="10"/>
        <v>4.6521612306307754</v>
      </c>
    </row>
    <row r="76" spans="1:24" s="201" customFormat="1">
      <c r="A76" s="179" t="str">
        <f t="shared" si="28"/>
        <v>Commercial EM-New</v>
      </c>
      <c r="B76" s="182" t="str">
        <f t="shared" si="29"/>
        <v>Commercial EM-New-MiniMart</v>
      </c>
      <c r="C76" s="182" t="str">
        <f t="shared" si="30"/>
        <v>Commercial EM-New-MiniMart-GasHt</v>
      </c>
      <c r="D76" s="71" t="s">
        <v>196</v>
      </c>
      <c r="E76" s="66" t="s">
        <v>194</v>
      </c>
      <c r="F76" s="67" t="s">
        <v>192</v>
      </c>
      <c r="G76" s="67" t="s">
        <v>193</v>
      </c>
      <c r="H76" s="68">
        <f t="shared" si="11"/>
        <v>5</v>
      </c>
      <c r="I76" s="69">
        <f t="shared" si="25"/>
        <v>0</v>
      </c>
      <c r="J76" s="69">
        <f t="shared" si="25"/>
        <v>0.99620809267302346</v>
      </c>
      <c r="K76" s="69">
        <f t="shared" si="25"/>
        <v>3.7919073269764856E-3</v>
      </c>
      <c r="L76" s="69">
        <f t="shared" si="25"/>
        <v>0</v>
      </c>
      <c r="M76" s="183">
        <f>INDEX(Savings!$G$30:$I$47,MATCH(MMap!D76,Savings!$B$30:$B$47,0),MATCH(G76,Savings!$G$4:$I$4,0))</f>
        <v>1.8646153846153843</v>
      </c>
      <c r="N76" s="183">
        <f>Savings!M41</f>
        <v>0.55769230769230771</v>
      </c>
      <c r="O76" s="70" t="str">
        <f>VLOOKUP(A76,[1]!STOCK,Q76,FALSE)</f>
        <v>POST2013</v>
      </c>
      <c r="P76" s="200">
        <f t="shared" si="26"/>
        <v>0.83868998628257874</v>
      </c>
      <c r="Q76" s="70">
        <f>MATCH(D76,[1]!BLDGTYPE,0)</f>
        <v>13</v>
      </c>
      <c r="R76" s="200">
        <f t="shared" si="27"/>
        <v>0.29233420668225041</v>
      </c>
      <c r="S76" s="200">
        <f t="shared" si="27"/>
        <v>2.5477723102065148E-3</v>
      </c>
      <c r="T76" s="188">
        <f t="shared" si="31"/>
        <v>0</v>
      </c>
      <c r="U76" s="188">
        <f>IF(G76="GasHt",VLOOKUP(MMap!D76,Savings!$B$7:$N$24,11,FALSE),0)</f>
        <v>7.3611111111111113E-2</v>
      </c>
      <c r="V76" s="188">
        <f t="shared" ref="V76:V107" si="33">M76*L76*$V$8*HLOOKUP(G76,$I$8:$K$118,ROW()-7,FALSE)</f>
        <v>0</v>
      </c>
      <c r="W76" s="188">
        <f t="shared" si="32"/>
        <v>0</v>
      </c>
      <c r="X76" s="188">
        <f t="shared" ref="X76:X118" si="34">U76*J76*L76*$X$8</f>
        <v>0</v>
      </c>
    </row>
    <row r="77" spans="1:24" s="201" customFormat="1">
      <c r="A77" s="179" t="str">
        <f t="shared" si="28"/>
        <v>Commercial EM-New</v>
      </c>
      <c r="B77" s="182" t="str">
        <f t="shared" si="29"/>
        <v>Commercial EM-New-Restaurant</v>
      </c>
      <c r="C77" s="182" t="str">
        <f t="shared" si="30"/>
        <v>Commercial EM-New-Restaurant-GasHt</v>
      </c>
      <c r="D77" s="71" t="s">
        <v>161</v>
      </c>
      <c r="E77" s="66" t="s">
        <v>194</v>
      </c>
      <c r="F77" s="67" t="s">
        <v>192</v>
      </c>
      <c r="G77" s="67" t="s">
        <v>193</v>
      </c>
      <c r="H77" s="68">
        <f t="shared" ref="H77:H118" si="35">H76</f>
        <v>5</v>
      </c>
      <c r="I77" s="69">
        <f t="shared" si="25"/>
        <v>5.5212362541074519E-2</v>
      </c>
      <c r="J77" s="69">
        <f t="shared" si="25"/>
        <v>0.88366906107173016</v>
      </c>
      <c r="K77" s="69">
        <f t="shared" si="25"/>
        <v>6.1118576387195395E-2</v>
      </c>
      <c r="L77" s="69">
        <f t="shared" si="25"/>
        <v>2.3525905182962954E-2</v>
      </c>
      <c r="M77" s="183">
        <f>INDEX(Savings!$G$30:$I$47,MATCH(MMap!D77,Savings!$B$30:$B$47,0),MATCH(G77,Savings!$G$4:$I$4,0))</f>
        <v>1.8646153846153843</v>
      </c>
      <c r="N77" s="183">
        <f>Savings!M42</f>
        <v>0.55769230769230771</v>
      </c>
      <c r="O77" s="70" t="str">
        <f>VLOOKUP(A77,[1]!STOCK,Q77,FALSE)</f>
        <v>POST2013</v>
      </c>
      <c r="P77" s="200">
        <f t="shared" si="26"/>
        <v>0.99999997512427186</v>
      </c>
      <c r="Q77" s="70">
        <f>MATCH(D77,[1]!BLDGTYPE,0)</f>
        <v>14</v>
      </c>
      <c r="R77" s="200">
        <f t="shared" si="27"/>
        <v>1</v>
      </c>
      <c r="S77" s="200">
        <f t="shared" si="27"/>
        <v>1.1693580853842011E-2</v>
      </c>
      <c r="T77" s="188">
        <f t="shared" si="31"/>
        <v>3.8763702811071381E-2</v>
      </c>
      <c r="U77" s="188">
        <f>IF(G77="GasHt",VLOOKUP(MMap!D77,Savings!$B$7:$N$24,11,FALSE),0)</f>
        <v>7.3611111111111113E-2</v>
      </c>
      <c r="V77" s="188">
        <f t="shared" si="33"/>
        <v>38.763702811071383</v>
      </c>
      <c r="W77" s="188">
        <f t="shared" si="32"/>
        <v>11.593929264862524</v>
      </c>
      <c r="X77" s="188">
        <f t="shared" si="34"/>
        <v>1.5303098205920076</v>
      </c>
    </row>
    <row r="78" spans="1:24" s="201" customFormat="1">
      <c r="A78" s="179" t="str">
        <f t="shared" si="28"/>
        <v>Commercial EM-New</v>
      </c>
      <c r="B78" s="182" t="str">
        <f t="shared" si="29"/>
        <v>Commercial EM-New-Lodging</v>
      </c>
      <c r="C78" s="182" t="str">
        <f t="shared" si="30"/>
        <v>Commercial EM-New-Lodging-GasHt</v>
      </c>
      <c r="D78" s="71" t="s">
        <v>5</v>
      </c>
      <c r="E78" s="66" t="s">
        <v>194</v>
      </c>
      <c r="F78" s="67" t="s">
        <v>192</v>
      </c>
      <c r="G78" s="67" t="s">
        <v>193</v>
      </c>
      <c r="H78" s="68">
        <f t="shared" si="35"/>
        <v>5</v>
      </c>
      <c r="I78" s="69">
        <f t="shared" si="25"/>
        <v>0.34342063041492848</v>
      </c>
      <c r="J78" s="69">
        <f t="shared" si="25"/>
        <v>0.53617368361870132</v>
      </c>
      <c r="K78" s="69">
        <f t="shared" si="25"/>
        <v>0.12040568596637012</v>
      </c>
      <c r="L78" s="69">
        <f t="shared" si="25"/>
        <v>7.934694377848886E-2</v>
      </c>
      <c r="M78" s="183">
        <f>INDEX(Savings!$G$30:$I$47,MATCH(MMap!D78,Savings!$B$30:$B$47,0),MATCH(G78,Savings!$G$4:$I$4,0))</f>
        <v>0.94153846153846144</v>
      </c>
      <c r="N78" s="183">
        <f>Savings!M43</f>
        <v>0.25096153846153846</v>
      </c>
      <c r="O78" s="70" t="str">
        <f>VLOOKUP(A78,[1]!STOCK,Q78,FALSE)</f>
        <v>POST2013</v>
      </c>
      <c r="P78" s="200">
        <f t="shared" si="26"/>
        <v>0.94438859080377269</v>
      </c>
      <c r="Q78" s="70">
        <f>MATCH(D78,[1]!BLDGTYPE,0)</f>
        <v>15</v>
      </c>
      <c r="R78" s="200">
        <f t="shared" si="27"/>
        <v>1</v>
      </c>
      <c r="S78" s="200">
        <f t="shared" si="27"/>
        <v>2.3957473342185561E-2</v>
      </c>
      <c r="T78" s="188">
        <f t="shared" si="31"/>
        <v>4.0056570454329532E-2</v>
      </c>
      <c r="U78" s="188">
        <f>IF(G78="GasHt",VLOOKUP(MMap!D78,Savings!$B$7:$N$24,11,FALSE),0)</f>
        <v>4.4166666666666667E-2</v>
      </c>
      <c r="V78" s="188">
        <f t="shared" si="33"/>
        <v>40.056570454329531</v>
      </c>
      <c r="W78" s="188">
        <f t="shared" si="32"/>
        <v>10.676843227716512</v>
      </c>
      <c r="X78" s="188">
        <f t="shared" si="34"/>
        <v>1.8790153215572614</v>
      </c>
    </row>
    <row r="79" spans="1:24" s="201" customFormat="1">
      <c r="A79" s="179" t="str">
        <f t="shared" si="28"/>
        <v>Commercial EM-New</v>
      </c>
      <c r="B79" s="182" t="str">
        <f t="shared" si="29"/>
        <v>Commercial EM-New-Hospital</v>
      </c>
      <c r="C79" s="182" t="str">
        <f t="shared" si="30"/>
        <v>Commercial EM-New-Hospital-GasHt</v>
      </c>
      <c r="D79" s="71" t="s">
        <v>164</v>
      </c>
      <c r="E79" s="66" t="s">
        <v>194</v>
      </c>
      <c r="F79" s="67" t="s">
        <v>192</v>
      </c>
      <c r="G79" s="67" t="s">
        <v>193</v>
      </c>
      <c r="H79" s="68">
        <f t="shared" si="35"/>
        <v>5</v>
      </c>
      <c r="I79" s="69">
        <f t="shared" si="25"/>
        <v>0.10311447532768504</v>
      </c>
      <c r="J79" s="69">
        <f t="shared" si="25"/>
        <v>0.74192623135844471</v>
      </c>
      <c r="K79" s="69">
        <f t="shared" si="25"/>
        <v>0.15495929331387026</v>
      </c>
      <c r="L79" s="69">
        <f t="shared" si="25"/>
        <v>0.85339696790936803</v>
      </c>
      <c r="M79" s="183">
        <f>INDEX(Savings!$G$30:$I$47,MATCH(MMap!D79,Savings!$B$30:$B$47,0),MATCH(G79,Savings!$G$4:$I$4,0))</f>
        <v>1.6984615384615382</v>
      </c>
      <c r="N79" s="183">
        <f>Savings!M44</f>
        <v>0.27884615384615385</v>
      </c>
      <c r="O79" s="70" t="str">
        <f>VLOOKUP(A79,[1]!STOCK,Q79,FALSE)</f>
        <v>POST2013</v>
      </c>
      <c r="P79" s="200">
        <f t="shared" si="26"/>
        <v>0.95</v>
      </c>
      <c r="Q79" s="70">
        <f>MATCH(D79,[1]!BLDGTYPE,0)</f>
        <v>16</v>
      </c>
      <c r="R79" s="200">
        <f t="shared" si="27"/>
        <v>1</v>
      </c>
      <c r="S79" s="200">
        <f t="shared" si="27"/>
        <v>4.4965056377242296E-2</v>
      </c>
      <c r="T79" s="188">
        <f t="shared" si="31"/>
        <v>1.0753938250217046</v>
      </c>
      <c r="U79" s="188">
        <f>IF(G79="GasHt",VLOOKUP(MMap!D79,Savings!$B$7:$N$24,11,FALSE),0)</f>
        <v>7.3611111111111113E-2</v>
      </c>
      <c r="V79" s="188">
        <f t="shared" si="33"/>
        <v>1075.3938250217043</v>
      </c>
      <c r="W79" s="188">
        <f t="shared" si="32"/>
        <v>176.55356049382607</v>
      </c>
      <c r="X79" s="188">
        <f t="shared" si="34"/>
        <v>46.60743416867669</v>
      </c>
    </row>
    <row r="80" spans="1:24" s="201" customFormat="1">
      <c r="A80" s="179" t="str">
        <f t="shared" si="28"/>
        <v>Commercial EM-New</v>
      </c>
      <c r="B80" s="182" t="str">
        <f t="shared" si="29"/>
        <v>Commercial EM-New-Residential Care</v>
      </c>
      <c r="C80" s="182" t="str">
        <f t="shared" si="30"/>
        <v>Commercial EM-New-Residential Care-GasHt</v>
      </c>
      <c r="D80" s="71" t="s">
        <v>7</v>
      </c>
      <c r="E80" s="66" t="s">
        <v>194</v>
      </c>
      <c r="F80" s="67" t="s">
        <v>192</v>
      </c>
      <c r="G80" s="67" t="s">
        <v>193</v>
      </c>
      <c r="H80" s="68">
        <f t="shared" si="35"/>
        <v>5</v>
      </c>
      <c r="I80" s="69">
        <f t="shared" si="25"/>
        <v>5.6083613809662864E-3</v>
      </c>
      <c r="J80" s="69">
        <f t="shared" si="25"/>
        <v>0.98575716289794368</v>
      </c>
      <c r="K80" s="69">
        <f t="shared" si="25"/>
        <v>8.6344757210899958E-3</v>
      </c>
      <c r="L80" s="69">
        <f t="shared" si="25"/>
        <v>7.6228114216259218E-2</v>
      </c>
      <c r="M80" s="183">
        <f>INDEX(Savings!$G$30:$I$47,MATCH(MMap!D80,Savings!$B$30:$B$47,0),MATCH(G80,Savings!$G$4:$I$4,0))</f>
        <v>1.44</v>
      </c>
      <c r="N80" s="183">
        <f>Savings!M45</f>
        <v>0.27884615384615385</v>
      </c>
      <c r="O80" s="70" t="str">
        <f>VLOOKUP(A80,[1]!STOCK,Q80,FALSE)</f>
        <v>POST2013</v>
      </c>
      <c r="P80" s="200">
        <f t="shared" si="26"/>
        <v>0.8423386600487599</v>
      </c>
      <c r="Q80" s="70">
        <f>MATCH(D80,[1]!BLDGTYPE,0)</f>
        <v>17</v>
      </c>
      <c r="R80" s="200">
        <f t="shared" si="27"/>
        <v>1</v>
      </c>
      <c r="S80" s="200">
        <f t="shared" si="27"/>
        <v>5.827742495837801E-2</v>
      </c>
      <c r="T80" s="188">
        <f t="shared" si="31"/>
        <v>0.10820506982814733</v>
      </c>
      <c r="U80" s="188">
        <f>IF(G80="GasHt",VLOOKUP(MMap!D80,Savings!$B$7:$N$24,11,FALSE),0)</f>
        <v>7.3611111111111113E-2</v>
      </c>
      <c r="V80" s="188">
        <f t="shared" si="33"/>
        <v>108.20506982814733</v>
      </c>
      <c r="W80" s="188">
        <f t="shared" si="32"/>
        <v>20.95317190849541</v>
      </c>
      <c r="X80" s="188">
        <f t="shared" si="34"/>
        <v>5.5313162624342294</v>
      </c>
    </row>
    <row r="81" spans="1:24" s="201" customFormat="1">
      <c r="A81" s="179" t="str">
        <f t="shared" si="28"/>
        <v>Commercial EM-New</v>
      </c>
      <c r="B81" s="182" t="str">
        <f t="shared" si="29"/>
        <v>Commercial EM-New-Assembly</v>
      </c>
      <c r="C81" s="182" t="str">
        <f t="shared" si="30"/>
        <v>Commercial EM-New-Assembly-GasHt</v>
      </c>
      <c r="D81" s="71" t="s">
        <v>3</v>
      </c>
      <c r="E81" s="66" t="s">
        <v>194</v>
      </c>
      <c r="F81" s="67" t="s">
        <v>192</v>
      </c>
      <c r="G81" s="67" t="s">
        <v>193</v>
      </c>
      <c r="H81" s="68">
        <f t="shared" si="35"/>
        <v>5</v>
      </c>
      <c r="I81" s="69">
        <f t="shared" si="25"/>
        <v>5.6083613809662864E-3</v>
      </c>
      <c r="J81" s="69">
        <f t="shared" si="25"/>
        <v>0.98575716289794368</v>
      </c>
      <c r="K81" s="69">
        <f t="shared" si="25"/>
        <v>8.6344757210899958E-3</v>
      </c>
      <c r="L81" s="69">
        <f t="shared" si="25"/>
        <v>0.16854152512418574</v>
      </c>
      <c r="M81" s="183">
        <f>INDEX(Savings!$G$30:$I$47,MATCH(MMap!D81,Savings!$B$30:$B$47,0),MATCH(G81,Savings!$G$4:$I$4,0))</f>
        <v>0.84923076923076912</v>
      </c>
      <c r="N81" s="183">
        <f>Savings!M46</f>
        <v>0.25096153846153846</v>
      </c>
      <c r="O81" s="70" t="str">
        <f>VLOOKUP(A81,[1]!STOCK,Q81,FALSE)</f>
        <v>POST2013</v>
      </c>
      <c r="P81" s="200">
        <f t="shared" si="26"/>
        <v>0.91177234717447209</v>
      </c>
      <c r="Q81" s="70">
        <f>MATCH(D81,[1]!BLDGTYPE,0)</f>
        <v>18</v>
      </c>
      <c r="R81" s="200">
        <f t="shared" si="27"/>
        <v>1</v>
      </c>
      <c r="S81" s="200">
        <f t="shared" si="27"/>
        <v>9.0984350406775827E-2</v>
      </c>
      <c r="T81" s="188">
        <f t="shared" si="31"/>
        <v>0.14109206251011416</v>
      </c>
      <c r="U81" s="188">
        <f>IF(G81="GasHt",VLOOKUP(MMap!D81,Savings!$B$7:$N$24,11,FALSE),0)</f>
        <v>5.8888888888888893E-2</v>
      </c>
      <c r="V81" s="188">
        <f t="shared" si="33"/>
        <v>141.09206251011418</v>
      </c>
      <c r="W81" s="188">
        <f t="shared" si="32"/>
        <v>41.695004885801417</v>
      </c>
      <c r="X81" s="188">
        <f t="shared" si="34"/>
        <v>9.7838598097291349</v>
      </c>
    </row>
    <row r="82" spans="1:24" s="201" customFormat="1">
      <c r="A82" s="179" t="str">
        <f t="shared" si="28"/>
        <v>Commercial EM-New</v>
      </c>
      <c r="B82" s="182" t="str">
        <f t="shared" si="29"/>
        <v>Commercial EM-New-Other</v>
      </c>
      <c r="C82" s="182" t="str">
        <f t="shared" si="30"/>
        <v>Commercial EM-New-Other-GasHt</v>
      </c>
      <c r="D82" s="71" t="s">
        <v>11</v>
      </c>
      <c r="E82" s="66" t="s">
        <v>194</v>
      </c>
      <c r="F82" s="67" t="s">
        <v>192</v>
      </c>
      <c r="G82" s="67" t="s">
        <v>193</v>
      </c>
      <c r="H82" s="68">
        <f t="shared" si="35"/>
        <v>5</v>
      </c>
      <c r="I82" s="69">
        <f t="shared" si="25"/>
        <v>0.24031041917780901</v>
      </c>
      <c r="J82" s="69">
        <f t="shared" si="25"/>
        <v>0.6783643954380898</v>
      </c>
      <c r="K82" s="69">
        <f t="shared" si="25"/>
        <v>8.1325185384101065E-2</v>
      </c>
      <c r="L82" s="69">
        <f t="shared" si="25"/>
        <v>0.20051702037858005</v>
      </c>
      <c r="M82" s="183">
        <f>INDEX(Savings!$G$30:$I$47,MATCH(MMap!D82,Savings!$B$30:$B$47,0),MATCH(G82,Savings!$G$4:$I$4,0))</f>
        <v>0.84923076923076912</v>
      </c>
      <c r="N82" s="183">
        <f>Savings!M47</f>
        <v>0.25096153846153846</v>
      </c>
      <c r="O82" s="70" t="str">
        <f>VLOOKUP(A82,[1]!STOCK,Q82,FALSE)</f>
        <v>POST2013</v>
      </c>
      <c r="P82" s="200">
        <f t="shared" si="26"/>
        <v>0.87717751610580841</v>
      </c>
      <c r="Q82" s="70">
        <f>MATCH(D82,[1]!BLDGTYPE,0)</f>
        <v>19</v>
      </c>
      <c r="R82" s="200">
        <f t="shared" si="27"/>
        <v>1</v>
      </c>
      <c r="S82" s="200">
        <f t="shared" si="27"/>
        <v>0.21334717399999265</v>
      </c>
      <c r="T82" s="188">
        <f t="shared" si="31"/>
        <v>0.11551543266445805</v>
      </c>
      <c r="U82" s="188">
        <f>IF(G82="GasHt",VLOOKUP(MMap!D82,Savings!$B$7:$N$24,11,FALSE),0)</f>
        <v>8.8333333333333333E-2</v>
      </c>
      <c r="V82" s="188">
        <f t="shared" si="33"/>
        <v>115.51543266445805</v>
      </c>
      <c r="W82" s="188">
        <f t="shared" si="32"/>
        <v>34.136693756140801</v>
      </c>
      <c r="X82" s="188">
        <f t="shared" si="34"/>
        <v>12.015418645201027</v>
      </c>
    </row>
    <row r="83" spans="1:24" s="201" customFormat="1">
      <c r="A83" s="179" t="str">
        <f t="shared" si="28"/>
        <v>Commercial EM-New</v>
      </c>
      <c r="B83" s="182" t="str">
        <f t="shared" si="29"/>
        <v>Commercial EM-New-Large Off</v>
      </c>
      <c r="C83" s="182" t="str">
        <f t="shared" si="30"/>
        <v>Commercial EM-New-Large Off-ElecHt</v>
      </c>
      <c r="D83" s="71" t="s">
        <v>148</v>
      </c>
      <c r="E83" s="66" t="s">
        <v>194</v>
      </c>
      <c r="F83" s="67" t="s">
        <v>192</v>
      </c>
      <c r="G83" s="67" t="s">
        <v>438</v>
      </c>
      <c r="H83" s="68">
        <f t="shared" si="35"/>
        <v>5</v>
      </c>
      <c r="I83" s="69">
        <f t="shared" si="25"/>
        <v>9.379008321141083E-2</v>
      </c>
      <c r="J83" s="69">
        <f t="shared" si="25"/>
        <v>0.80872784176745371</v>
      </c>
      <c r="K83" s="69">
        <f t="shared" si="25"/>
        <v>9.7482075021135345E-2</v>
      </c>
      <c r="L83" s="69">
        <f t="shared" si="25"/>
        <v>0.85</v>
      </c>
      <c r="M83" s="183">
        <f>INDEX(Savings!$G$30:$I$47,MATCH(MMap!D83,Savings!$B$30:$B$47,0),MATCH(G83,Savings!$G$4:$I$4,0))</f>
        <v>1.307076923076923</v>
      </c>
      <c r="N83" s="183">
        <f>N65</f>
        <v>0.25096153846153846</v>
      </c>
      <c r="O83" s="70" t="str">
        <f>VLOOKUP(A83,[1]!STOCK,Q83,FALSE)</f>
        <v>POST2013</v>
      </c>
      <c r="P83" s="200">
        <f t="shared" si="26"/>
        <v>0.95128694884061893</v>
      </c>
      <c r="Q83" s="70">
        <f>MATCH(D83,[1]!BLDGTYPE,0)</f>
        <v>2</v>
      </c>
      <c r="R83" s="200">
        <f t="shared" si="27"/>
        <v>0.49844828664156315</v>
      </c>
      <c r="S83" s="200">
        <f t="shared" si="27"/>
        <v>0.15073291148870363</v>
      </c>
      <c r="T83" s="188">
        <f t="shared" si="31"/>
        <v>0.10420222537223452</v>
      </c>
      <c r="U83" s="188">
        <f>IF(G83="GasHt",VLOOKUP(MMap!D83,Savings!$B$7:$N$24,11,FALSE),0)</f>
        <v>0</v>
      </c>
      <c r="V83" s="188">
        <f t="shared" si="33"/>
        <v>104.20222537223454</v>
      </c>
      <c r="W83" s="188">
        <f t="shared" si="32"/>
        <v>20.007048038895668</v>
      </c>
      <c r="X83" s="188">
        <f t="shared" si="34"/>
        <v>0</v>
      </c>
    </row>
    <row r="84" spans="1:24" s="201" customFormat="1">
      <c r="A84" s="179" t="str">
        <f t="shared" si="28"/>
        <v>Commercial EM-New</v>
      </c>
      <c r="B84" s="182" t="str">
        <f t="shared" si="29"/>
        <v>Commercial EM-New-Medium Off</v>
      </c>
      <c r="C84" s="182" t="str">
        <f t="shared" si="30"/>
        <v>Commercial EM-New-Medium Off-ElecHt</v>
      </c>
      <c r="D84" s="71" t="s">
        <v>149</v>
      </c>
      <c r="E84" s="66" t="s">
        <v>194</v>
      </c>
      <c r="F84" s="67" t="s">
        <v>192</v>
      </c>
      <c r="G84" s="67" t="s">
        <v>438</v>
      </c>
      <c r="H84" s="68">
        <f t="shared" si="35"/>
        <v>5</v>
      </c>
      <c r="I84" s="69">
        <f t="shared" si="25"/>
        <v>5.7141018201974592E-2</v>
      </c>
      <c r="J84" s="69">
        <f t="shared" si="25"/>
        <v>0.93108561158422598</v>
      </c>
      <c r="K84" s="69">
        <f t="shared" si="25"/>
        <v>1.1773370213799438E-2</v>
      </c>
      <c r="L84" s="69">
        <f t="shared" si="25"/>
        <v>0.35</v>
      </c>
      <c r="M84" s="183">
        <f>INDEX(Savings!$G$30:$I$47,MATCH(MMap!D84,Savings!$B$30:$B$47,0),MATCH(G84,Savings!$G$4:$I$4,0))</f>
        <v>0.77169230769230757</v>
      </c>
      <c r="N84" s="183">
        <f t="shared" ref="N84:N118" si="36">N66</f>
        <v>0.25096153846153846</v>
      </c>
      <c r="O84" s="70" t="str">
        <f>VLOOKUP(A84,[1]!STOCK,Q84,FALSE)</f>
        <v>POST2013</v>
      </c>
      <c r="P84" s="200">
        <f t="shared" si="26"/>
        <v>0.97665874571205136</v>
      </c>
      <c r="Q84" s="70">
        <f>MATCH(D84,[1]!BLDGTYPE,0)</f>
        <v>3</v>
      </c>
      <c r="R84" s="200">
        <f t="shared" si="27"/>
        <v>0.39725857197361958</v>
      </c>
      <c r="S84" s="200">
        <f t="shared" si="27"/>
        <v>0.12013270538231059</v>
      </c>
      <c r="T84" s="188">
        <f t="shared" si="31"/>
        <v>1.5433349470059473E-2</v>
      </c>
      <c r="U84" s="188">
        <f>IF(G84="GasHt",VLOOKUP(MMap!D84,Savings!$B$7:$N$24,11,FALSE),0)</f>
        <v>0</v>
      </c>
      <c r="V84" s="188">
        <f t="shared" si="33"/>
        <v>15.433349470059474</v>
      </c>
      <c r="W84" s="188">
        <f t="shared" si="32"/>
        <v>5.0190692430292101</v>
      </c>
      <c r="X84" s="188">
        <f t="shared" si="34"/>
        <v>0</v>
      </c>
    </row>
    <row r="85" spans="1:24" s="201" customFormat="1">
      <c r="A85" s="179" t="str">
        <f t="shared" si="28"/>
        <v>Commercial EM-New</v>
      </c>
      <c r="B85" s="182" t="str">
        <f t="shared" si="29"/>
        <v>Commercial EM-New-Small Off</v>
      </c>
      <c r="C85" s="182" t="str">
        <f t="shared" si="30"/>
        <v>Commercial EM-New-Small Off-ElecHt</v>
      </c>
      <c r="D85" s="71" t="s">
        <v>150</v>
      </c>
      <c r="E85" s="66" t="s">
        <v>194</v>
      </c>
      <c r="F85" s="67" t="s">
        <v>192</v>
      </c>
      <c r="G85" s="67" t="s">
        <v>438</v>
      </c>
      <c r="H85" s="68">
        <f t="shared" si="35"/>
        <v>5</v>
      </c>
      <c r="I85" s="69">
        <f t="shared" ref="I85:L104" si="37">VLOOKUP(I$9,V_POST2013,$Q85,FALSE)</f>
        <v>6.3540893141458221E-2</v>
      </c>
      <c r="J85" s="69">
        <f t="shared" si="37"/>
        <v>0.65879042006554966</v>
      </c>
      <c r="K85" s="69">
        <f t="shared" si="37"/>
        <v>0.27766868679299217</v>
      </c>
      <c r="L85" s="69">
        <f t="shared" si="37"/>
        <v>2.9006395725036469E-2</v>
      </c>
      <c r="M85" s="183">
        <f>INDEX(Savings!$G$30:$I$47,MATCH(MMap!D85,Savings!$B$30:$B$47,0),MATCH(G85,Savings!$G$4:$I$4,0))</f>
        <v>0.62399999999999989</v>
      </c>
      <c r="N85" s="183">
        <f t="shared" si="36"/>
        <v>0.55769230769230771</v>
      </c>
      <c r="O85" s="70" t="str">
        <f>VLOOKUP(A85,[1]!STOCK,Q85,FALSE)</f>
        <v>POST2013</v>
      </c>
      <c r="P85" s="200">
        <f t="shared" si="26"/>
        <v>0.91122609210258287</v>
      </c>
      <c r="Q85" s="70">
        <f>MATCH(D85,[1]!BLDGTYPE,0)</f>
        <v>4</v>
      </c>
      <c r="R85" s="200">
        <f t="shared" ref="R85:S104" si="38">VLOOKUP(R$9,V_POST2013,$Q85,FALSE)</f>
        <v>0.10429314138481716</v>
      </c>
      <c r="S85" s="200">
        <f t="shared" si="38"/>
        <v>3.1538695729415013E-2</v>
      </c>
      <c r="T85" s="188">
        <f t="shared" si="31"/>
        <v>1.150089589698437E-3</v>
      </c>
      <c r="U85" s="188">
        <f>IF(G85="GasHt",VLOOKUP(MMap!D85,Savings!$B$7:$N$24,11,FALSE),0)</f>
        <v>0</v>
      </c>
      <c r="V85" s="188">
        <f t="shared" si="33"/>
        <v>1.1500895896984369</v>
      </c>
      <c r="W85" s="188">
        <f t="shared" si="32"/>
        <v>1.0278783931599689</v>
      </c>
      <c r="X85" s="188">
        <f t="shared" si="34"/>
        <v>0</v>
      </c>
    </row>
    <row r="86" spans="1:24" s="201" customFormat="1">
      <c r="A86" s="179" t="str">
        <f t="shared" si="28"/>
        <v>Commercial EM-New</v>
      </c>
      <c r="B86" s="182" t="str">
        <f t="shared" si="29"/>
        <v>Commercial EM-New-Xlarge Ret</v>
      </c>
      <c r="C86" s="182" t="str">
        <f t="shared" si="30"/>
        <v>Commercial EM-New-Xlarge Ret-ElecHt</v>
      </c>
      <c r="D86" s="71" t="s">
        <v>197</v>
      </c>
      <c r="E86" s="66" t="s">
        <v>194</v>
      </c>
      <c r="F86" s="67" t="s">
        <v>192</v>
      </c>
      <c r="G86" s="67" t="s">
        <v>438</v>
      </c>
      <c r="H86" s="68">
        <f t="shared" si="35"/>
        <v>5</v>
      </c>
      <c r="I86" s="69">
        <f t="shared" si="37"/>
        <v>0.52114684573848291</v>
      </c>
      <c r="J86" s="69">
        <f t="shared" si="37"/>
        <v>0.30364464955032466</v>
      </c>
      <c r="K86" s="69">
        <f t="shared" si="37"/>
        <v>0.17520850471119245</v>
      </c>
      <c r="L86" s="69">
        <f t="shared" si="37"/>
        <v>3.9164397027771525E-2</v>
      </c>
      <c r="M86" s="183">
        <f>INDEX(Savings!$G$30:$I$47,MATCH(MMap!D86,Savings!$B$30:$B$47,0),MATCH(G86,Savings!$G$4:$I$4,0))</f>
        <v>0.77169230769230757</v>
      </c>
      <c r="N86" s="183">
        <f t="shared" si="36"/>
        <v>0.25096153846153846</v>
      </c>
      <c r="O86" s="70" t="str">
        <f>VLOOKUP(A86,[1]!STOCK,Q86,FALSE)</f>
        <v>POST2013</v>
      </c>
      <c r="P86" s="200">
        <f t="shared" si="26"/>
        <v>0.98608503921852686</v>
      </c>
      <c r="Q86" s="70">
        <f>MATCH(D86,[1]!BLDGTYPE,0)</f>
        <v>5</v>
      </c>
      <c r="R86" s="200">
        <f t="shared" si="38"/>
        <v>0.29289805028089561</v>
      </c>
      <c r="S86" s="200">
        <f t="shared" si="38"/>
        <v>2.6820893655991742E-2</v>
      </c>
      <c r="T86" s="188">
        <f t="shared" si="31"/>
        <v>1.5750550201997549E-2</v>
      </c>
      <c r="U86" s="188">
        <f>IF(G86="GasHt",VLOOKUP(MMap!D86,Savings!$B$7:$N$24,11,FALSE),0)</f>
        <v>0</v>
      </c>
      <c r="V86" s="188">
        <f t="shared" si="33"/>
        <v>15.75055020199755</v>
      </c>
      <c r="W86" s="188">
        <f t="shared" si="32"/>
        <v>5.1222258805838328</v>
      </c>
      <c r="X86" s="188">
        <f t="shared" si="34"/>
        <v>0</v>
      </c>
    </row>
    <row r="87" spans="1:24" s="201" customFormat="1">
      <c r="A87" s="179" t="str">
        <f t="shared" si="28"/>
        <v>Commercial EM-New</v>
      </c>
      <c r="B87" s="182" t="str">
        <f t="shared" si="29"/>
        <v>Commercial EM-New-Large Ret</v>
      </c>
      <c r="C87" s="182" t="str">
        <f t="shared" si="30"/>
        <v>Commercial EM-New-Large Ret-ElecHt</v>
      </c>
      <c r="D87" s="71" t="s">
        <v>169</v>
      </c>
      <c r="E87" s="66" t="s">
        <v>194</v>
      </c>
      <c r="F87" s="67" t="s">
        <v>192</v>
      </c>
      <c r="G87" s="67" t="s">
        <v>438</v>
      </c>
      <c r="H87" s="68">
        <f t="shared" si="35"/>
        <v>5</v>
      </c>
      <c r="I87" s="69">
        <f t="shared" si="37"/>
        <v>0.64094486042254439</v>
      </c>
      <c r="J87" s="69">
        <f t="shared" si="37"/>
        <v>0.20980203614718312</v>
      </c>
      <c r="K87" s="69">
        <f t="shared" si="37"/>
        <v>0.14925310343027248</v>
      </c>
      <c r="L87" s="69">
        <f t="shared" si="37"/>
        <v>0.25776672816535129</v>
      </c>
      <c r="M87" s="183">
        <f>INDEX(Savings!$G$30:$I$47,MATCH(MMap!D87,Savings!$B$30:$B$47,0),MATCH(G87,Savings!$G$4:$I$4,0))</f>
        <v>0.84923076923076912</v>
      </c>
      <c r="N87" s="183">
        <f t="shared" si="36"/>
        <v>0.55769230769230771</v>
      </c>
      <c r="O87" s="70" t="str">
        <f>VLOOKUP(A87,[1]!STOCK,Q87,FALSE)</f>
        <v>POST2013</v>
      </c>
      <c r="P87" s="200">
        <f t="shared" si="26"/>
        <v>0.77181511362305244</v>
      </c>
      <c r="Q87" s="70">
        <f>MATCH(D87,[1]!BLDGTYPE,0)</f>
        <v>6</v>
      </c>
      <c r="R87" s="200">
        <f t="shared" si="38"/>
        <v>0.11837446567671327</v>
      </c>
      <c r="S87" s="200">
        <f t="shared" si="38"/>
        <v>1.0839638408159987E-2</v>
      </c>
      <c r="T87" s="188">
        <f t="shared" si="31"/>
        <v>0.14030503277268522</v>
      </c>
      <c r="U87" s="188">
        <f>IF(G87="GasHt",VLOOKUP(MMap!D87,Savings!$B$7:$N$24,11,FALSE),0)</f>
        <v>0</v>
      </c>
      <c r="V87" s="188">
        <f t="shared" si="33"/>
        <v>140.30503277268519</v>
      </c>
      <c r="W87" s="188">
        <f t="shared" si="32"/>
        <v>92.138721703076811</v>
      </c>
      <c r="X87" s="188">
        <f t="shared" si="34"/>
        <v>0</v>
      </c>
    </row>
    <row r="88" spans="1:24" s="201" customFormat="1">
      <c r="A88" s="179" t="str">
        <f t="shared" si="28"/>
        <v>Commercial EM-New</v>
      </c>
      <c r="B88" s="182" t="str">
        <f t="shared" si="29"/>
        <v>Commercial EM-New-Medium Ret</v>
      </c>
      <c r="C88" s="182" t="str">
        <f t="shared" si="30"/>
        <v>Commercial EM-New-Medium Ret-ElecHt</v>
      </c>
      <c r="D88" s="71" t="s">
        <v>168</v>
      </c>
      <c r="E88" s="66" t="s">
        <v>194</v>
      </c>
      <c r="F88" s="67" t="s">
        <v>192</v>
      </c>
      <c r="G88" s="67" t="s">
        <v>438</v>
      </c>
      <c r="H88" s="68">
        <f t="shared" si="35"/>
        <v>5</v>
      </c>
      <c r="I88" s="69">
        <f t="shared" si="37"/>
        <v>0.56159710090996928</v>
      </c>
      <c r="J88" s="69">
        <f t="shared" si="37"/>
        <v>0.42422729730852854</v>
      </c>
      <c r="K88" s="69">
        <f t="shared" si="37"/>
        <v>1.4175601781502387E-2</v>
      </c>
      <c r="L88" s="69">
        <f t="shared" si="37"/>
        <v>2.7574670878248778E-2</v>
      </c>
      <c r="M88" s="183">
        <f>INDEX(Savings!$G$30:$I$47,MATCH(MMap!D88,Savings!$B$30:$B$47,0),MATCH(G88,Savings!$G$4:$I$4,0))</f>
        <v>1.1815384615384614</v>
      </c>
      <c r="N88" s="183">
        <f t="shared" si="36"/>
        <v>0.55769230769230771</v>
      </c>
      <c r="O88" s="70" t="str">
        <f>VLOOKUP(A88,[1]!STOCK,Q88,FALSE)</f>
        <v>POST2013</v>
      </c>
      <c r="P88" s="200">
        <f t="shared" si="26"/>
        <v>0.90527535536267667</v>
      </c>
      <c r="Q88" s="70">
        <f>MATCH(D88,[1]!BLDGTYPE,0)</f>
        <v>7</v>
      </c>
      <c r="R88" s="200">
        <f t="shared" si="38"/>
        <v>0.44658380004081855</v>
      </c>
      <c r="S88" s="200">
        <f t="shared" si="38"/>
        <v>4.0894012773033235E-2</v>
      </c>
      <c r="T88" s="188">
        <f t="shared" si="31"/>
        <v>1.8297133556701817E-2</v>
      </c>
      <c r="U88" s="188">
        <f>IF(G88="GasHt",VLOOKUP(MMap!D88,Savings!$B$7:$N$24,11,FALSE),0)</f>
        <v>0</v>
      </c>
      <c r="V88" s="188">
        <f t="shared" si="33"/>
        <v>18.297133556701819</v>
      </c>
      <c r="W88" s="188">
        <f t="shared" si="32"/>
        <v>8.6363423363338665</v>
      </c>
      <c r="X88" s="188">
        <f t="shared" si="34"/>
        <v>0</v>
      </c>
    </row>
    <row r="89" spans="1:24" s="201" customFormat="1">
      <c r="A89" s="179" t="str">
        <f t="shared" si="28"/>
        <v>Commercial EM-New</v>
      </c>
      <c r="B89" s="182" t="str">
        <f t="shared" si="29"/>
        <v>Commercial EM-New-Small Ret</v>
      </c>
      <c r="C89" s="182" t="str">
        <f t="shared" si="30"/>
        <v>Commercial EM-New-Small Ret-ElecHt</v>
      </c>
      <c r="D89" s="71" t="s">
        <v>170</v>
      </c>
      <c r="E89" s="66" t="s">
        <v>194</v>
      </c>
      <c r="F89" s="67" t="s">
        <v>192</v>
      </c>
      <c r="G89" s="67" t="s">
        <v>438</v>
      </c>
      <c r="H89" s="68">
        <f t="shared" si="35"/>
        <v>5</v>
      </c>
      <c r="I89" s="69">
        <f t="shared" si="37"/>
        <v>0.19952525247533903</v>
      </c>
      <c r="J89" s="69">
        <f t="shared" si="37"/>
        <v>0.44747439425166918</v>
      </c>
      <c r="K89" s="69">
        <f t="shared" si="37"/>
        <v>0.35300035327299167</v>
      </c>
      <c r="L89" s="69">
        <f t="shared" si="37"/>
        <v>0.10146503328904084</v>
      </c>
      <c r="M89" s="183">
        <f>INDEX(Savings!$G$30:$I$47,MATCH(MMap!D89,Savings!$B$30:$B$47,0),MATCH(G89,Savings!$G$4:$I$4,0))</f>
        <v>1.2369230769230766</v>
      </c>
      <c r="N89" s="183">
        <f t="shared" si="36"/>
        <v>0.25096153846153846</v>
      </c>
      <c r="O89" s="70" t="str">
        <f>VLOOKUP(A89,[1]!STOCK,Q89,FALSE)</f>
        <v>POST2013</v>
      </c>
      <c r="P89" s="200">
        <f t="shared" si="26"/>
        <v>0.53668215741883951</v>
      </c>
      <c r="Q89" s="70">
        <f>MATCH(D89,[1]!BLDGTYPE,0)</f>
        <v>8</v>
      </c>
      <c r="R89" s="200">
        <f t="shared" si="38"/>
        <v>0.14214368400157257</v>
      </c>
      <c r="S89" s="200">
        <f t="shared" si="38"/>
        <v>1.3016203517984767E-2</v>
      </c>
      <c r="T89" s="188">
        <f t="shared" si="31"/>
        <v>2.5041305312414299E-2</v>
      </c>
      <c r="U89" s="188">
        <f>IF(G89="GasHt",VLOOKUP(MMap!D89,Savings!$B$7:$N$24,11,FALSE),0)</f>
        <v>0</v>
      </c>
      <c r="V89" s="188">
        <f t="shared" si="33"/>
        <v>25.041305312414298</v>
      </c>
      <c r="W89" s="188">
        <f t="shared" si="32"/>
        <v>5.0806752849348058</v>
      </c>
      <c r="X89" s="188">
        <f t="shared" si="34"/>
        <v>0</v>
      </c>
    </row>
    <row r="90" spans="1:24" s="201" customFormat="1">
      <c r="A90" s="179" t="str">
        <f t="shared" si="28"/>
        <v>Commercial EM-New</v>
      </c>
      <c r="B90" s="182" t="str">
        <f t="shared" si="29"/>
        <v>Commercial EM-New-School K-12</v>
      </c>
      <c r="C90" s="182" t="str">
        <f t="shared" si="30"/>
        <v>Commercial EM-New-School K-12-ElecHt</v>
      </c>
      <c r="D90" s="71" t="s">
        <v>171</v>
      </c>
      <c r="E90" s="66" t="s">
        <v>194</v>
      </c>
      <c r="F90" s="67" t="s">
        <v>192</v>
      </c>
      <c r="G90" s="67" t="s">
        <v>438</v>
      </c>
      <c r="H90" s="68">
        <f t="shared" si="35"/>
        <v>5</v>
      </c>
      <c r="I90" s="69">
        <f t="shared" si="37"/>
        <v>0.22286467137317267</v>
      </c>
      <c r="J90" s="69">
        <f t="shared" si="37"/>
        <v>0.53090550528653346</v>
      </c>
      <c r="K90" s="69">
        <f t="shared" si="37"/>
        <v>0.24622982334029381</v>
      </c>
      <c r="L90" s="69">
        <f t="shared" si="37"/>
        <v>0.29515325476216947</v>
      </c>
      <c r="M90" s="183">
        <f>INDEX(Savings!$G$30:$I$47,MATCH(MMap!D90,Savings!$B$30:$B$47,0),MATCH(G90,Savings!$G$4:$I$4,0))</f>
        <v>0.57230769230769218</v>
      </c>
      <c r="N90" s="183">
        <f t="shared" si="36"/>
        <v>0.27884615384615385</v>
      </c>
      <c r="O90" s="70" t="str">
        <f>VLOOKUP(A90,[1]!STOCK,Q90,FALSE)</f>
        <v>POST2013</v>
      </c>
      <c r="P90" s="200">
        <f t="shared" si="26"/>
        <v>0.96128535178408803</v>
      </c>
      <c r="Q90" s="70">
        <f>MATCH(D90,[1]!BLDGTYPE,0)</f>
        <v>9</v>
      </c>
      <c r="R90" s="200">
        <f t="shared" si="38"/>
        <v>0.58044164275770982</v>
      </c>
      <c r="S90" s="200">
        <f t="shared" si="38"/>
        <v>3.0886857559635036E-2</v>
      </c>
      <c r="T90" s="188">
        <f t="shared" si="31"/>
        <v>3.7645961112850873E-2</v>
      </c>
      <c r="U90" s="188">
        <f>IF(G90="GasHt",VLOOKUP(MMap!D90,Savings!$B$7:$N$24,11,FALSE),0)</f>
        <v>0</v>
      </c>
      <c r="V90" s="188">
        <f t="shared" si="33"/>
        <v>37.645961112850877</v>
      </c>
      <c r="W90" s="188">
        <f t="shared" si="32"/>
        <v>18.342286160495224</v>
      </c>
      <c r="X90" s="188">
        <f t="shared" si="34"/>
        <v>0</v>
      </c>
    </row>
    <row r="91" spans="1:24" s="201" customFormat="1">
      <c r="A91" s="179" t="str">
        <f t="shared" si="28"/>
        <v>Commercial EM-New</v>
      </c>
      <c r="B91" s="182" t="str">
        <f t="shared" si="29"/>
        <v>Commercial EM-New-University</v>
      </c>
      <c r="C91" s="182" t="str">
        <f t="shared" si="30"/>
        <v>Commercial EM-New-University-ElecHt</v>
      </c>
      <c r="D91" s="71" t="s">
        <v>155</v>
      </c>
      <c r="E91" s="66" t="s">
        <v>194</v>
      </c>
      <c r="F91" s="67" t="s">
        <v>192</v>
      </c>
      <c r="G91" s="67" t="s">
        <v>438</v>
      </c>
      <c r="H91" s="68">
        <f t="shared" si="35"/>
        <v>5</v>
      </c>
      <c r="I91" s="69">
        <f t="shared" si="37"/>
        <v>0.15885643507420852</v>
      </c>
      <c r="J91" s="69">
        <f t="shared" si="37"/>
        <v>0.73038501205930684</v>
      </c>
      <c r="K91" s="69">
        <f t="shared" si="37"/>
        <v>0.1107585528664846</v>
      </c>
      <c r="L91" s="69">
        <f t="shared" si="37"/>
        <v>0.77756785592800526</v>
      </c>
      <c r="M91" s="183">
        <f>INDEX(Savings!$G$30:$I$47,MATCH(MMap!D91,Savings!$B$30:$B$47,0),MATCH(G91,Savings!$G$4:$I$4,0))</f>
        <v>0.94153846153846144</v>
      </c>
      <c r="N91" s="183">
        <f t="shared" si="36"/>
        <v>0.27884615384615385</v>
      </c>
      <c r="O91" s="70" t="str">
        <f>VLOOKUP(A91,[1]!STOCK,Q91,FALSE)</f>
        <v>POST2013</v>
      </c>
      <c r="P91" s="200">
        <f t="shared" si="26"/>
        <v>0.75</v>
      </c>
      <c r="Q91" s="70">
        <f>MATCH(D91,[1]!BLDGTYPE,0)</f>
        <v>10</v>
      </c>
      <c r="R91" s="200">
        <f t="shared" si="38"/>
        <v>0.41955835724229024</v>
      </c>
      <c r="S91" s="200">
        <f t="shared" si="38"/>
        <v>2.2325826170102026E-2</v>
      </c>
      <c r="T91" s="188">
        <f t="shared" si="31"/>
        <v>0.11630039148317452</v>
      </c>
      <c r="U91" s="188">
        <f>IF(G91="GasHt",VLOOKUP(MMap!D91,Savings!$B$7:$N$24,11,FALSE),0)</f>
        <v>0</v>
      </c>
      <c r="V91" s="188">
        <f t="shared" si="33"/>
        <v>116.30039148317452</v>
      </c>
      <c r="W91" s="188">
        <f t="shared" si="32"/>
        <v>34.443539144322521</v>
      </c>
      <c r="X91" s="188">
        <f t="shared" si="34"/>
        <v>0</v>
      </c>
    </row>
    <row r="92" spans="1:24" s="201" customFormat="1">
      <c r="A92" s="179" t="str">
        <f t="shared" si="28"/>
        <v>Commercial EM-New</v>
      </c>
      <c r="B92" s="182" t="str">
        <f t="shared" si="29"/>
        <v>Commercial EM-New-Warehouse</v>
      </c>
      <c r="C92" s="182" t="str">
        <f t="shared" si="30"/>
        <v>Commercial EM-New-Warehouse-ElecHt</v>
      </c>
      <c r="D92" s="71" t="s">
        <v>10</v>
      </c>
      <c r="E92" s="66" t="s">
        <v>194</v>
      </c>
      <c r="F92" s="67" t="s">
        <v>192</v>
      </c>
      <c r="G92" s="67" t="s">
        <v>438</v>
      </c>
      <c r="H92" s="68">
        <f t="shared" si="35"/>
        <v>5</v>
      </c>
      <c r="I92" s="69">
        <f t="shared" si="37"/>
        <v>0.52114684573848291</v>
      </c>
      <c r="J92" s="69">
        <f t="shared" si="37"/>
        <v>0.30364464955032466</v>
      </c>
      <c r="K92" s="69">
        <f t="shared" si="37"/>
        <v>0.17520850471119245</v>
      </c>
      <c r="L92" s="69">
        <f t="shared" si="37"/>
        <v>0.13082984106717208</v>
      </c>
      <c r="M92" s="183">
        <f>INDEX(Savings!$G$30:$I$47,MATCH(MMap!D92,Savings!$B$30:$B$47,0),MATCH(G92,Savings!$G$4:$I$4,0))</f>
        <v>0.20307692307692307</v>
      </c>
      <c r="N92" s="183">
        <f t="shared" si="36"/>
        <v>0.11153846153846154</v>
      </c>
      <c r="O92" s="70" t="str">
        <f>VLOOKUP(A92,[1]!STOCK,Q92,FALSE)</f>
        <v>POST2013</v>
      </c>
      <c r="P92" s="200">
        <f t="shared" si="26"/>
        <v>0.18162271351024481</v>
      </c>
      <c r="Q92" s="70">
        <f>MATCH(D92,[1]!BLDGTYPE,0)</f>
        <v>11</v>
      </c>
      <c r="R92" s="200">
        <f t="shared" si="38"/>
        <v>1</v>
      </c>
      <c r="S92" s="200">
        <f t="shared" si="38"/>
        <v>0.10087192274660353</v>
      </c>
      <c r="T92" s="188">
        <f t="shared" si="31"/>
        <v>1.3846101212434363E-2</v>
      </c>
      <c r="U92" s="188">
        <f>IF(G92="GasHt",VLOOKUP(MMap!D92,Savings!$B$7:$N$24,11,FALSE),0)</f>
        <v>0</v>
      </c>
      <c r="V92" s="188">
        <f t="shared" si="33"/>
        <v>13.846101212434363</v>
      </c>
      <c r="W92" s="188">
        <f t="shared" si="32"/>
        <v>7.6048661962234201</v>
      </c>
      <c r="X92" s="188">
        <f t="shared" si="34"/>
        <v>0</v>
      </c>
    </row>
    <row r="93" spans="1:24" s="201" customFormat="1">
      <c r="A93" s="179" t="str">
        <f t="shared" si="28"/>
        <v>Commercial EM-New</v>
      </c>
      <c r="B93" s="182" t="str">
        <f t="shared" si="29"/>
        <v>Commercial EM-New-Supermarket</v>
      </c>
      <c r="C93" s="182" t="str">
        <f t="shared" si="30"/>
        <v>Commercial EM-New-Supermarket-ElecHt</v>
      </c>
      <c r="D93" s="71" t="s">
        <v>158</v>
      </c>
      <c r="E93" s="66" t="s">
        <v>194</v>
      </c>
      <c r="F93" s="67" t="s">
        <v>192</v>
      </c>
      <c r="G93" s="67" t="s">
        <v>438</v>
      </c>
      <c r="H93" s="68">
        <f t="shared" si="35"/>
        <v>5</v>
      </c>
      <c r="I93" s="69">
        <f t="shared" si="37"/>
        <v>1.5377816133020691E-2</v>
      </c>
      <c r="J93" s="69">
        <f t="shared" si="37"/>
        <v>0.88455863187555051</v>
      </c>
      <c r="K93" s="69">
        <f t="shared" si="37"/>
        <v>0.1000635519914288</v>
      </c>
      <c r="L93" s="69">
        <f t="shared" si="37"/>
        <v>7.1447125331852143E-2</v>
      </c>
      <c r="M93" s="183">
        <f>INDEX(Savings!$G$30:$I$47,MATCH(MMap!D93,Savings!$B$30:$B$47,0),MATCH(G93,Savings!$G$4:$I$4,0))</f>
        <v>1.4030769230769229</v>
      </c>
      <c r="N93" s="183">
        <f t="shared" si="36"/>
        <v>0.33461538461538459</v>
      </c>
      <c r="O93" s="70" t="str">
        <f>VLOOKUP(A93,[1]!STOCK,Q93,FALSE)</f>
        <v>POST2013</v>
      </c>
      <c r="P93" s="200">
        <f t="shared" si="26"/>
        <v>0.92147944946531313</v>
      </c>
      <c r="Q93" s="70">
        <f>MATCH(D93,[1]!BLDGTYPE,0)</f>
        <v>12</v>
      </c>
      <c r="R93" s="200">
        <f t="shared" si="38"/>
        <v>0.70766579331774959</v>
      </c>
      <c r="S93" s="200">
        <f t="shared" si="38"/>
        <v>6.1675003194375045E-3</v>
      </c>
      <c r="T93" s="188">
        <f t="shared" si="31"/>
        <v>1.5415616769331225E-3</v>
      </c>
      <c r="U93" s="188">
        <f>IF(G93="GasHt",VLOOKUP(MMap!D93,Savings!$B$7:$N$24,11,FALSE),0)</f>
        <v>0</v>
      </c>
      <c r="V93" s="188">
        <f t="shared" si="33"/>
        <v>1.5415616769331226</v>
      </c>
      <c r="W93" s="188">
        <f t="shared" si="32"/>
        <v>0.36764217624227424</v>
      </c>
      <c r="X93" s="188">
        <f t="shared" si="34"/>
        <v>0</v>
      </c>
    </row>
    <row r="94" spans="1:24" s="201" customFormat="1">
      <c r="A94" s="179" t="str">
        <f t="shared" si="28"/>
        <v>Commercial EM-New</v>
      </c>
      <c r="B94" s="182" t="str">
        <f t="shared" si="29"/>
        <v>Commercial EM-New-MiniMart</v>
      </c>
      <c r="C94" s="182" t="str">
        <f t="shared" si="30"/>
        <v>Commercial EM-New-MiniMart-ElecHt</v>
      </c>
      <c r="D94" s="71" t="s">
        <v>196</v>
      </c>
      <c r="E94" s="66" t="s">
        <v>194</v>
      </c>
      <c r="F94" s="67" t="s">
        <v>192</v>
      </c>
      <c r="G94" s="67" t="s">
        <v>438</v>
      </c>
      <c r="H94" s="68">
        <f t="shared" si="35"/>
        <v>5</v>
      </c>
      <c r="I94" s="69">
        <f t="shared" si="37"/>
        <v>0</v>
      </c>
      <c r="J94" s="69">
        <f t="shared" si="37"/>
        <v>0.99620809267302346</v>
      </c>
      <c r="K94" s="69">
        <f t="shared" si="37"/>
        <v>3.7919073269764856E-3</v>
      </c>
      <c r="L94" s="69">
        <f t="shared" si="37"/>
        <v>0</v>
      </c>
      <c r="M94" s="183">
        <f>INDEX(Savings!$G$30:$I$47,MATCH(MMap!D94,Savings!$B$30:$B$47,0),MATCH(G94,Savings!$G$4:$I$4,0))</f>
        <v>1.8646153846153843</v>
      </c>
      <c r="N94" s="183">
        <f t="shared" si="36"/>
        <v>0.55769230769230771</v>
      </c>
      <c r="O94" s="70" t="str">
        <f>VLOOKUP(A94,[1]!STOCK,Q94,FALSE)</f>
        <v>POST2013</v>
      </c>
      <c r="P94" s="200">
        <f t="shared" si="26"/>
        <v>0.83868998628257874</v>
      </c>
      <c r="Q94" s="70">
        <f>MATCH(D94,[1]!BLDGTYPE,0)</f>
        <v>13</v>
      </c>
      <c r="R94" s="200">
        <f t="shared" si="38"/>
        <v>0.29233420668225041</v>
      </c>
      <c r="S94" s="200">
        <f t="shared" si="38"/>
        <v>2.5477723102065148E-3</v>
      </c>
      <c r="T94" s="188">
        <f t="shared" si="31"/>
        <v>0</v>
      </c>
      <c r="U94" s="188">
        <f>IF(G94="GasHt",VLOOKUP(MMap!D94,Savings!$B$7:$N$24,11,FALSE),0)</f>
        <v>0</v>
      </c>
      <c r="V94" s="188">
        <f t="shared" si="33"/>
        <v>0</v>
      </c>
      <c r="W94" s="188">
        <f t="shared" si="32"/>
        <v>0</v>
      </c>
      <c r="X94" s="188">
        <f t="shared" si="34"/>
        <v>0</v>
      </c>
    </row>
    <row r="95" spans="1:24" s="201" customFormat="1">
      <c r="A95" s="179" t="str">
        <f t="shared" si="28"/>
        <v>Commercial EM-New</v>
      </c>
      <c r="B95" s="182" t="str">
        <f t="shared" si="29"/>
        <v>Commercial EM-New-Restaurant</v>
      </c>
      <c r="C95" s="182" t="str">
        <f t="shared" si="30"/>
        <v>Commercial EM-New-Restaurant-ElecHt</v>
      </c>
      <c r="D95" s="71" t="s">
        <v>161</v>
      </c>
      <c r="E95" s="66" t="s">
        <v>194</v>
      </c>
      <c r="F95" s="67" t="s">
        <v>192</v>
      </c>
      <c r="G95" s="67" t="s">
        <v>438</v>
      </c>
      <c r="H95" s="68">
        <f t="shared" si="35"/>
        <v>5</v>
      </c>
      <c r="I95" s="69">
        <f t="shared" si="37"/>
        <v>5.5212362541074519E-2</v>
      </c>
      <c r="J95" s="69">
        <f t="shared" si="37"/>
        <v>0.88366906107173016</v>
      </c>
      <c r="K95" s="69">
        <f t="shared" si="37"/>
        <v>6.1118576387195395E-2</v>
      </c>
      <c r="L95" s="69">
        <f t="shared" si="37"/>
        <v>2.3525905182962954E-2</v>
      </c>
      <c r="M95" s="183">
        <f>INDEX(Savings!$G$30:$I$47,MATCH(MMap!D95,Savings!$B$30:$B$47,0),MATCH(G95,Savings!$G$4:$I$4,0))</f>
        <v>1.8646153846153843</v>
      </c>
      <c r="N95" s="183">
        <f t="shared" si="36"/>
        <v>0.55769230769230771</v>
      </c>
      <c r="O95" s="70" t="str">
        <f>VLOOKUP(A95,[1]!STOCK,Q95,FALSE)</f>
        <v>POST2013</v>
      </c>
      <c r="P95" s="200">
        <f t="shared" si="26"/>
        <v>0.99999997512427186</v>
      </c>
      <c r="Q95" s="70">
        <f>MATCH(D95,[1]!BLDGTYPE,0)</f>
        <v>14</v>
      </c>
      <c r="R95" s="200">
        <f t="shared" si="38"/>
        <v>1</v>
      </c>
      <c r="S95" s="200">
        <f t="shared" si="38"/>
        <v>1.1693580853842011E-2</v>
      </c>
      <c r="T95" s="188">
        <f t="shared" si="31"/>
        <v>2.4219877183927038E-3</v>
      </c>
      <c r="U95" s="188">
        <f>IF(G95="GasHt",VLOOKUP(MMap!D95,Savings!$B$7:$N$24,11,FALSE),0)</f>
        <v>0</v>
      </c>
      <c r="V95" s="188">
        <f t="shared" si="33"/>
        <v>2.4219877183927041</v>
      </c>
      <c r="W95" s="188">
        <f t="shared" si="32"/>
        <v>0.72439814184600282</v>
      </c>
      <c r="X95" s="188">
        <f t="shared" si="34"/>
        <v>0</v>
      </c>
    </row>
    <row r="96" spans="1:24" s="201" customFormat="1">
      <c r="A96" s="179" t="str">
        <f t="shared" si="28"/>
        <v>Commercial EM-New</v>
      </c>
      <c r="B96" s="182" t="str">
        <f t="shared" si="29"/>
        <v>Commercial EM-New-Lodging</v>
      </c>
      <c r="C96" s="182" t="str">
        <f t="shared" si="30"/>
        <v>Commercial EM-New-Lodging-ElecHt</v>
      </c>
      <c r="D96" s="71" t="s">
        <v>5</v>
      </c>
      <c r="E96" s="66" t="s">
        <v>194</v>
      </c>
      <c r="F96" s="67" t="s">
        <v>192</v>
      </c>
      <c r="G96" s="67" t="s">
        <v>438</v>
      </c>
      <c r="H96" s="68">
        <f t="shared" si="35"/>
        <v>5</v>
      </c>
      <c r="I96" s="69">
        <f t="shared" si="37"/>
        <v>0.34342063041492848</v>
      </c>
      <c r="J96" s="69">
        <f t="shared" si="37"/>
        <v>0.53617368361870132</v>
      </c>
      <c r="K96" s="69">
        <f t="shared" si="37"/>
        <v>0.12040568596637012</v>
      </c>
      <c r="L96" s="69">
        <f t="shared" si="37"/>
        <v>7.934694377848886E-2</v>
      </c>
      <c r="M96" s="183">
        <f>INDEX(Savings!$G$30:$I$47,MATCH(MMap!D96,Savings!$B$30:$B$47,0),MATCH(G96,Savings!$G$4:$I$4,0))</f>
        <v>1.6615384615384614</v>
      </c>
      <c r="N96" s="183">
        <f t="shared" si="36"/>
        <v>0.25096153846153846</v>
      </c>
      <c r="O96" s="70" t="str">
        <f>VLOOKUP(A96,[1]!STOCK,Q96,FALSE)</f>
        <v>POST2013</v>
      </c>
      <c r="P96" s="200">
        <f t="shared" si="26"/>
        <v>0.94438859080377269</v>
      </c>
      <c r="Q96" s="70">
        <f>MATCH(D96,[1]!BLDGTYPE,0)</f>
        <v>15</v>
      </c>
      <c r="R96" s="200">
        <f t="shared" si="38"/>
        <v>1</v>
      </c>
      <c r="S96" s="200">
        <f t="shared" si="38"/>
        <v>2.3957473342185561E-2</v>
      </c>
      <c r="T96" s="188">
        <f t="shared" si="31"/>
        <v>4.5275888692644699E-2</v>
      </c>
      <c r="U96" s="188">
        <f>IF(G96="GasHt",VLOOKUP(MMap!D96,Savings!$B$7:$N$24,11,FALSE),0)</f>
        <v>0</v>
      </c>
      <c r="V96" s="188">
        <f t="shared" si="33"/>
        <v>45.275888692644699</v>
      </c>
      <c r="W96" s="188">
        <f t="shared" si="32"/>
        <v>6.8385456879515418</v>
      </c>
      <c r="X96" s="188">
        <f t="shared" si="34"/>
        <v>0</v>
      </c>
    </row>
    <row r="97" spans="1:24" s="201" customFormat="1">
      <c r="A97" s="179" t="str">
        <f t="shared" si="28"/>
        <v>Commercial EM-New</v>
      </c>
      <c r="B97" s="182" t="str">
        <f t="shared" si="29"/>
        <v>Commercial EM-New-Hospital</v>
      </c>
      <c r="C97" s="182" t="str">
        <f t="shared" si="30"/>
        <v>Commercial EM-New-Hospital-ElecHt</v>
      </c>
      <c r="D97" s="71" t="s">
        <v>164</v>
      </c>
      <c r="E97" s="66" t="s">
        <v>194</v>
      </c>
      <c r="F97" s="67" t="s">
        <v>192</v>
      </c>
      <c r="G97" s="67" t="s">
        <v>438</v>
      </c>
      <c r="H97" s="68">
        <f t="shared" si="35"/>
        <v>5</v>
      </c>
      <c r="I97" s="69">
        <f t="shared" si="37"/>
        <v>0.10311447532768504</v>
      </c>
      <c r="J97" s="69">
        <f t="shared" si="37"/>
        <v>0.74192623135844471</v>
      </c>
      <c r="K97" s="69">
        <f t="shared" si="37"/>
        <v>0.15495929331387026</v>
      </c>
      <c r="L97" s="69">
        <f t="shared" si="37"/>
        <v>0.85339696790936803</v>
      </c>
      <c r="M97" s="183">
        <f>INDEX(Savings!$G$30:$I$47,MATCH(MMap!D97,Savings!$B$30:$B$47,0),MATCH(G97,Savings!$G$4:$I$4,0))</f>
        <v>1.6984615384615382</v>
      </c>
      <c r="N97" s="183">
        <f t="shared" si="36"/>
        <v>0.27884615384615385</v>
      </c>
      <c r="O97" s="70" t="str">
        <f>VLOOKUP(A97,[1]!STOCK,Q97,FALSE)</f>
        <v>POST2013</v>
      </c>
      <c r="P97" s="200">
        <f t="shared" ref="P97:P118" si="39">VLOOKUP(P$9,V_POST2013,$Q97,FALSE)</f>
        <v>0.95</v>
      </c>
      <c r="Q97" s="70">
        <f>MATCH(D97,[1]!BLDGTYPE,0)</f>
        <v>16</v>
      </c>
      <c r="R97" s="200">
        <f t="shared" si="38"/>
        <v>1</v>
      </c>
      <c r="S97" s="200">
        <f t="shared" si="38"/>
        <v>4.4965056377242296E-2</v>
      </c>
      <c r="T97" s="188">
        <f t="shared" si="31"/>
        <v>0.14946050611354117</v>
      </c>
      <c r="U97" s="188">
        <f>IF(G97="GasHt",VLOOKUP(MMap!D97,Savings!$B$7:$N$24,11,FALSE),0)</f>
        <v>0</v>
      </c>
      <c r="V97" s="188">
        <f t="shared" si="33"/>
        <v>149.46050611354116</v>
      </c>
      <c r="W97" s="188">
        <f t="shared" si="32"/>
        <v>24.537786895905203</v>
      </c>
      <c r="X97" s="188">
        <f t="shared" si="34"/>
        <v>0</v>
      </c>
    </row>
    <row r="98" spans="1:24" s="201" customFormat="1">
      <c r="A98" s="179" t="str">
        <f t="shared" si="28"/>
        <v>Commercial EM-New</v>
      </c>
      <c r="B98" s="182" t="str">
        <f t="shared" si="29"/>
        <v>Commercial EM-New-Residential Care</v>
      </c>
      <c r="C98" s="182" t="str">
        <f t="shared" si="30"/>
        <v>Commercial EM-New-Residential Care-ElecHt</v>
      </c>
      <c r="D98" s="71" t="s">
        <v>7</v>
      </c>
      <c r="E98" s="66" t="s">
        <v>194</v>
      </c>
      <c r="F98" s="67" t="s">
        <v>192</v>
      </c>
      <c r="G98" s="67" t="s">
        <v>438</v>
      </c>
      <c r="H98" s="68">
        <f t="shared" si="35"/>
        <v>5</v>
      </c>
      <c r="I98" s="69">
        <f t="shared" si="37"/>
        <v>5.6083613809662864E-3</v>
      </c>
      <c r="J98" s="69">
        <f t="shared" si="37"/>
        <v>0.98575716289794368</v>
      </c>
      <c r="K98" s="69">
        <f t="shared" si="37"/>
        <v>8.6344757210899958E-3</v>
      </c>
      <c r="L98" s="69">
        <f t="shared" si="37"/>
        <v>7.6228114216259218E-2</v>
      </c>
      <c r="M98" s="183">
        <f>INDEX(Savings!$G$30:$I$47,MATCH(MMap!D98,Savings!$B$30:$B$47,0),MATCH(G98,Savings!$G$4:$I$4,0))</f>
        <v>1.44</v>
      </c>
      <c r="N98" s="183">
        <f t="shared" si="36"/>
        <v>0.27884615384615385</v>
      </c>
      <c r="O98" s="70" t="str">
        <f>VLOOKUP(A98,[1]!STOCK,Q98,FALSE)</f>
        <v>POST2013</v>
      </c>
      <c r="P98" s="200">
        <f t="shared" si="39"/>
        <v>0.8423386600487599</v>
      </c>
      <c r="Q98" s="70">
        <f>MATCH(D98,[1]!BLDGTYPE,0)</f>
        <v>17</v>
      </c>
      <c r="R98" s="200">
        <f t="shared" si="38"/>
        <v>1</v>
      </c>
      <c r="S98" s="200">
        <f t="shared" si="38"/>
        <v>5.827742495837801E-2</v>
      </c>
      <c r="T98" s="188">
        <f t="shared" si="31"/>
        <v>6.1562132915667165E-4</v>
      </c>
      <c r="U98" s="188">
        <f>IF(G98="GasHt",VLOOKUP(MMap!D98,Savings!$B$7:$N$24,11,FALSE),0)</f>
        <v>0</v>
      </c>
      <c r="V98" s="188">
        <f t="shared" si="33"/>
        <v>0.61562132915667167</v>
      </c>
      <c r="W98" s="188">
        <f t="shared" si="32"/>
        <v>0.11921086101457987</v>
      </c>
      <c r="X98" s="188">
        <f t="shared" si="34"/>
        <v>0</v>
      </c>
    </row>
    <row r="99" spans="1:24" s="201" customFormat="1">
      <c r="A99" s="179" t="str">
        <f t="shared" si="28"/>
        <v>Commercial EM-New</v>
      </c>
      <c r="B99" s="182" t="str">
        <f t="shared" si="29"/>
        <v>Commercial EM-New-Assembly</v>
      </c>
      <c r="C99" s="182" t="str">
        <f t="shared" si="30"/>
        <v>Commercial EM-New-Assembly-ElecHt</v>
      </c>
      <c r="D99" s="71" t="s">
        <v>3</v>
      </c>
      <c r="E99" s="66" t="s">
        <v>194</v>
      </c>
      <c r="F99" s="67" t="s">
        <v>192</v>
      </c>
      <c r="G99" s="67" t="s">
        <v>438</v>
      </c>
      <c r="H99" s="68">
        <f t="shared" si="35"/>
        <v>5</v>
      </c>
      <c r="I99" s="69">
        <f t="shared" si="37"/>
        <v>5.6083613809662864E-3</v>
      </c>
      <c r="J99" s="69">
        <f t="shared" si="37"/>
        <v>0.98575716289794368</v>
      </c>
      <c r="K99" s="69">
        <f t="shared" si="37"/>
        <v>8.6344757210899958E-3</v>
      </c>
      <c r="L99" s="69">
        <f t="shared" si="37"/>
        <v>0.16854152512418574</v>
      </c>
      <c r="M99" s="183">
        <f>INDEX(Savings!$G$30:$I$47,MATCH(MMap!D99,Savings!$B$30:$B$47,0),MATCH(G99,Savings!$G$4:$I$4,0))</f>
        <v>0.84923076923076912</v>
      </c>
      <c r="N99" s="183">
        <f t="shared" si="36"/>
        <v>0.25096153846153846</v>
      </c>
      <c r="O99" s="70" t="str">
        <f>VLOOKUP(A99,[1]!STOCK,Q99,FALSE)</f>
        <v>POST2013</v>
      </c>
      <c r="P99" s="200">
        <f t="shared" si="39"/>
        <v>0.91177234717447209</v>
      </c>
      <c r="Q99" s="70">
        <f>MATCH(D99,[1]!BLDGTYPE,0)</f>
        <v>18</v>
      </c>
      <c r="R99" s="200">
        <f t="shared" si="38"/>
        <v>1</v>
      </c>
      <c r="S99" s="200">
        <f t="shared" si="38"/>
        <v>9.0984350406775827E-2</v>
      </c>
      <c r="T99" s="188">
        <f t="shared" si="31"/>
        <v>8.0272840444429929E-4</v>
      </c>
      <c r="U99" s="188">
        <f>IF(G99="GasHt",VLOOKUP(MMap!D99,Savings!$B$7:$N$24,11,FALSE),0)</f>
        <v>0</v>
      </c>
      <c r="V99" s="188">
        <f t="shared" si="33"/>
        <v>0.80272840444429938</v>
      </c>
      <c r="W99" s="188">
        <f t="shared" si="32"/>
        <v>0.23721933147640642</v>
      </c>
      <c r="X99" s="188">
        <f t="shared" si="34"/>
        <v>0</v>
      </c>
    </row>
    <row r="100" spans="1:24" s="201" customFormat="1">
      <c r="A100" s="179" t="str">
        <f t="shared" si="28"/>
        <v>Commercial EM-New</v>
      </c>
      <c r="B100" s="182" t="str">
        <f t="shared" si="29"/>
        <v>Commercial EM-New-Other</v>
      </c>
      <c r="C100" s="182" t="str">
        <f t="shared" si="30"/>
        <v>Commercial EM-New-Other-ElecHt</v>
      </c>
      <c r="D100" s="71" t="s">
        <v>11</v>
      </c>
      <c r="E100" s="66" t="s">
        <v>194</v>
      </c>
      <c r="F100" s="67" t="s">
        <v>192</v>
      </c>
      <c r="G100" s="67" t="s">
        <v>438</v>
      </c>
      <c r="H100" s="68">
        <f t="shared" si="35"/>
        <v>5</v>
      </c>
      <c r="I100" s="69">
        <f t="shared" si="37"/>
        <v>0.24031041917780901</v>
      </c>
      <c r="J100" s="69">
        <f t="shared" si="37"/>
        <v>0.6783643954380898</v>
      </c>
      <c r="K100" s="69">
        <f t="shared" si="37"/>
        <v>8.1325185384101065E-2</v>
      </c>
      <c r="L100" s="69">
        <f t="shared" si="37"/>
        <v>0.20051702037858005</v>
      </c>
      <c r="M100" s="183">
        <f>INDEX(Savings!$G$30:$I$47,MATCH(MMap!D100,Savings!$B$30:$B$47,0),MATCH(G100,Savings!$G$4:$I$4,0))</f>
        <v>0.84923076923076912</v>
      </c>
      <c r="N100" s="183">
        <f t="shared" si="36"/>
        <v>0.25096153846153846</v>
      </c>
      <c r="O100" s="70" t="str">
        <f>VLOOKUP(A100,[1]!STOCK,Q100,FALSE)</f>
        <v>POST2013</v>
      </c>
      <c r="P100" s="200">
        <f t="shared" si="39"/>
        <v>0.87717751610580841</v>
      </c>
      <c r="Q100" s="70">
        <f>MATCH(D100,[1]!BLDGTYPE,0)</f>
        <v>19</v>
      </c>
      <c r="R100" s="200">
        <f t="shared" si="38"/>
        <v>1</v>
      </c>
      <c r="S100" s="200">
        <f t="shared" si="38"/>
        <v>0.21334717399999265</v>
      </c>
      <c r="T100" s="188">
        <f t="shared" si="31"/>
        <v>4.0921313429450663E-2</v>
      </c>
      <c r="U100" s="188">
        <f>IF(G100="GasHt",VLOOKUP(MMap!D100,Savings!$B$7:$N$24,11,FALSE),0)</f>
        <v>0</v>
      </c>
      <c r="V100" s="188">
        <f t="shared" si="33"/>
        <v>40.921313429450663</v>
      </c>
      <c r="W100" s="188">
        <f t="shared" si="32"/>
        <v>12.092915313730328</v>
      </c>
      <c r="X100" s="188">
        <f t="shared" si="34"/>
        <v>0</v>
      </c>
    </row>
    <row r="101" spans="1:24" s="201" customFormat="1">
      <c r="A101" s="179" t="str">
        <f t="shared" si="28"/>
        <v>Commercial EM-New</v>
      </c>
      <c r="B101" s="182" t="str">
        <f t="shared" si="29"/>
        <v>Commercial EM-New-Large Off</v>
      </c>
      <c r="C101" s="182" t="str">
        <f t="shared" si="30"/>
        <v>Commercial EM-New-Large Off-HtPmpHt</v>
      </c>
      <c r="D101" s="71" t="s">
        <v>148</v>
      </c>
      <c r="E101" s="66" t="s">
        <v>194</v>
      </c>
      <c r="F101" s="67" t="s">
        <v>192</v>
      </c>
      <c r="G101" s="67" t="s">
        <v>439</v>
      </c>
      <c r="H101" s="68">
        <f t="shared" si="35"/>
        <v>5</v>
      </c>
      <c r="I101" s="69">
        <f t="shared" si="37"/>
        <v>9.379008321141083E-2</v>
      </c>
      <c r="J101" s="69">
        <f t="shared" si="37"/>
        <v>0.80872784176745371</v>
      </c>
      <c r="K101" s="69">
        <f t="shared" si="37"/>
        <v>9.7482075021135345E-2</v>
      </c>
      <c r="L101" s="69">
        <f t="shared" si="37"/>
        <v>0.85</v>
      </c>
      <c r="M101" s="183">
        <f>INDEX(Savings!$G$30:$I$47,MATCH(MMap!D101,Savings!$B$30:$B$47,0),MATCH(G101,Savings!$G$4:$I$4,0))</f>
        <v>1.1224615384615384</v>
      </c>
      <c r="N101" s="183">
        <f t="shared" si="36"/>
        <v>0.25096153846153846</v>
      </c>
      <c r="O101" s="70" t="str">
        <f>VLOOKUP(A101,[1]!STOCK,Q101,FALSE)</f>
        <v>POST2013</v>
      </c>
      <c r="P101" s="200">
        <f t="shared" si="39"/>
        <v>0.95128694884061893</v>
      </c>
      <c r="Q101" s="70">
        <f>MATCH(D101,[1]!BLDGTYPE,0)</f>
        <v>2</v>
      </c>
      <c r="R101" s="200">
        <f t="shared" si="38"/>
        <v>0.49844828664156315</v>
      </c>
      <c r="S101" s="200">
        <f t="shared" si="38"/>
        <v>0.15073291148870363</v>
      </c>
      <c r="T101" s="188">
        <f t="shared" si="31"/>
        <v>9.3006897915549669E-2</v>
      </c>
      <c r="U101" s="188">
        <f>IF(G101="GasHt",VLOOKUP(MMap!D101,Savings!$B$7:$N$24,11,FALSE),0)</f>
        <v>0</v>
      </c>
      <c r="V101" s="188">
        <f t="shared" si="33"/>
        <v>93.006897915549672</v>
      </c>
      <c r="W101" s="188">
        <f t="shared" si="32"/>
        <v>20.794613791768153</v>
      </c>
      <c r="X101" s="188">
        <f t="shared" si="34"/>
        <v>0</v>
      </c>
    </row>
    <row r="102" spans="1:24" s="201" customFormat="1">
      <c r="A102" s="179" t="str">
        <f t="shared" si="28"/>
        <v>Commercial EM-New</v>
      </c>
      <c r="B102" s="182" t="str">
        <f t="shared" si="29"/>
        <v>Commercial EM-New-Medium Off</v>
      </c>
      <c r="C102" s="182" t="str">
        <f t="shared" si="30"/>
        <v>Commercial EM-New-Medium Off-HtPmpHt</v>
      </c>
      <c r="D102" s="71" t="s">
        <v>149</v>
      </c>
      <c r="E102" s="66" t="s">
        <v>194</v>
      </c>
      <c r="F102" s="67" t="s">
        <v>192</v>
      </c>
      <c r="G102" s="67" t="s">
        <v>439</v>
      </c>
      <c r="H102" s="68">
        <f t="shared" si="35"/>
        <v>5</v>
      </c>
      <c r="I102" s="69">
        <f t="shared" si="37"/>
        <v>5.7141018201974592E-2</v>
      </c>
      <c r="J102" s="69">
        <f t="shared" si="37"/>
        <v>0.93108561158422598</v>
      </c>
      <c r="K102" s="69">
        <f t="shared" si="37"/>
        <v>1.1773370213799438E-2</v>
      </c>
      <c r="L102" s="69">
        <f t="shared" si="37"/>
        <v>0.35</v>
      </c>
      <c r="M102" s="183">
        <f>INDEX(Savings!$G$30:$I$47,MATCH(MMap!D102,Savings!$B$30:$B$47,0),MATCH(G102,Savings!$G$4:$I$4,0))</f>
        <v>0.77169230769230757</v>
      </c>
      <c r="N102" s="183">
        <f t="shared" si="36"/>
        <v>0.25096153846153846</v>
      </c>
      <c r="O102" s="70" t="str">
        <f>VLOOKUP(A102,[1]!STOCK,Q102,FALSE)</f>
        <v>POST2013</v>
      </c>
      <c r="P102" s="200">
        <f t="shared" si="39"/>
        <v>0.97665874571205136</v>
      </c>
      <c r="Q102" s="70">
        <f>MATCH(D102,[1]!BLDGTYPE,0)</f>
        <v>3</v>
      </c>
      <c r="R102" s="200">
        <f t="shared" si="38"/>
        <v>0.39725857197361958</v>
      </c>
      <c r="S102" s="200">
        <f t="shared" si="38"/>
        <v>0.12013270538231059</v>
      </c>
      <c r="T102" s="188">
        <f t="shared" si="31"/>
        <v>3.1798967303609676E-3</v>
      </c>
      <c r="U102" s="188">
        <f>IF(G102="GasHt",VLOOKUP(MMap!D102,Savings!$B$7:$N$24,11,FALSE),0)</f>
        <v>0</v>
      </c>
      <c r="V102" s="188">
        <f t="shared" si="33"/>
        <v>3.179896730360968</v>
      </c>
      <c r="W102" s="188">
        <f t="shared" si="32"/>
        <v>1.0341320856063256</v>
      </c>
      <c r="X102" s="188">
        <f t="shared" si="34"/>
        <v>0</v>
      </c>
    </row>
    <row r="103" spans="1:24" s="201" customFormat="1">
      <c r="A103" s="179" t="str">
        <f t="shared" si="28"/>
        <v>Commercial EM-New</v>
      </c>
      <c r="B103" s="182" t="str">
        <f t="shared" si="29"/>
        <v>Commercial EM-New-Small Off</v>
      </c>
      <c r="C103" s="182" t="str">
        <f t="shared" si="30"/>
        <v>Commercial EM-New-Small Off-HtPmpHt</v>
      </c>
      <c r="D103" s="71" t="s">
        <v>150</v>
      </c>
      <c r="E103" s="66" t="s">
        <v>194</v>
      </c>
      <c r="F103" s="67" t="s">
        <v>192</v>
      </c>
      <c r="G103" s="67" t="s">
        <v>439</v>
      </c>
      <c r="H103" s="68">
        <f t="shared" si="35"/>
        <v>5</v>
      </c>
      <c r="I103" s="69">
        <f t="shared" si="37"/>
        <v>6.3540893141458221E-2</v>
      </c>
      <c r="J103" s="69">
        <f t="shared" si="37"/>
        <v>0.65879042006554966</v>
      </c>
      <c r="K103" s="69">
        <f t="shared" si="37"/>
        <v>0.27766868679299217</v>
      </c>
      <c r="L103" s="69">
        <f t="shared" si="37"/>
        <v>2.9006395725036469E-2</v>
      </c>
      <c r="M103" s="183">
        <f>INDEX(Savings!$G$30:$I$47,MATCH(MMap!D103,Savings!$B$30:$B$47,0),MATCH(G103,Savings!$G$4:$I$4,0))</f>
        <v>0.62399999999999989</v>
      </c>
      <c r="N103" s="183">
        <f t="shared" si="36"/>
        <v>0.55769230769230771</v>
      </c>
      <c r="O103" s="70" t="str">
        <f>VLOOKUP(A103,[1]!STOCK,Q103,FALSE)</f>
        <v>POST2013</v>
      </c>
      <c r="P103" s="200">
        <f t="shared" si="39"/>
        <v>0.91122609210258287</v>
      </c>
      <c r="Q103" s="70">
        <f>MATCH(D103,[1]!BLDGTYPE,0)</f>
        <v>4</v>
      </c>
      <c r="R103" s="200">
        <f t="shared" si="38"/>
        <v>0.10429314138481716</v>
      </c>
      <c r="S103" s="200">
        <f t="shared" si="38"/>
        <v>3.1538695729415013E-2</v>
      </c>
      <c r="T103" s="188">
        <f t="shared" si="31"/>
        <v>5.0258007131708917E-3</v>
      </c>
      <c r="U103" s="188">
        <f>IF(G103="GasHt",VLOOKUP(MMap!D103,Savings!$B$7:$N$24,11,FALSE),0)</f>
        <v>0</v>
      </c>
      <c r="V103" s="188">
        <f t="shared" si="33"/>
        <v>5.0258007131708915</v>
      </c>
      <c r="W103" s="188">
        <f t="shared" si="32"/>
        <v>4.4917474322594879</v>
      </c>
      <c r="X103" s="188">
        <f t="shared" si="34"/>
        <v>0</v>
      </c>
    </row>
    <row r="104" spans="1:24" s="201" customFormat="1">
      <c r="A104" s="179" t="str">
        <f t="shared" si="28"/>
        <v>Commercial EM-New</v>
      </c>
      <c r="B104" s="182" t="str">
        <f t="shared" si="29"/>
        <v>Commercial EM-New-Xlarge Ret</v>
      </c>
      <c r="C104" s="182" t="str">
        <f t="shared" si="30"/>
        <v>Commercial EM-New-Xlarge Ret-HtPmpHt</v>
      </c>
      <c r="D104" s="71" t="s">
        <v>197</v>
      </c>
      <c r="E104" s="66" t="s">
        <v>194</v>
      </c>
      <c r="F104" s="67" t="s">
        <v>192</v>
      </c>
      <c r="G104" s="67" t="s">
        <v>439</v>
      </c>
      <c r="H104" s="68">
        <f t="shared" si="35"/>
        <v>5</v>
      </c>
      <c r="I104" s="69">
        <f t="shared" si="37"/>
        <v>0.52114684573848291</v>
      </c>
      <c r="J104" s="69">
        <f t="shared" si="37"/>
        <v>0.30364464955032466</v>
      </c>
      <c r="K104" s="69">
        <f t="shared" si="37"/>
        <v>0.17520850471119245</v>
      </c>
      <c r="L104" s="69">
        <f t="shared" si="37"/>
        <v>3.9164397027771525E-2</v>
      </c>
      <c r="M104" s="183">
        <f>INDEX(Savings!$G$30:$I$47,MATCH(MMap!D104,Savings!$B$30:$B$47,0),MATCH(G104,Savings!$G$4:$I$4,0))</f>
        <v>0.77169230769230757</v>
      </c>
      <c r="N104" s="183">
        <f t="shared" si="36"/>
        <v>0.25096153846153846</v>
      </c>
      <c r="O104" s="70" t="str">
        <f>VLOOKUP(A104,[1]!STOCK,Q104,FALSE)</f>
        <v>POST2013</v>
      </c>
      <c r="P104" s="200">
        <f t="shared" si="39"/>
        <v>0.98608503921852686</v>
      </c>
      <c r="Q104" s="70">
        <f>MATCH(D104,[1]!BLDGTYPE,0)</f>
        <v>5</v>
      </c>
      <c r="R104" s="200">
        <f t="shared" si="38"/>
        <v>0.29289805028089561</v>
      </c>
      <c r="S104" s="200">
        <f t="shared" si="38"/>
        <v>2.6820893655991742E-2</v>
      </c>
      <c r="T104" s="188">
        <f t="shared" si="31"/>
        <v>5.2953027958176939E-3</v>
      </c>
      <c r="U104" s="188">
        <f>IF(G104="GasHt",VLOOKUP(MMap!D104,Savings!$B$7:$N$24,11,FALSE),0)</f>
        <v>0</v>
      </c>
      <c r="V104" s="188">
        <f t="shared" si="33"/>
        <v>5.2953027958176939</v>
      </c>
      <c r="W104" s="188">
        <f t="shared" si="32"/>
        <v>1.7220818751350906</v>
      </c>
      <c r="X104" s="188">
        <f t="shared" si="34"/>
        <v>0</v>
      </c>
    </row>
    <row r="105" spans="1:24" s="201" customFormat="1">
      <c r="A105" s="179" t="str">
        <f t="shared" si="28"/>
        <v>Commercial EM-New</v>
      </c>
      <c r="B105" s="182" t="str">
        <f t="shared" si="29"/>
        <v>Commercial EM-New-Large Ret</v>
      </c>
      <c r="C105" s="182" t="str">
        <f t="shared" si="30"/>
        <v>Commercial EM-New-Large Ret-HtPmpHt</v>
      </c>
      <c r="D105" s="71" t="s">
        <v>169</v>
      </c>
      <c r="E105" s="66" t="s">
        <v>194</v>
      </c>
      <c r="F105" s="67" t="s">
        <v>192</v>
      </c>
      <c r="G105" s="67" t="s">
        <v>439</v>
      </c>
      <c r="H105" s="68">
        <f t="shared" si="35"/>
        <v>5</v>
      </c>
      <c r="I105" s="69">
        <f t="shared" ref="I105:L118" si="40">VLOOKUP(I$9,V_POST2013,$Q105,FALSE)</f>
        <v>0.64094486042254439</v>
      </c>
      <c r="J105" s="69">
        <f t="shared" si="40"/>
        <v>0.20980203614718312</v>
      </c>
      <c r="K105" s="69">
        <f t="shared" si="40"/>
        <v>0.14925310343027248</v>
      </c>
      <c r="L105" s="69">
        <f t="shared" si="40"/>
        <v>0.25776672816535129</v>
      </c>
      <c r="M105" s="183">
        <f>INDEX(Savings!$G$30:$I$47,MATCH(MMap!D105,Savings!$B$30:$B$47,0),MATCH(G105,Savings!$G$4:$I$4,0))</f>
        <v>0.84923076923076912</v>
      </c>
      <c r="N105" s="183">
        <f t="shared" si="36"/>
        <v>0.55769230769230771</v>
      </c>
      <c r="O105" s="70" t="str">
        <f>VLOOKUP(A105,[1]!STOCK,Q105,FALSE)</f>
        <v>POST2013</v>
      </c>
      <c r="P105" s="200">
        <f t="shared" si="39"/>
        <v>0.77181511362305244</v>
      </c>
      <c r="Q105" s="70">
        <f>MATCH(D105,[1]!BLDGTYPE,0)</f>
        <v>6</v>
      </c>
      <c r="R105" s="200">
        <f t="shared" ref="R105:S118" si="41">VLOOKUP(R$9,V_POST2013,$Q105,FALSE)</f>
        <v>0.11837446567671327</v>
      </c>
      <c r="S105" s="200">
        <f t="shared" si="41"/>
        <v>1.0839638408159987E-2</v>
      </c>
      <c r="T105" s="188">
        <f t="shared" si="31"/>
        <v>3.2672017300215149E-2</v>
      </c>
      <c r="U105" s="188">
        <f>IF(G105="GasHt",VLOOKUP(MMap!D105,Savings!$B$7:$N$24,11,FALSE),0)</f>
        <v>0</v>
      </c>
      <c r="V105" s="188">
        <f t="shared" si="33"/>
        <v>32.672017300215153</v>
      </c>
      <c r="W105" s="188">
        <f t="shared" si="32"/>
        <v>21.455808462550717</v>
      </c>
      <c r="X105" s="188">
        <f t="shared" si="34"/>
        <v>0</v>
      </c>
    </row>
    <row r="106" spans="1:24" s="201" customFormat="1">
      <c r="A106" s="179" t="str">
        <f t="shared" si="28"/>
        <v>Commercial EM-New</v>
      </c>
      <c r="B106" s="182" t="str">
        <f t="shared" si="29"/>
        <v>Commercial EM-New-Medium Ret</v>
      </c>
      <c r="C106" s="182" t="str">
        <f t="shared" si="30"/>
        <v>Commercial EM-New-Medium Ret-HtPmpHt</v>
      </c>
      <c r="D106" s="71" t="s">
        <v>168</v>
      </c>
      <c r="E106" s="66" t="s">
        <v>194</v>
      </c>
      <c r="F106" s="67" t="s">
        <v>192</v>
      </c>
      <c r="G106" s="67" t="s">
        <v>439</v>
      </c>
      <c r="H106" s="68">
        <f t="shared" si="35"/>
        <v>5</v>
      </c>
      <c r="I106" s="69">
        <f t="shared" si="40"/>
        <v>0.56159710090996928</v>
      </c>
      <c r="J106" s="69">
        <f t="shared" si="40"/>
        <v>0.42422729730852854</v>
      </c>
      <c r="K106" s="69">
        <f t="shared" si="40"/>
        <v>1.4175601781502387E-2</v>
      </c>
      <c r="L106" s="69">
        <f t="shared" si="40"/>
        <v>2.7574670878248778E-2</v>
      </c>
      <c r="M106" s="183">
        <f>INDEX(Savings!$G$30:$I$47,MATCH(MMap!D106,Savings!$B$30:$B$47,0),MATCH(G106,Savings!$G$4:$I$4,0))</f>
        <v>1.1815384615384614</v>
      </c>
      <c r="N106" s="183">
        <f t="shared" si="36"/>
        <v>0.55769230769230771</v>
      </c>
      <c r="O106" s="70" t="str">
        <f>VLOOKUP(A106,[1]!STOCK,Q106,FALSE)</f>
        <v>POST2013</v>
      </c>
      <c r="P106" s="200">
        <f t="shared" si="39"/>
        <v>0.90527535536267667</v>
      </c>
      <c r="Q106" s="70">
        <f>MATCH(D106,[1]!BLDGTYPE,0)</f>
        <v>7</v>
      </c>
      <c r="R106" s="200">
        <f t="shared" si="41"/>
        <v>0.44658380004081855</v>
      </c>
      <c r="S106" s="200">
        <f t="shared" si="41"/>
        <v>4.0894012773033235E-2</v>
      </c>
      <c r="T106" s="188">
        <f t="shared" si="31"/>
        <v>4.6184867874585049E-4</v>
      </c>
      <c r="U106" s="188">
        <f>IF(G106="GasHt",VLOOKUP(MMap!D106,Savings!$B$7:$N$24,11,FALSE),0)</f>
        <v>0</v>
      </c>
      <c r="V106" s="188">
        <f t="shared" si="33"/>
        <v>0.4618486787458505</v>
      </c>
      <c r="W106" s="188">
        <f t="shared" si="32"/>
        <v>0.21799498182990992</v>
      </c>
      <c r="X106" s="188">
        <f t="shared" si="34"/>
        <v>0</v>
      </c>
    </row>
    <row r="107" spans="1:24" s="201" customFormat="1">
      <c r="A107" s="179" t="str">
        <f t="shared" ref="A107:A118" si="42">CONCATENATE($A$6,"-",E107)</f>
        <v>Commercial EM-New</v>
      </c>
      <c r="B107" s="182" t="str">
        <f t="shared" ref="B107:B118" si="43">CONCATENATE(A107,"-",D107)</f>
        <v>Commercial EM-New-Small Ret</v>
      </c>
      <c r="C107" s="182" t="str">
        <f t="shared" ref="C107:C118" si="44">CONCATENATE(A107,"-",D107,"-",G107)</f>
        <v>Commercial EM-New-Small Ret-HtPmpHt</v>
      </c>
      <c r="D107" s="71" t="s">
        <v>170</v>
      </c>
      <c r="E107" s="66" t="s">
        <v>194</v>
      </c>
      <c r="F107" s="67" t="s">
        <v>192</v>
      </c>
      <c r="G107" s="67" t="s">
        <v>439</v>
      </c>
      <c r="H107" s="68">
        <f t="shared" si="35"/>
        <v>5</v>
      </c>
      <c r="I107" s="69">
        <f t="shared" si="40"/>
        <v>0.19952525247533903</v>
      </c>
      <c r="J107" s="69">
        <f t="shared" si="40"/>
        <v>0.44747439425166918</v>
      </c>
      <c r="K107" s="69">
        <f t="shared" si="40"/>
        <v>0.35300035327299167</v>
      </c>
      <c r="L107" s="69">
        <f t="shared" si="40"/>
        <v>0.10146503328904084</v>
      </c>
      <c r="M107" s="183">
        <f>INDEX(Savings!$G$30:$I$47,MATCH(MMap!D107,Savings!$B$30:$B$47,0),MATCH(G107,Savings!$G$4:$I$4,0))</f>
        <v>1.2369230769230766</v>
      </c>
      <c r="N107" s="183">
        <f t="shared" si="36"/>
        <v>0.25096153846153846</v>
      </c>
      <c r="O107" s="70" t="str">
        <f>VLOOKUP(A107,[1]!STOCK,Q107,FALSE)</f>
        <v>POST2013</v>
      </c>
      <c r="P107" s="200">
        <f t="shared" si="39"/>
        <v>0.53668215741883951</v>
      </c>
      <c r="Q107" s="70">
        <f>MATCH(D107,[1]!BLDGTYPE,0)</f>
        <v>8</v>
      </c>
      <c r="R107" s="200">
        <f t="shared" si="41"/>
        <v>0.14214368400157257</v>
      </c>
      <c r="S107" s="200">
        <f t="shared" si="41"/>
        <v>1.3016203517984767E-2</v>
      </c>
      <c r="T107" s="188">
        <f t="shared" ref="T107:T118" si="45">M107*L107*INDEX($I$8:$K$118,ROW()-7,MATCH(G107,$I$8:$K$8))</f>
        <v>4.4303112072451321E-2</v>
      </c>
      <c r="U107" s="188">
        <f>IF(G107="GasHt",VLOOKUP(MMap!D107,Savings!$B$7:$N$24,11,FALSE),0)</f>
        <v>0</v>
      </c>
      <c r="V107" s="188">
        <f t="shared" si="33"/>
        <v>44.30311207245132</v>
      </c>
      <c r="W107" s="188">
        <f t="shared" ref="W107:W118" si="46">$N107*$L107*$W$8*HLOOKUP($G107,$I$8:$K$118,ROW()-7,FALSE)</f>
        <v>8.9887377572370948</v>
      </c>
      <c r="X107" s="188">
        <f t="shared" si="34"/>
        <v>0</v>
      </c>
    </row>
    <row r="108" spans="1:24" s="201" customFormat="1">
      <c r="A108" s="179" t="str">
        <f t="shared" si="42"/>
        <v>Commercial EM-New</v>
      </c>
      <c r="B108" s="182" t="str">
        <f t="shared" si="43"/>
        <v>Commercial EM-New-School K-12</v>
      </c>
      <c r="C108" s="182" t="str">
        <f t="shared" si="44"/>
        <v>Commercial EM-New-School K-12-HtPmpHt</v>
      </c>
      <c r="D108" s="71" t="s">
        <v>171</v>
      </c>
      <c r="E108" s="66" t="s">
        <v>194</v>
      </c>
      <c r="F108" s="67" t="s">
        <v>192</v>
      </c>
      <c r="G108" s="67" t="s">
        <v>439</v>
      </c>
      <c r="H108" s="68">
        <f t="shared" si="35"/>
        <v>5</v>
      </c>
      <c r="I108" s="69">
        <f t="shared" si="40"/>
        <v>0.22286467137317267</v>
      </c>
      <c r="J108" s="69">
        <f t="shared" si="40"/>
        <v>0.53090550528653346</v>
      </c>
      <c r="K108" s="69">
        <f t="shared" si="40"/>
        <v>0.24622982334029381</v>
      </c>
      <c r="L108" s="69">
        <f t="shared" si="40"/>
        <v>0.29515325476216947</v>
      </c>
      <c r="M108" s="183">
        <f>INDEX(Savings!$G$30:$I$47,MATCH(MMap!D108,Savings!$B$30:$B$47,0),MATCH(G108,Savings!$G$4:$I$4,0))</f>
        <v>0.57230769230769218</v>
      </c>
      <c r="N108" s="183">
        <f t="shared" si="36"/>
        <v>0.27884615384615385</v>
      </c>
      <c r="O108" s="70" t="str">
        <f>VLOOKUP(A108,[1]!STOCK,Q108,FALSE)</f>
        <v>POST2013</v>
      </c>
      <c r="P108" s="200">
        <f t="shared" si="39"/>
        <v>0.96128535178408803</v>
      </c>
      <c r="Q108" s="70">
        <f>MATCH(D108,[1]!BLDGTYPE,0)</f>
        <v>9</v>
      </c>
      <c r="R108" s="200">
        <f t="shared" si="41"/>
        <v>0.58044164275770982</v>
      </c>
      <c r="S108" s="200">
        <f t="shared" si="41"/>
        <v>3.0886857559635036E-2</v>
      </c>
      <c r="T108" s="188">
        <f t="shared" si="45"/>
        <v>4.1592767023946819E-2</v>
      </c>
      <c r="U108" s="188">
        <f>IF(G108="GasHt",VLOOKUP(MMap!D108,Savings!$B$7:$N$24,11,FALSE),0)</f>
        <v>0</v>
      </c>
      <c r="V108" s="188">
        <f t="shared" ref="V108:V118" si="47">M108*L108*$V$8*HLOOKUP(G108,$I$8:$K$118,ROW()-7,FALSE)</f>
        <v>41.592767023946827</v>
      </c>
      <c r="W108" s="188">
        <f t="shared" si="46"/>
        <v>20.265293072823557</v>
      </c>
      <c r="X108" s="188">
        <f t="shared" si="34"/>
        <v>0</v>
      </c>
    </row>
    <row r="109" spans="1:24" s="201" customFormat="1">
      <c r="A109" s="179" t="str">
        <f t="shared" si="42"/>
        <v>Commercial EM-New</v>
      </c>
      <c r="B109" s="182" t="str">
        <f t="shared" si="43"/>
        <v>Commercial EM-New-University</v>
      </c>
      <c r="C109" s="182" t="str">
        <f t="shared" si="44"/>
        <v>Commercial EM-New-University-HtPmpHt</v>
      </c>
      <c r="D109" s="71" t="s">
        <v>155</v>
      </c>
      <c r="E109" s="66" t="s">
        <v>194</v>
      </c>
      <c r="F109" s="67" t="s">
        <v>192</v>
      </c>
      <c r="G109" s="67" t="s">
        <v>439</v>
      </c>
      <c r="H109" s="68">
        <f t="shared" si="35"/>
        <v>5</v>
      </c>
      <c r="I109" s="69">
        <f t="shared" si="40"/>
        <v>0.15885643507420852</v>
      </c>
      <c r="J109" s="69">
        <f t="shared" si="40"/>
        <v>0.73038501205930684</v>
      </c>
      <c r="K109" s="69">
        <f t="shared" si="40"/>
        <v>0.1107585528664846</v>
      </c>
      <c r="L109" s="69">
        <f t="shared" si="40"/>
        <v>0.77756785592800526</v>
      </c>
      <c r="M109" s="183">
        <f>INDEX(Savings!$G$30:$I$47,MATCH(MMap!D109,Savings!$B$30:$B$47,0),MATCH(G109,Savings!$G$4:$I$4,0))</f>
        <v>0.94153846153846144</v>
      </c>
      <c r="N109" s="183">
        <f t="shared" si="36"/>
        <v>0.27884615384615385</v>
      </c>
      <c r="O109" s="70" t="str">
        <f>VLOOKUP(A109,[1]!STOCK,Q109,FALSE)</f>
        <v>POST2013</v>
      </c>
      <c r="P109" s="200">
        <f t="shared" si="39"/>
        <v>0.75</v>
      </c>
      <c r="Q109" s="70">
        <f>MATCH(D109,[1]!BLDGTYPE,0)</f>
        <v>10</v>
      </c>
      <c r="R109" s="200">
        <f t="shared" si="41"/>
        <v>0.41955835724229024</v>
      </c>
      <c r="S109" s="200">
        <f t="shared" si="41"/>
        <v>2.2325826170102026E-2</v>
      </c>
      <c r="T109" s="188">
        <f t="shared" si="45"/>
        <v>8.1087448880900928E-2</v>
      </c>
      <c r="U109" s="188">
        <f>IF(G109="GasHt",VLOOKUP(MMap!D109,Savings!$B$7:$N$24,11,FALSE),0)</f>
        <v>0</v>
      </c>
      <c r="V109" s="188">
        <f t="shared" si="47"/>
        <v>81.087448880900922</v>
      </c>
      <c r="W109" s="188">
        <f t="shared" si="46"/>
        <v>24.014869460234138</v>
      </c>
      <c r="X109" s="188">
        <f t="shared" si="34"/>
        <v>0</v>
      </c>
    </row>
    <row r="110" spans="1:24" s="201" customFormat="1">
      <c r="A110" s="179" t="str">
        <f t="shared" si="42"/>
        <v>Commercial EM-New</v>
      </c>
      <c r="B110" s="182" t="str">
        <f t="shared" si="43"/>
        <v>Commercial EM-New-Warehouse</v>
      </c>
      <c r="C110" s="182" t="str">
        <f t="shared" si="44"/>
        <v>Commercial EM-New-Warehouse-HtPmpHt</v>
      </c>
      <c r="D110" s="71" t="s">
        <v>10</v>
      </c>
      <c r="E110" s="66" t="s">
        <v>194</v>
      </c>
      <c r="F110" s="67" t="s">
        <v>192</v>
      </c>
      <c r="G110" s="67" t="s">
        <v>439</v>
      </c>
      <c r="H110" s="68">
        <f t="shared" si="35"/>
        <v>5</v>
      </c>
      <c r="I110" s="69">
        <f t="shared" si="40"/>
        <v>0.52114684573848291</v>
      </c>
      <c r="J110" s="69">
        <f t="shared" si="40"/>
        <v>0.30364464955032466</v>
      </c>
      <c r="K110" s="69">
        <f t="shared" si="40"/>
        <v>0.17520850471119245</v>
      </c>
      <c r="L110" s="69">
        <f t="shared" si="40"/>
        <v>0.13082984106717208</v>
      </c>
      <c r="M110" s="183">
        <f>INDEX(Savings!$G$30:$I$47,MATCH(MMap!D110,Savings!$B$30:$B$47,0),MATCH(G110,Savings!$G$4:$I$4,0))</f>
        <v>0.20307692307692307</v>
      </c>
      <c r="N110" s="183">
        <f t="shared" si="36"/>
        <v>0.11153846153846154</v>
      </c>
      <c r="O110" s="70" t="str">
        <f>VLOOKUP(A110,[1]!STOCK,Q110,FALSE)</f>
        <v>POST2013</v>
      </c>
      <c r="P110" s="200">
        <f t="shared" si="39"/>
        <v>0.18162271351024481</v>
      </c>
      <c r="Q110" s="70">
        <f>MATCH(D110,[1]!BLDGTYPE,0)</f>
        <v>11</v>
      </c>
      <c r="R110" s="200">
        <f t="shared" si="41"/>
        <v>1</v>
      </c>
      <c r="S110" s="200">
        <f t="shared" si="41"/>
        <v>0.10087192274660353</v>
      </c>
      <c r="T110" s="188">
        <f t="shared" si="45"/>
        <v>4.6550309367656114E-3</v>
      </c>
      <c r="U110" s="188">
        <f>IF(G110="GasHt",VLOOKUP(MMap!D110,Savings!$B$7:$N$24,11,FALSE),0)</f>
        <v>0</v>
      </c>
      <c r="V110" s="188">
        <f t="shared" si="47"/>
        <v>4.6550309367656109</v>
      </c>
      <c r="W110" s="188">
        <f t="shared" si="46"/>
        <v>2.5567404766326276</v>
      </c>
      <c r="X110" s="188">
        <f t="shared" si="34"/>
        <v>0</v>
      </c>
    </row>
    <row r="111" spans="1:24" s="201" customFormat="1">
      <c r="A111" s="179" t="str">
        <f t="shared" si="42"/>
        <v>Commercial EM-New</v>
      </c>
      <c r="B111" s="182" t="str">
        <f t="shared" si="43"/>
        <v>Commercial EM-New-Supermarket</v>
      </c>
      <c r="C111" s="182" t="str">
        <f t="shared" si="44"/>
        <v>Commercial EM-New-Supermarket-HtPmpHt</v>
      </c>
      <c r="D111" s="71" t="s">
        <v>158</v>
      </c>
      <c r="E111" s="66" t="s">
        <v>194</v>
      </c>
      <c r="F111" s="67" t="s">
        <v>192</v>
      </c>
      <c r="G111" s="67" t="s">
        <v>439</v>
      </c>
      <c r="H111" s="68">
        <f t="shared" si="35"/>
        <v>5</v>
      </c>
      <c r="I111" s="69">
        <f t="shared" si="40"/>
        <v>1.5377816133020691E-2</v>
      </c>
      <c r="J111" s="69">
        <f t="shared" si="40"/>
        <v>0.88455863187555051</v>
      </c>
      <c r="K111" s="69">
        <f t="shared" si="40"/>
        <v>0.1000635519914288</v>
      </c>
      <c r="L111" s="69">
        <f t="shared" si="40"/>
        <v>7.1447125331852143E-2</v>
      </c>
      <c r="M111" s="183">
        <f>INDEX(Savings!$G$30:$I$47,MATCH(MMap!D111,Savings!$B$30:$B$47,0),MATCH(G111,Savings!$G$4:$I$4,0))</f>
        <v>1.4030769230769229</v>
      </c>
      <c r="N111" s="183">
        <f t="shared" si="36"/>
        <v>0.33461538461538459</v>
      </c>
      <c r="O111" s="70" t="str">
        <f>VLOOKUP(A111,[1]!STOCK,Q111,FALSE)</f>
        <v>POST2013</v>
      </c>
      <c r="P111" s="200">
        <f t="shared" si="39"/>
        <v>0.92147944946531313</v>
      </c>
      <c r="Q111" s="70">
        <f>MATCH(D111,[1]!BLDGTYPE,0)</f>
        <v>12</v>
      </c>
      <c r="R111" s="200">
        <f t="shared" si="41"/>
        <v>0.70766579331774959</v>
      </c>
      <c r="S111" s="200">
        <f t="shared" si="41"/>
        <v>6.1675003194375045E-3</v>
      </c>
      <c r="T111" s="188">
        <f t="shared" si="45"/>
        <v>1.0030952098364781E-2</v>
      </c>
      <c r="U111" s="188">
        <f>IF(G111="GasHt",VLOOKUP(MMap!D111,Savings!$B$7:$N$24,11,FALSE),0)</f>
        <v>0</v>
      </c>
      <c r="V111" s="188">
        <f t="shared" si="47"/>
        <v>10.03095209836478</v>
      </c>
      <c r="W111" s="188">
        <f t="shared" si="46"/>
        <v>2.3922500892481793</v>
      </c>
      <c r="X111" s="188">
        <f t="shared" si="34"/>
        <v>0</v>
      </c>
    </row>
    <row r="112" spans="1:24" s="201" customFormat="1">
      <c r="A112" s="179" t="str">
        <f t="shared" si="42"/>
        <v>Commercial EM-New</v>
      </c>
      <c r="B112" s="182" t="str">
        <f t="shared" si="43"/>
        <v>Commercial EM-New-MiniMart</v>
      </c>
      <c r="C112" s="182" t="str">
        <f t="shared" si="44"/>
        <v>Commercial EM-New-MiniMart-HtPmpHt</v>
      </c>
      <c r="D112" s="71" t="s">
        <v>196</v>
      </c>
      <c r="E112" s="66" t="s">
        <v>194</v>
      </c>
      <c r="F112" s="67" t="s">
        <v>192</v>
      </c>
      <c r="G112" s="67" t="s">
        <v>439</v>
      </c>
      <c r="H112" s="68">
        <f t="shared" si="35"/>
        <v>5</v>
      </c>
      <c r="I112" s="69">
        <f t="shared" si="40"/>
        <v>0</v>
      </c>
      <c r="J112" s="69">
        <f t="shared" si="40"/>
        <v>0.99620809267302346</v>
      </c>
      <c r="K112" s="69">
        <f t="shared" si="40"/>
        <v>3.7919073269764856E-3</v>
      </c>
      <c r="L112" s="69">
        <f t="shared" si="40"/>
        <v>0</v>
      </c>
      <c r="M112" s="183">
        <f>INDEX(Savings!$G$30:$I$47,MATCH(MMap!D112,Savings!$B$30:$B$47,0),MATCH(G112,Savings!$G$4:$I$4,0))</f>
        <v>1.8646153846153843</v>
      </c>
      <c r="N112" s="183">
        <f t="shared" si="36"/>
        <v>0.55769230769230771</v>
      </c>
      <c r="O112" s="70" t="str">
        <f>VLOOKUP(A112,[1]!STOCK,Q112,FALSE)</f>
        <v>POST2013</v>
      </c>
      <c r="P112" s="200">
        <f t="shared" si="39"/>
        <v>0.83868998628257874</v>
      </c>
      <c r="Q112" s="70">
        <f>MATCH(D112,[1]!BLDGTYPE,0)</f>
        <v>13</v>
      </c>
      <c r="R112" s="200">
        <f t="shared" si="41"/>
        <v>0.29233420668225041</v>
      </c>
      <c r="S112" s="200">
        <f t="shared" si="41"/>
        <v>2.5477723102065148E-3</v>
      </c>
      <c r="T112" s="188">
        <f t="shared" si="45"/>
        <v>0</v>
      </c>
      <c r="U112" s="188">
        <f>IF(G112="GasHt",VLOOKUP(MMap!D112,Savings!$B$7:$N$24,11,FALSE),0)</f>
        <v>0</v>
      </c>
      <c r="V112" s="188">
        <f t="shared" si="47"/>
        <v>0</v>
      </c>
      <c r="W112" s="188">
        <f t="shared" si="46"/>
        <v>0</v>
      </c>
      <c r="X112" s="188">
        <f t="shared" si="34"/>
        <v>0</v>
      </c>
    </row>
    <row r="113" spans="1:24" s="201" customFormat="1">
      <c r="A113" s="179" t="str">
        <f t="shared" si="42"/>
        <v>Commercial EM-New</v>
      </c>
      <c r="B113" s="182" t="str">
        <f t="shared" si="43"/>
        <v>Commercial EM-New-Restaurant</v>
      </c>
      <c r="C113" s="182" t="str">
        <f t="shared" si="44"/>
        <v>Commercial EM-New-Restaurant-HtPmpHt</v>
      </c>
      <c r="D113" s="71" t="s">
        <v>161</v>
      </c>
      <c r="E113" s="66" t="s">
        <v>194</v>
      </c>
      <c r="F113" s="67" t="s">
        <v>192</v>
      </c>
      <c r="G113" s="67" t="s">
        <v>439</v>
      </c>
      <c r="H113" s="68">
        <f t="shared" si="35"/>
        <v>5</v>
      </c>
      <c r="I113" s="69">
        <f t="shared" si="40"/>
        <v>5.5212362541074519E-2</v>
      </c>
      <c r="J113" s="69">
        <f t="shared" si="40"/>
        <v>0.88366906107173016</v>
      </c>
      <c r="K113" s="69">
        <f t="shared" si="40"/>
        <v>6.1118576387195395E-2</v>
      </c>
      <c r="L113" s="69">
        <f t="shared" si="40"/>
        <v>2.3525905182962954E-2</v>
      </c>
      <c r="M113" s="183">
        <f>INDEX(Savings!$G$30:$I$47,MATCH(MMap!D113,Savings!$B$30:$B$47,0),MATCH(G113,Savings!$G$4:$I$4,0))</f>
        <v>1.8646153846153843</v>
      </c>
      <c r="N113" s="183">
        <f t="shared" si="36"/>
        <v>0.55769230769230771</v>
      </c>
      <c r="O113" s="70" t="str">
        <f>VLOOKUP(A113,[1]!STOCK,Q113,FALSE)</f>
        <v>POST2013</v>
      </c>
      <c r="P113" s="200">
        <f t="shared" si="39"/>
        <v>0.99999997512427186</v>
      </c>
      <c r="Q113" s="70">
        <f>MATCH(D113,[1]!BLDGTYPE,0)</f>
        <v>14</v>
      </c>
      <c r="R113" s="200">
        <f t="shared" si="41"/>
        <v>1</v>
      </c>
      <c r="S113" s="200">
        <f t="shared" si="41"/>
        <v>1.1693580853842011E-2</v>
      </c>
      <c r="T113" s="188">
        <f t="shared" si="45"/>
        <v>2.6810742116914438E-3</v>
      </c>
      <c r="U113" s="188">
        <f>IF(G113="GasHt",VLOOKUP(MMap!D113,Savings!$B$7:$N$24,11,FALSE),0)</f>
        <v>0</v>
      </c>
      <c r="V113" s="188">
        <f t="shared" si="47"/>
        <v>2.6810742116914437</v>
      </c>
      <c r="W113" s="188">
        <f t="shared" si="46"/>
        <v>0.80188894532850541</v>
      </c>
      <c r="X113" s="188">
        <f t="shared" si="34"/>
        <v>0</v>
      </c>
    </row>
    <row r="114" spans="1:24" s="201" customFormat="1">
      <c r="A114" s="179" t="str">
        <f t="shared" si="42"/>
        <v>Commercial EM-New</v>
      </c>
      <c r="B114" s="182" t="str">
        <f t="shared" si="43"/>
        <v>Commercial EM-New-Lodging</v>
      </c>
      <c r="C114" s="182" t="str">
        <f t="shared" si="44"/>
        <v>Commercial EM-New-Lodging-HtPmpHt</v>
      </c>
      <c r="D114" s="71" t="s">
        <v>5</v>
      </c>
      <c r="E114" s="66" t="s">
        <v>194</v>
      </c>
      <c r="F114" s="67" t="s">
        <v>192</v>
      </c>
      <c r="G114" s="67" t="s">
        <v>439</v>
      </c>
      <c r="H114" s="68">
        <f t="shared" si="35"/>
        <v>5</v>
      </c>
      <c r="I114" s="69">
        <f t="shared" si="40"/>
        <v>0.34342063041492848</v>
      </c>
      <c r="J114" s="69">
        <f t="shared" si="40"/>
        <v>0.53617368361870132</v>
      </c>
      <c r="K114" s="69">
        <f t="shared" si="40"/>
        <v>0.12040568596637012</v>
      </c>
      <c r="L114" s="69">
        <f t="shared" si="40"/>
        <v>7.934694377848886E-2</v>
      </c>
      <c r="M114" s="183">
        <f>INDEX(Savings!$G$30:$I$47,MATCH(MMap!D114,Savings!$B$30:$B$47,0),MATCH(G114,Savings!$G$4:$I$4,0))</f>
        <v>1.2923076923076922</v>
      </c>
      <c r="N114" s="183">
        <f t="shared" si="36"/>
        <v>0.25096153846153846</v>
      </c>
      <c r="O114" s="70" t="str">
        <f>VLOOKUP(A114,[1]!STOCK,Q114,FALSE)</f>
        <v>POST2013</v>
      </c>
      <c r="P114" s="200">
        <f t="shared" si="39"/>
        <v>0.94438859080377269</v>
      </c>
      <c r="Q114" s="70">
        <f>MATCH(D114,[1]!BLDGTYPE,0)</f>
        <v>15</v>
      </c>
      <c r="R114" s="200">
        <f t="shared" si="41"/>
        <v>1</v>
      </c>
      <c r="S114" s="200">
        <f t="shared" si="41"/>
        <v>2.3957473342185561E-2</v>
      </c>
      <c r="T114" s="188">
        <f t="shared" si="45"/>
        <v>1.2346479205825418E-2</v>
      </c>
      <c r="U114" s="188">
        <f>IF(G114="GasHt",VLOOKUP(MMap!D114,Savings!$B$7:$N$24,11,FALSE),0)</f>
        <v>0</v>
      </c>
      <c r="V114" s="188">
        <f t="shared" si="47"/>
        <v>12.346479205825418</v>
      </c>
      <c r="W114" s="188">
        <f t="shared" si="46"/>
        <v>2.397642167202704</v>
      </c>
      <c r="X114" s="188">
        <f t="shared" si="34"/>
        <v>0</v>
      </c>
    </row>
    <row r="115" spans="1:24" s="201" customFormat="1">
      <c r="A115" s="179" t="str">
        <f t="shared" si="42"/>
        <v>Commercial EM-New</v>
      </c>
      <c r="B115" s="182" t="str">
        <f t="shared" si="43"/>
        <v>Commercial EM-New-Hospital</v>
      </c>
      <c r="C115" s="182" t="str">
        <f t="shared" si="44"/>
        <v>Commercial EM-New-Hospital-HtPmpHt</v>
      </c>
      <c r="D115" s="71" t="s">
        <v>164</v>
      </c>
      <c r="E115" s="66" t="s">
        <v>194</v>
      </c>
      <c r="F115" s="67" t="s">
        <v>192</v>
      </c>
      <c r="G115" s="67" t="s">
        <v>439</v>
      </c>
      <c r="H115" s="68">
        <f t="shared" si="35"/>
        <v>5</v>
      </c>
      <c r="I115" s="69">
        <f t="shared" si="40"/>
        <v>0.10311447532768504</v>
      </c>
      <c r="J115" s="69">
        <f t="shared" si="40"/>
        <v>0.74192623135844471</v>
      </c>
      <c r="K115" s="69">
        <f t="shared" si="40"/>
        <v>0.15495929331387026</v>
      </c>
      <c r="L115" s="69">
        <f t="shared" si="40"/>
        <v>0.85339696790936803</v>
      </c>
      <c r="M115" s="183">
        <f>INDEX(Savings!$G$30:$I$47,MATCH(MMap!D115,Savings!$B$30:$B$47,0),MATCH(G115,Savings!$G$4:$I$4,0))</f>
        <v>1.6984615384615382</v>
      </c>
      <c r="N115" s="183">
        <f t="shared" si="36"/>
        <v>0.27884615384615385</v>
      </c>
      <c r="O115" s="70" t="str">
        <f>VLOOKUP(A115,[1]!STOCK,Q115,FALSE)</f>
        <v>POST2013</v>
      </c>
      <c r="P115" s="200">
        <f t="shared" si="39"/>
        <v>0.95</v>
      </c>
      <c r="Q115" s="70">
        <f>MATCH(D115,[1]!BLDGTYPE,0)</f>
        <v>16</v>
      </c>
      <c r="R115" s="200">
        <f t="shared" si="41"/>
        <v>1</v>
      </c>
      <c r="S115" s="200">
        <f t="shared" si="41"/>
        <v>4.4965056377242296E-2</v>
      </c>
      <c r="T115" s="188">
        <f t="shared" si="45"/>
        <v>0.22460759589851159</v>
      </c>
      <c r="U115" s="188">
        <f>IF(G115="GasHt",VLOOKUP(MMap!D115,Savings!$B$7:$N$24,11,FALSE),0)</f>
        <v>0</v>
      </c>
      <c r="V115" s="188">
        <f t="shared" si="47"/>
        <v>224.60759589851159</v>
      </c>
      <c r="W115" s="188">
        <f t="shared" si="46"/>
        <v>36.875114815765613</v>
      </c>
      <c r="X115" s="188">
        <f t="shared" si="34"/>
        <v>0</v>
      </c>
    </row>
    <row r="116" spans="1:24" s="201" customFormat="1">
      <c r="A116" s="179" t="str">
        <f t="shared" si="42"/>
        <v>Commercial EM-New</v>
      </c>
      <c r="B116" s="182" t="str">
        <f t="shared" si="43"/>
        <v>Commercial EM-New-Residential Care</v>
      </c>
      <c r="C116" s="182" t="str">
        <f t="shared" si="44"/>
        <v>Commercial EM-New-Residential Care-HtPmpHt</v>
      </c>
      <c r="D116" s="71" t="s">
        <v>7</v>
      </c>
      <c r="E116" s="66" t="s">
        <v>194</v>
      </c>
      <c r="F116" s="67" t="s">
        <v>192</v>
      </c>
      <c r="G116" s="67" t="s">
        <v>439</v>
      </c>
      <c r="H116" s="68">
        <f t="shared" si="35"/>
        <v>5</v>
      </c>
      <c r="I116" s="69">
        <f t="shared" si="40"/>
        <v>5.6083613809662864E-3</v>
      </c>
      <c r="J116" s="69">
        <f t="shared" si="40"/>
        <v>0.98575716289794368</v>
      </c>
      <c r="K116" s="69">
        <f t="shared" si="40"/>
        <v>8.6344757210899958E-3</v>
      </c>
      <c r="L116" s="69">
        <f t="shared" si="40"/>
        <v>7.6228114216259218E-2</v>
      </c>
      <c r="M116" s="183">
        <f>INDEX(Savings!$G$30:$I$47,MATCH(MMap!D116,Savings!$B$30:$B$47,0),MATCH(G116,Savings!$G$4:$I$4,0))</f>
        <v>1.44</v>
      </c>
      <c r="N116" s="183">
        <f t="shared" si="36"/>
        <v>0.27884615384615385</v>
      </c>
      <c r="O116" s="70" t="str">
        <f>VLOOKUP(A116,[1]!STOCK,Q116,FALSE)</f>
        <v>POST2013</v>
      </c>
      <c r="P116" s="200">
        <f t="shared" si="39"/>
        <v>0.8423386600487599</v>
      </c>
      <c r="Q116" s="70">
        <f>MATCH(D116,[1]!BLDGTYPE,0)</f>
        <v>17</v>
      </c>
      <c r="R116" s="200">
        <f t="shared" si="41"/>
        <v>1</v>
      </c>
      <c r="S116" s="200">
        <f t="shared" si="41"/>
        <v>5.827742495837801E-2</v>
      </c>
      <c r="T116" s="188">
        <f t="shared" si="45"/>
        <v>9.4779331410926209E-4</v>
      </c>
      <c r="U116" s="188">
        <f>IF(G116="GasHt",VLOOKUP(MMap!D116,Savings!$B$7:$N$24,11,FALSE),0)</f>
        <v>0</v>
      </c>
      <c r="V116" s="188">
        <f t="shared" si="47"/>
        <v>0.94779331410926215</v>
      </c>
      <c r="W116" s="188">
        <f t="shared" si="46"/>
        <v>0.18353369463921343</v>
      </c>
      <c r="X116" s="188">
        <f t="shared" si="34"/>
        <v>0</v>
      </c>
    </row>
    <row r="117" spans="1:24" s="201" customFormat="1">
      <c r="A117" s="179" t="str">
        <f t="shared" si="42"/>
        <v>Commercial EM-New</v>
      </c>
      <c r="B117" s="182" t="str">
        <f t="shared" si="43"/>
        <v>Commercial EM-New-Assembly</v>
      </c>
      <c r="C117" s="182" t="str">
        <f t="shared" si="44"/>
        <v>Commercial EM-New-Assembly-HtPmpHt</v>
      </c>
      <c r="D117" s="71" t="s">
        <v>3</v>
      </c>
      <c r="E117" s="66" t="s">
        <v>194</v>
      </c>
      <c r="F117" s="67" t="s">
        <v>192</v>
      </c>
      <c r="G117" s="67" t="s">
        <v>439</v>
      </c>
      <c r="H117" s="68">
        <f t="shared" si="35"/>
        <v>5</v>
      </c>
      <c r="I117" s="69">
        <f t="shared" si="40"/>
        <v>5.6083613809662864E-3</v>
      </c>
      <c r="J117" s="69">
        <f t="shared" si="40"/>
        <v>0.98575716289794368</v>
      </c>
      <c r="K117" s="69">
        <f t="shared" si="40"/>
        <v>8.6344757210899958E-3</v>
      </c>
      <c r="L117" s="69">
        <f t="shared" si="40"/>
        <v>0.16854152512418574</v>
      </c>
      <c r="M117" s="183">
        <f>INDEX(Savings!$G$30:$I$47,MATCH(MMap!D117,Savings!$B$30:$B$47,0),MATCH(G117,Savings!$G$4:$I$4,0))</f>
        <v>0.84923076923076912</v>
      </c>
      <c r="N117" s="183">
        <f t="shared" si="36"/>
        <v>0.25096153846153846</v>
      </c>
      <c r="O117" s="70" t="str">
        <f>VLOOKUP(A117,[1]!STOCK,Q117,FALSE)</f>
        <v>POST2013</v>
      </c>
      <c r="P117" s="200">
        <f t="shared" si="39"/>
        <v>0.91177234717447209</v>
      </c>
      <c r="Q117" s="70">
        <f>MATCH(D117,[1]!BLDGTYPE,0)</f>
        <v>18</v>
      </c>
      <c r="R117" s="200">
        <f t="shared" si="41"/>
        <v>1</v>
      </c>
      <c r="S117" s="200">
        <f t="shared" si="41"/>
        <v>9.0984350406775827E-2</v>
      </c>
      <c r="T117" s="188">
        <f t="shared" si="45"/>
        <v>1.2358581139807756E-3</v>
      </c>
      <c r="U117" s="188">
        <f>IF(G117="GasHt",VLOOKUP(MMap!D117,Savings!$B$7:$N$24,11,FALSE),0)</f>
        <v>0</v>
      </c>
      <c r="V117" s="188">
        <f t="shared" si="47"/>
        <v>1.2358581139807756</v>
      </c>
      <c r="W117" s="188">
        <f t="shared" si="46"/>
        <v>0.3652162225418733</v>
      </c>
      <c r="X117" s="188">
        <f t="shared" si="34"/>
        <v>0</v>
      </c>
    </row>
    <row r="118" spans="1:24" s="201" customFormat="1">
      <c r="A118" s="179" t="str">
        <f t="shared" si="42"/>
        <v>Commercial EM-New</v>
      </c>
      <c r="B118" s="182" t="str">
        <f t="shared" si="43"/>
        <v>Commercial EM-New-Other</v>
      </c>
      <c r="C118" s="182" t="str">
        <f t="shared" si="44"/>
        <v>Commercial EM-New-Other-HtPmpHt</v>
      </c>
      <c r="D118" s="71" t="s">
        <v>11</v>
      </c>
      <c r="E118" s="66" t="s">
        <v>194</v>
      </c>
      <c r="F118" s="67" t="s">
        <v>192</v>
      </c>
      <c r="G118" s="67" t="s">
        <v>439</v>
      </c>
      <c r="H118" s="68">
        <f t="shared" si="35"/>
        <v>5</v>
      </c>
      <c r="I118" s="69">
        <f t="shared" si="40"/>
        <v>0.24031041917780901</v>
      </c>
      <c r="J118" s="69">
        <f t="shared" si="40"/>
        <v>0.6783643954380898</v>
      </c>
      <c r="K118" s="69">
        <f t="shared" si="40"/>
        <v>8.1325185384101065E-2</v>
      </c>
      <c r="L118" s="69">
        <f t="shared" si="40"/>
        <v>0.20051702037858005</v>
      </c>
      <c r="M118" s="183">
        <f>INDEX(Savings!$G$30:$I$47,MATCH(MMap!D118,Savings!$B$30:$B$47,0),MATCH(G118,Savings!$G$4:$I$4,0))</f>
        <v>0.84923076923076912</v>
      </c>
      <c r="N118" s="183">
        <f t="shared" si="36"/>
        <v>0.25096153846153846</v>
      </c>
      <c r="O118" s="70" t="str">
        <f>VLOOKUP(A118,[1]!STOCK,Q118,FALSE)</f>
        <v>POST2013</v>
      </c>
      <c r="P118" s="200">
        <f t="shared" si="39"/>
        <v>0.87717751610580841</v>
      </c>
      <c r="Q118" s="70">
        <f>MATCH(D118,[1]!BLDGTYPE,0)</f>
        <v>19</v>
      </c>
      <c r="R118" s="200">
        <f t="shared" si="41"/>
        <v>1</v>
      </c>
      <c r="S118" s="200">
        <f t="shared" si="41"/>
        <v>0.21334717399999265</v>
      </c>
      <c r="T118" s="188">
        <f t="shared" si="45"/>
        <v>1.3848477366054594E-2</v>
      </c>
      <c r="U118" s="188">
        <f>IF(G118="GasHt",VLOOKUP(MMap!D118,Savings!$B$7:$N$24,11,FALSE),0)</f>
        <v>0</v>
      </c>
      <c r="V118" s="188">
        <f t="shared" si="47"/>
        <v>13.848477366054594</v>
      </c>
      <c r="W118" s="188">
        <f t="shared" si="46"/>
        <v>4.0924508520609715</v>
      </c>
      <c r="X118" s="188">
        <f t="shared" si="34"/>
        <v>0</v>
      </c>
    </row>
  </sheetData>
  <autoFilter ref="A10:X118">
    <filterColumn colId="1"/>
  </autoFilter>
  <sortState ref="A11:Z118">
    <sortCondition descending="1" ref="A11:A118"/>
  </sortState>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sheetPr codeName="Sheet6"/>
  <dimension ref="A2:S69"/>
  <sheetViews>
    <sheetView workbookViewId="0">
      <selection activeCell="S31" sqref="S31"/>
    </sheetView>
  </sheetViews>
  <sheetFormatPr defaultRowHeight="12.75"/>
  <cols>
    <col min="1" max="1" width="4.7109375" customWidth="1"/>
    <col min="2" max="2" width="18.5703125" customWidth="1"/>
    <col min="3" max="3" width="13.85546875" customWidth="1"/>
    <col min="4" max="4" width="13.140625" customWidth="1"/>
    <col min="5" max="5" width="15" customWidth="1"/>
    <col min="7" max="8" width="11.42578125" customWidth="1"/>
    <col min="9" max="9" width="13.7109375" customWidth="1"/>
    <col min="10" max="10" width="17.140625" customWidth="1"/>
    <col min="11" max="11" width="16" customWidth="1"/>
    <col min="14" max="17" width="9.140625" style="106"/>
    <col min="18" max="18" width="22.85546875" style="106" customWidth="1"/>
    <col min="19" max="19" width="14.42578125" style="106" customWidth="1"/>
  </cols>
  <sheetData>
    <row r="2" spans="1:19">
      <c r="A2" t="s">
        <v>425</v>
      </c>
    </row>
    <row r="3" spans="1:19">
      <c r="B3" s="105">
        <v>1</v>
      </c>
      <c r="C3" s="105">
        <v>2</v>
      </c>
      <c r="D3" s="105">
        <v>3</v>
      </c>
      <c r="E3" s="105">
        <v>4</v>
      </c>
      <c r="F3" s="105">
        <v>5</v>
      </c>
      <c r="G3" s="105">
        <v>6</v>
      </c>
      <c r="H3" s="105">
        <v>7</v>
      </c>
      <c r="I3" s="105">
        <v>8</v>
      </c>
      <c r="J3" s="105">
        <v>9</v>
      </c>
      <c r="K3" s="105">
        <v>10</v>
      </c>
      <c r="L3" s="105">
        <v>11</v>
      </c>
      <c r="M3" s="105">
        <v>12</v>
      </c>
      <c r="N3" s="164"/>
    </row>
    <row r="4" spans="1:19">
      <c r="B4" s="105"/>
      <c r="C4" s="105"/>
      <c r="D4" s="105"/>
      <c r="E4" s="105"/>
      <c r="F4" s="105"/>
      <c r="G4" t="s">
        <v>438</v>
      </c>
      <c r="H4" t="s">
        <v>193</v>
      </c>
      <c r="I4" t="s">
        <v>439</v>
      </c>
      <c r="J4" s="105"/>
      <c r="K4" s="105"/>
      <c r="L4" s="105">
        <v>2</v>
      </c>
      <c r="M4" s="105"/>
      <c r="N4" s="164"/>
    </row>
    <row r="5" spans="1:19">
      <c r="A5" s="4"/>
      <c r="B5" s="171"/>
      <c r="C5" s="171" t="s">
        <v>343</v>
      </c>
      <c r="D5" s="171" t="s">
        <v>344</v>
      </c>
      <c r="E5" s="171" t="s">
        <v>345</v>
      </c>
      <c r="F5" s="171"/>
      <c r="G5" s="171" t="s">
        <v>346</v>
      </c>
      <c r="H5" s="172" t="s">
        <v>347</v>
      </c>
      <c r="I5" s="171" t="s">
        <v>348</v>
      </c>
      <c r="J5" s="172" t="s">
        <v>349</v>
      </c>
      <c r="K5" s="172" t="s">
        <v>350</v>
      </c>
      <c r="L5" s="172" t="s">
        <v>351</v>
      </c>
      <c r="M5" s="172" t="s">
        <v>352</v>
      </c>
      <c r="N5" s="172"/>
      <c r="O5" s="165"/>
      <c r="P5" s="165"/>
      <c r="Q5" s="165"/>
    </row>
    <row r="6" spans="1:19" ht="38.25">
      <c r="B6" s="172" t="s">
        <v>180</v>
      </c>
      <c r="C6" s="172" t="s">
        <v>353</v>
      </c>
      <c r="D6" s="172" t="s">
        <v>354</v>
      </c>
      <c r="E6" s="172" t="s">
        <v>355</v>
      </c>
      <c r="F6" s="172" t="s">
        <v>356</v>
      </c>
      <c r="G6" s="172" t="s">
        <v>357</v>
      </c>
      <c r="H6" s="172" t="s">
        <v>358</v>
      </c>
      <c r="I6" s="172" t="s">
        <v>359</v>
      </c>
      <c r="J6" s="172" t="s">
        <v>360</v>
      </c>
      <c r="K6" s="172" t="s">
        <v>361</v>
      </c>
      <c r="L6" s="173" t="s">
        <v>362</v>
      </c>
      <c r="M6" s="172" t="s">
        <v>352</v>
      </c>
      <c r="N6" s="172" t="s">
        <v>363</v>
      </c>
      <c r="Q6" s="153" t="s">
        <v>426</v>
      </c>
    </row>
    <row r="7" spans="1:19">
      <c r="B7" s="66" t="s">
        <v>148</v>
      </c>
      <c r="C7" s="13">
        <f>'6P Savings'!C8*$R$30</f>
        <v>7.08</v>
      </c>
      <c r="D7" s="13">
        <f>'6P Savings'!D8*$R$30</f>
        <v>5.18</v>
      </c>
      <c r="E7" s="13">
        <f>'6P Savings'!E8*$R$30</f>
        <v>6.08</v>
      </c>
      <c r="F7" s="169">
        <f>$Q$9</f>
        <v>0.1846153846153846</v>
      </c>
      <c r="G7" s="158">
        <f t="shared" ref="G7:I7" si="0">$F$8*C7</f>
        <v>1.307076923076923</v>
      </c>
      <c r="H7" s="158">
        <f t="shared" si="0"/>
        <v>0.95630769230769219</v>
      </c>
      <c r="I7" s="158">
        <f t="shared" si="0"/>
        <v>1.1224615384615384</v>
      </c>
      <c r="J7" s="13">
        <f>'6P Savings'!J8</f>
        <v>2</v>
      </c>
      <c r="K7" s="13">
        <f>'6P Savings'!K8</f>
        <v>0.27</v>
      </c>
      <c r="L7" s="160">
        <f t="shared" ref="L7" si="1">N7*K7</f>
        <v>3.9750000000000001E-2</v>
      </c>
      <c r="M7" s="13">
        <f>'6P Savings'!M8*Cost!$N$11</f>
        <v>0.25096153846153846</v>
      </c>
      <c r="N7" s="170">
        <f>$Q$13</f>
        <v>0.14722222222222223</v>
      </c>
      <c r="Q7" s="174">
        <v>0.06</v>
      </c>
      <c r="R7" s="146" t="s">
        <v>422</v>
      </c>
    </row>
    <row r="8" spans="1:19">
      <c r="B8" s="71" t="s">
        <v>149</v>
      </c>
      <c r="C8" s="13">
        <f>'6P Savings'!C9*$R$30</f>
        <v>6.08</v>
      </c>
      <c r="D8" s="13">
        <f>'6P Savings'!D9*$R$30</f>
        <v>4.18</v>
      </c>
      <c r="E8" s="13">
        <f>'6P Savings'!E9*$R$30</f>
        <v>5.08</v>
      </c>
      <c r="F8" s="169">
        <f t="shared" ref="F8:F24" si="2">$Q$9</f>
        <v>0.1846153846153846</v>
      </c>
      <c r="G8" s="158">
        <f t="shared" ref="G8:G24" si="3">$F$8*C8</f>
        <v>1.1224615384615384</v>
      </c>
      <c r="H8" s="158">
        <f t="shared" ref="H8:H24" si="4">$F$8*D8</f>
        <v>0.77169230769230757</v>
      </c>
      <c r="I8" s="158">
        <f t="shared" ref="I8:I24" si="5">$F$8*E8</f>
        <v>0.93784615384615377</v>
      </c>
      <c r="J8" s="13">
        <f>'6P Savings'!J9</f>
        <v>2</v>
      </c>
      <c r="K8" s="13">
        <f>'6P Savings'!K9</f>
        <v>0.27</v>
      </c>
      <c r="L8" s="160">
        <f t="shared" ref="L8:L24" si="6">N8*K8</f>
        <v>3.9750000000000001E-2</v>
      </c>
      <c r="M8" s="13">
        <f>'6P Savings'!M9*Cost!$N$11</f>
        <v>0.25096153846153846</v>
      </c>
      <c r="N8" s="170">
        <f t="shared" ref="N8:N24" si="7">$Q$13</f>
        <v>0.14722222222222223</v>
      </c>
      <c r="Q8" s="175">
        <v>0.32500000000000001</v>
      </c>
      <c r="R8" s="83" t="s">
        <v>424</v>
      </c>
    </row>
    <row r="9" spans="1:19">
      <c r="B9" s="71" t="s">
        <v>150</v>
      </c>
      <c r="C9" s="13">
        <f>'6P Savings'!C10*$R$30</f>
        <v>5.2799999999999994</v>
      </c>
      <c r="D9" s="13">
        <f>'6P Savings'!D10*$R$30</f>
        <v>3.38</v>
      </c>
      <c r="E9" s="13">
        <f>'6P Savings'!E10*$R$30</f>
        <v>4.2799999999999994</v>
      </c>
      <c r="F9" s="169">
        <f t="shared" si="2"/>
        <v>0.1846153846153846</v>
      </c>
      <c r="G9" s="158">
        <f t="shared" si="3"/>
        <v>0.97476923076923061</v>
      </c>
      <c r="H9" s="158">
        <f t="shared" si="4"/>
        <v>0.62399999999999989</v>
      </c>
      <c r="I9" s="158">
        <f t="shared" si="5"/>
        <v>0.79015384615384598</v>
      </c>
      <c r="J9" s="13">
        <f>'6P Savings'!J10</f>
        <v>2</v>
      </c>
      <c r="K9" s="13">
        <f>'6P Savings'!K10</f>
        <v>0.27</v>
      </c>
      <c r="L9" s="160">
        <f t="shared" si="6"/>
        <v>3.9750000000000001E-2</v>
      </c>
      <c r="M9" s="13">
        <f>'6P Savings'!M10*Cost!$N$11</f>
        <v>0.55769230769230771</v>
      </c>
      <c r="N9" s="170">
        <f t="shared" si="7"/>
        <v>0.14722222222222223</v>
      </c>
      <c r="Q9" s="177">
        <f>Q7/Q8</f>
        <v>0.1846153846153846</v>
      </c>
      <c r="R9" s="108" t="s">
        <v>848</v>
      </c>
    </row>
    <row r="10" spans="1:19">
      <c r="B10" s="71" t="s">
        <v>197</v>
      </c>
      <c r="C10" s="13">
        <f>'6P Savings'!C11*$R$30</f>
        <v>6.08</v>
      </c>
      <c r="D10" s="13">
        <f>'6P Savings'!D11*$R$30</f>
        <v>4.18</v>
      </c>
      <c r="E10" s="13">
        <f>'6P Savings'!E11*$R$30</f>
        <v>5.08</v>
      </c>
      <c r="F10" s="169">
        <f t="shared" si="2"/>
        <v>0.1846153846153846</v>
      </c>
      <c r="G10" s="158">
        <f t="shared" si="3"/>
        <v>1.1224615384615384</v>
      </c>
      <c r="H10" s="158">
        <f t="shared" si="4"/>
        <v>0.77169230769230757</v>
      </c>
      <c r="I10" s="158">
        <f t="shared" si="5"/>
        <v>0.93784615384615377</v>
      </c>
      <c r="J10" s="13">
        <f>'6P Savings'!J11</f>
        <v>2</v>
      </c>
      <c r="K10" s="13">
        <f>'6P Savings'!K11</f>
        <v>0.28999999999999998</v>
      </c>
      <c r="L10" s="160">
        <f t="shared" si="6"/>
        <v>4.2694444444444445E-2</v>
      </c>
      <c r="M10" s="13">
        <f>'6P Savings'!M11*Cost!$N$11</f>
        <v>0.25096153846153846</v>
      </c>
      <c r="N10" s="170">
        <f t="shared" si="7"/>
        <v>0.14722222222222223</v>
      </c>
      <c r="Q10" s="296"/>
      <c r="R10" s="297"/>
      <c r="S10" s="298"/>
    </row>
    <row r="11" spans="1:19">
      <c r="B11" s="71" t="s">
        <v>169</v>
      </c>
      <c r="C11" s="13">
        <f>'6P Savings'!C12*$R$30</f>
        <v>6.7</v>
      </c>
      <c r="D11" s="13">
        <f>'6P Savings'!D12*$R$30</f>
        <v>4.5999999999999996</v>
      </c>
      <c r="E11" s="13">
        <f>'6P Savings'!E12*$R$30</f>
        <v>5.6</v>
      </c>
      <c r="F11" s="169">
        <f t="shared" si="2"/>
        <v>0.1846153846153846</v>
      </c>
      <c r="G11" s="158">
        <f t="shared" si="3"/>
        <v>1.2369230769230768</v>
      </c>
      <c r="H11" s="158">
        <f t="shared" si="4"/>
        <v>0.84923076923076912</v>
      </c>
      <c r="I11" s="158">
        <f t="shared" si="5"/>
        <v>1.0338461538461536</v>
      </c>
      <c r="J11" s="13">
        <f>'6P Savings'!J12</f>
        <v>2.2000000000000002</v>
      </c>
      <c r="K11" s="13">
        <f>'6P Savings'!K12</f>
        <v>0.28999999999999998</v>
      </c>
      <c r="L11" s="160">
        <f t="shared" si="6"/>
        <v>4.2694444444444445E-2</v>
      </c>
      <c r="M11" s="13">
        <f>'6P Savings'!M12*Cost!$N$11</f>
        <v>0.55769230769230771</v>
      </c>
      <c r="N11" s="170">
        <f t="shared" si="7"/>
        <v>0.14722222222222223</v>
      </c>
      <c r="Q11" s="176">
        <v>5.2999999999999999E-2</v>
      </c>
      <c r="R11" s="146" t="s">
        <v>422</v>
      </c>
    </row>
    <row r="12" spans="1:19">
      <c r="B12" s="71" t="s">
        <v>168</v>
      </c>
      <c r="C12" s="13">
        <f>'6P Savings'!C13*$R$30</f>
        <v>9.3000000000000007</v>
      </c>
      <c r="D12" s="13">
        <f>'6P Savings'!D13*$R$30</f>
        <v>6.4</v>
      </c>
      <c r="E12" s="13">
        <f>'6P Savings'!E13*$R$30</f>
        <v>7.8</v>
      </c>
      <c r="F12" s="169">
        <f t="shared" si="2"/>
        <v>0.1846153846153846</v>
      </c>
      <c r="G12" s="158">
        <f t="shared" si="3"/>
        <v>1.716923076923077</v>
      </c>
      <c r="H12" s="158">
        <f t="shared" si="4"/>
        <v>1.1815384615384614</v>
      </c>
      <c r="I12" s="158">
        <f t="shared" si="5"/>
        <v>1.4399999999999997</v>
      </c>
      <c r="J12" s="13">
        <f>'6P Savings'!J13</f>
        <v>3</v>
      </c>
      <c r="K12" s="13">
        <f>'6P Savings'!K13</f>
        <v>0.28999999999999998</v>
      </c>
      <c r="L12" s="160">
        <f t="shared" si="6"/>
        <v>4.2694444444444445E-2</v>
      </c>
      <c r="M12" s="13">
        <f>'6P Savings'!M13*Cost!$N$11</f>
        <v>0.55769230769230771</v>
      </c>
      <c r="N12" s="170">
        <f t="shared" si="7"/>
        <v>0.14722222222222223</v>
      </c>
      <c r="Q12" s="176">
        <v>0.36</v>
      </c>
      <c r="R12" s="83" t="s">
        <v>423</v>
      </c>
    </row>
    <row r="13" spans="1:19">
      <c r="B13" s="71" t="s">
        <v>170</v>
      </c>
      <c r="C13" s="13">
        <f>'6P Savings'!C14*$R$30</f>
        <v>9.6</v>
      </c>
      <c r="D13" s="13">
        <f>'6P Savings'!D14*$R$30</f>
        <v>6.6999999999999993</v>
      </c>
      <c r="E13" s="13">
        <f>'6P Savings'!E14*$R$30</f>
        <v>8.1</v>
      </c>
      <c r="F13" s="169">
        <f t="shared" si="2"/>
        <v>0.1846153846153846</v>
      </c>
      <c r="G13" s="158">
        <f t="shared" si="3"/>
        <v>1.7723076923076921</v>
      </c>
      <c r="H13" s="158">
        <f t="shared" si="4"/>
        <v>1.2369230769230766</v>
      </c>
      <c r="I13" s="158">
        <f t="shared" si="5"/>
        <v>1.4953846153846151</v>
      </c>
      <c r="J13" s="13">
        <f>'6P Savings'!J14</f>
        <v>3</v>
      </c>
      <c r="K13" s="13">
        <f>'6P Savings'!K14</f>
        <v>0.28999999999999998</v>
      </c>
      <c r="L13" s="160">
        <f t="shared" si="6"/>
        <v>4.2694444444444445E-2</v>
      </c>
      <c r="M13" s="13">
        <f>'6P Savings'!M14*Cost!$N$11</f>
        <v>0.25096153846153846</v>
      </c>
      <c r="N13" s="170">
        <f t="shared" si="7"/>
        <v>0.14722222222222223</v>
      </c>
      <c r="Q13" s="178">
        <f>Q11/Q12</f>
        <v>0.14722222222222223</v>
      </c>
      <c r="R13" s="108" t="s">
        <v>848</v>
      </c>
    </row>
    <row r="14" spans="1:19">
      <c r="B14" s="71" t="s">
        <v>171</v>
      </c>
      <c r="C14" s="13">
        <f>'6P Savings'!C15*$R$30</f>
        <v>6</v>
      </c>
      <c r="D14" s="13">
        <f>'6P Savings'!D15*$R$30</f>
        <v>3.0999999999999996</v>
      </c>
      <c r="E14" s="13">
        <f>'6P Savings'!E15*$R$30</f>
        <v>4.5</v>
      </c>
      <c r="F14" s="169">
        <f t="shared" si="2"/>
        <v>0.1846153846153846</v>
      </c>
      <c r="G14" s="158">
        <f t="shared" si="3"/>
        <v>1.1076923076923075</v>
      </c>
      <c r="H14" s="158">
        <f t="shared" si="4"/>
        <v>0.57230769230769218</v>
      </c>
      <c r="I14" s="158">
        <f t="shared" si="5"/>
        <v>0.8307692307692307</v>
      </c>
      <c r="J14" s="13">
        <f>'6P Savings'!J15</f>
        <v>3</v>
      </c>
      <c r="K14" s="13">
        <f>'6P Savings'!K15</f>
        <v>0.28999999999999998</v>
      </c>
      <c r="L14" s="160">
        <f t="shared" si="6"/>
        <v>4.2694444444444445E-2</v>
      </c>
      <c r="M14" s="13">
        <f>'6P Savings'!M15*Cost!$N$11</f>
        <v>0.27884615384615385</v>
      </c>
      <c r="N14" s="170">
        <f t="shared" si="7"/>
        <v>0.14722222222222223</v>
      </c>
      <c r="Q14" s="296"/>
      <c r="R14" s="297"/>
      <c r="S14" s="298"/>
    </row>
    <row r="15" spans="1:19">
      <c r="B15" s="71" t="s">
        <v>155</v>
      </c>
      <c r="C15" s="13">
        <f>'6P Savings'!C16*$R$30</f>
        <v>9</v>
      </c>
      <c r="D15" s="13">
        <f>'6P Savings'!D16*$R$30</f>
        <v>5.0999999999999996</v>
      </c>
      <c r="E15" s="13">
        <f>'6P Savings'!E16*$R$30</f>
        <v>7</v>
      </c>
      <c r="F15" s="169">
        <f t="shared" si="2"/>
        <v>0.1846153846153846</v>
      </c>
      <c r="G15" s="158">
        <f t="shared" si="3"/>
        <v>1.6615384615384614</v>
      </c>
      <c r="H15" s="158">
        <f t="shared" si="4"/>
        <v>0.94153846153846144</v>
      </c>
      <c r="I15" s="158">
        <f t="shared" si="5"/>
        <v>1.2923076923076922</v>
      </c>
      <c r="J15" s="13">
        <f>'6P Savings'!J16</f>
        <v>4</v>
      </c>
      <c r="K15" s="13">
        <f>'6P Savings'!K16</f>
        <v>0.28999999999999998</v>
      </c>
      <c r="L15" s="160">
        <f t="shared" si="6"/>
        <v>4.2694444444444445E-2</v>
      </c>
      <c r="M15" s="13">
        <f>'6P Savings'!M16*Cost!$N$11</f>
        <v>0.27884615384615385</v>
      </c>
      <c r="N15" s="170">
        <f t="shared" si="7"/>
        <v>0.14722222222222223</v>
      </c>
    </row>
    <row r="16" spans="1:19">
      <c r="B16" s="71" t="s">
        <v>10</v>
      </c>
      <c r="C16" s="13">
        <f>'6P Savings'!C17*$R$30</f>
        <v>3</v>
      </c>
      <c r="D16" s="13">
        <f>'6P Savings'!D17*$R$30</f>
        <v>1.1000000000000001</v>
      </c>
      <c r="E16" s="13">
        <f>'6P Savings'!E17*$R$30</f>
        <v>2</v>
      </c>
      <c r="F16" s="169">
        <f t="shared" si="2"/>
        <v>0.1846153846153846</v>
      </c>
      <c r="G16" s="158">
        <f t="shared" si="3"/>
        <v>0.55384615384615377</v>
      </c>
      <c r="H16" s="158">
        <f t="shared" si="4"/>
        <v>0.20307692307692307</v>
      </c>
      <c r="I16" s="158">
        <f t="shared" si="5"/>
        <v>0.3692307692307692</v>
      </c>
      <c r="J16" s="13">
        <f>'6P Savings'!J17</f>
        <v>2</v>
      </c>
      <c r="K16" s="13">
        <f>'6P Savings'!K17</f>
        <v>0.17</v>
      </c>
      <c r="L16" s="160">
        <f t="shared" si="6"/>
        <v>2.5027777777777781E-2</v>
      </c>
      <c r="M16" s="13">
        <f>'6P Savings'!M17*Cost!$N$11</f>
        <v>0.11153846153846154</v>
      </c>
      <c r="N16" s="170">
        <f t="shared" si="7"/>
        <v>0.14722222222222223</v>
      </c>
    </row>
    <row r="17" spans="1:19">
      <c r="B17" s="71" t="s">
        <v>158</v>
      </c>
      <c r="C17" s="13">
        <f>'6P Savings'!C18*$R$30</f>
        <v>12.5</v>
      </c>
      <c r="D17" s="13">
        <f>'6P Savings'!D18*$R$30</f>
        <v>7.6</v>
      </c>
      <c r="E17" s="13">
        <f>'6P Savings'!E18*$R$30</f>
        <v>10</v>
      </c>
      <c r="F17" s="169">
        <f t="shared" si="2"/>
        <v>0.1846153846153846</v>
      </c>
      <c r="G17" s="158">
        <f t="shared" si="3"/>
        <v>2.3076923076923075</v>
      </c>
      <c r="H17" s="158">
        <f t="shared" si="4"/>
        <v>1.4030769230769229</v>
      </c>
      <c r="I17" s="158">
        <f t="shared" si="5"/>
        <v>1.846153846153846</v>
      </c>
      <c r="J17" s="13">
        <f>'6P Savings'!J18</f>
        <v>5</v>
      </c>
      <c r="K17" s="13">
        <f>'6P Savings'!K18</f>
        <v>0.5</v>
      </c>
      <c r="L17" s="160">
        <f t="shared" si="6"/>
        <v>7.3611111111111113E-2</v>
      </c>
      <c r="M17" s="13">
        <f>'6P Savings'!M18*Cost!$N$11</f>
        <v>0.33461538461538459</v>
      </c>
      <c r="N17" s="170">
        <f t="shared" si="7"/>
        <v>0.14722222222222223</v>
      </c>
    </row>
    <row r="18" spans="1:19">
      <c r="B18" s="71" t="s">
        <v>196</v>
      </c>
      <c r="C18" s="13">
        <f>'6P Savings'!C19*$R$30</f>
        <v>14</v>
      </c>
      <c r="D18" s="13">
        <f>'6P Savings'!D19*$R$30</f>
        <v>10.1</v>
      </c>
      <c r="E18" s="13">
        <f>'6P Savings'!E19*$R$30</f>
        <v>12</v>
      </c>
      <c r="F18" s="169">
        <f t="shared" si="2"/>
        <v>0.1846153846153846</v>
      </c>
      <c r="G18" s="158">
        <f t="shared" si="3"/>
        <v>2.5846153846153843</v>
      </c>
      <c r="H18" s="158">
        <f t="shared" si="4"/>
        <v>1.8646153846153843</v>
      </c>
      <c r="I18" s="158">
        <f t="shared" si="5"/>
        <v>2.2153846153846151</v>
      </c>
      <c r="J18" s="13">
        <f>'6P Savings'!J19</f>
        <v>4</v>
      </c>
      <c r="K18" s="13">
        <f>'6P Savings'!K19</f>
        <v>0.5</v>
      </c>
      <c r="L18" s="160">
        <f t="shared" si="6"/>
        <v>7.3611111111111113E-2</v>
      </c>
      <c r="M18" s="13">
        <f>'6P Savings'!M19*Cost!$N$11</f>
        <v>0.55769230769230771</v>
      </c>
      <c r="N18" s="170">
        <f t="shared" si="7"/>
        <v>0.14722222222222223</v>
      </c>
    </row>
    <row r="19" spans="1:19">
      <c r="B19" s="71" t="s">
        <v>161</v>
      </c>
      <c r="C19" s="13">
        <f>'6P Savings'!C20*$R$30</f>
        <v>14</v>
      </c>
      <c r="D19" s="13">
        <f>'6P Savings'!D20*$R$30</f>
        <v>10.1</v>
      </c>
      <c r="E19" s="13">
        <f>'6P Savings'!E20*$R$30</f>
        <v>12</v>
      </c>
      <c r="F19" s="169">
        <f t="shared" si="2"/>
        <v>0.1846153846153846</v>
      </c>
      <c r="G19" s="158">
        <f t="shared" si="3"/>
        <v>2.5846153846153843</v>
      </c>
      <c r="H19" s="158">
        <f t="shared" si="4"/>
        <v>1.8646153846153843</v>
      </c>
      <c r="I19" s="158">
        <f t="shared" si="5"/>
        <v>2.2153846153846151</v>
      </c>
      <c r="J19" s="13">
        <f>'6P Savings'!J20</f>
        <v>4</v>
      </c>
      <c r="K19" s="13">
        <f>'6P Savings'!K20</f>
        <v>0.5</v>
      </c>
      <c r="L19" s="160">
        <f t="shared" si="6"/>
        <v>7.3611111111111113E-2</v>
      </c>
      <c r="M19" s="13">
        <f>'6P Savings'!M20*Cost!$N$11</f>
        <v>0.55769230769230771</v>
      </c>
      <c r="N19" s="170">
        <f t="shared" si="7"/>
        <v>0.14722222222222223</v>
      </c>
    </row>
    <row r="20" spans="1:19">
      <c r="B20" s="71" t="s">
        <v>5</v>
      </c>
      <c r="C20" s="13">
        <f>'6P Savings'!C21*$R$30</f>
        <v>9</v>
      </c>
      <c r="D20" s="13">
        <f>'6P Savings'!D21*$R$30</f>
        <v>5.0999999999999996</v>
      </c>
      <c r="E20" s="13">
        <f>'6P Savings'!E21*$R$30</f>
        <v>7</v>
      </c>
      <c r="F20" s="169">
        <f t="shared" si="2"/>
        <v>0.1846153846153846</v>
      </c>
      <c r="G20" s="158">
        <f t="shared" si="3"/>
        <v>1.6615384615384614</v>
      </c>
      <c r="H20" s="158">
        <f t="shared" si="4"/>
        <v>0.94153846153846144</v>
      </c>
      <c r="I20" s="158">
        <f t="shared" si="5"/>
        <v>1.2923076923076922</v>
      </c>
      <c r="J20" s="13">
        <f>'6P Savings'!J21</f>
        <v>4</v>
      </c>
      <c r="K20" s="13">
        <f>'6P Savings'!K21</f>
        <v>0.3</v>
      </c>
      <c r="L20" s="160">
        <f t="shared" si="6"/>
        <v>4.4166666666666667E-2</v>
      </c>
      <c r="M20" s="13">
        <f>'6P Savings'!M21*Cost!$N$11</f>
        <v>0.25096153846153846</v>
      </c>
      <c r="N20" s="170">
        <f t="shared" si="7"/>
        <v>0.14722222222222223</v>
      </c>
    </row>
    <row r="21" spans="1:19">
      <c r="B21" s="71" t="s">
        <v>164</v>
      </c>
      <c r="C21" s="13">
        <f>'6P Savings'!C22*$R$30</f>
        <v>15</v>
      </c>
      <c r="D21" s="13">
        <f>'6P Savings'!D22*$R$30</f>
        <v>9.1999999999999993</v>
      </c>
      <c r="E21" s="13">
        <f>'6P Savings'!E22*$R$30</f>
        <v>12</v>
      </c>
      <c r="F21" s="169">
        <f t="shared" si="2"/>
        <v>0.1846153846153846</v>
      </c>
      <c r="G21" s="158">
        <f t="shared" si="3"/>
        <v>2.7692307692307692</v>
      </c>
      <c r="H21" s="158">
        <f t="shared" si="4"/>
        <v>1.6984615384615382</v>
      </c>
      <c r="I21" s="158">
        <f t="shared" si="5"/>
        <v>2.2153846153846151</v>
      </c>
      <c r="J21" s="13">
        <f>'6P Savings'!J22</f>
        <v>6</v>
      </c>
      <c r="K21" s="13">
        <f>'6P Savings'!K22</f>
        <v>0.5</v>
      </c>
      <c r="L21" s="160">
        <f t="shared" si="6"/>
        <v>7.3611111111111113E-2</v>
      </c>
      <c r="M21" s="13">
        <f>'6P Savings'!M22*Cost!$N$11</f>
        <v>0.27884615384615385</v>
      </c>
      <c r="N21" s="170">
        <f t="shared" si="7"/>
        <v>0.14722222222222223</v>
      </c>
    </row>
    <row r="22" spans="1:19">
      <c r="B22" s="71" t="s">
        <v>7</v>
      </c>
      <c r="C22" s="13">
        <f>'6P Savings'!C23*$R$30</f>
        <v>12.7</v>
      </c>
      <c r="D22" s="13">
        <f>'6P Savings'!D23*$R$30</f>
        <v>7.8000000000000007</v>
      </c>
      <c r="E22" s="13">
        <f>'6P Savings'!E23*$R$30</f>
        <v>10.199999999999999</v>
      </c>
      <c r="F22" s="169">
        <f t="shared" si="2"/>
        <v>0.1846153846153846</v>
      </c>
      <c r="G22" s="158">
        <f t="shared" si="3"/>
        <v>2.3446153846153841</v>
      </c>
      <c r="H22" s="158">
        <f t="shared" si="4"/>
        <v>1.44</v>
      </c>
      <c r="I22" s="158">
        <f t="shared" si="5"/>
        <v>1.8830769230769229</v>
      </c>
      <c r="J22" s="13">
        <f>'6P Savings'!J23</f>
        <v>5</v>
      </c>
      <c r="K22" s="13">
        <f>'6P Savings'!K23</f>
        <v>0.5</v>
      </c>
      <c r="L22" s="160">
        <f t="shared" si="6"/>
        <v>7.3611111111111113E-2</v>
      </c>
      <c r="M22" s="13">
        <f>'6P Savings'!M23*Cost!$N$11</f>
        <v>0.27884615384615385</v>
      </c>
      <c r="N22" s="170">
        <f t="shared" si="7"/>
        <v>0.14722222222222223</v>
      </c>
    </row>
    <row r="23" spans="1:19">
      <c r="B23" s="71" t="s">
        <v>3</v>
      </c>
      <c r="C23" s="13">
        <f>'6P Savings'!C24*$R$30</f>
        <v>8.5</v>
      </c>
      <c r="D23" s="13">
        <f>'6P Savings'!D24*$R$30</f>
        <v>4.5999999999999996</v>
      </c>
      <c r="E23" s="13">
        <f>'6P Savings'!E24*$R$30</f>
        <v>6.5</v>
      </c>
      <c r="F23" s="169">
        <f t="shared" si="2"/>
        <v>0.1846153846153846</v>
      </c>
      <c r="G23" s="158">
        <f t="shared" si="3"/>
        <v>1.569230769230769</v>
      </c>
      <c r="H23" s="158">
        <f t="shared" si="4"/>
        <v>0.84923076923076912</v>
      </c>
      <c r="I23" s="158">
        <f t="shared" si="5"/>
        <v>1.2</v>
      </c>
      <c r="J23" s="13">
        <f>'6P Savings'!J24</f>
        <v>4</v>
      </c>
      <c r="K23" s="13">
        <f>'6P Savings'!K24</f>
        <v>0.4</v>
      </c>
      <c r="L23" s="160">
        <f t="shared" si="6"/>
        <v>5.8888888888888893E-2</v>
      </c>
      <c r="M23" s="13">
        <f>'6P Savings'!M24*Cost!$N$11</f>
        <v>0.25096153846153846</v>
      </c>
      <c r="N23" s="170">
        <f t="shared" si="7"/>
        <v>0.14722222222222223</v>
      </c>
    </row>
    <row r="24" spans="1:19">
      <c r="B24" s="71" t="s">
        <v>11</v>
      </c>
      <c r="C24" s="13">
        <f>'6P Savings'!C25*$R$30</f>
        <v>8.5</v>
      </c>
      <c r="D24" s="13">
        <f>'6P Savings'!D25*$R$30</f>
        <v>4.5999999999999996</v>
      </c>
      <c r="E24" s="13">
        <f>'6P Savings'!E25*$R$30</f>
        <v>6.5</v>
      </c>
      <c r="F24" s="169">
        <f t="shared" si="2"/>
        <v>0.1846153846153846</v>
      </c>
      <c r="G24" s="158">
        <f t="shared" si="3"/>
        <v>1.569230769230769</v>
      </c>
      <c r="H24" s="158">
        <f t="shared" si="4"/>
        <v>0.84923076923076912</v>
      </c>
      <c r="I24" s="158">
        <f t="shared" si="5"/>
        <v>1.2</v>
      </c>
      <c r="J24" s="13">
        <f>'6P Savings'!J25</f>
        <v>4</v>
      </c>
      <c r="K24" s="13">
        <f>'6P Savings'!K25</f>
        <v>0.6</v>
      </c>
      <c r="L24" s="160">
        <f t="shared" si="6"/>
        <v>8.8333333333333333E-2</v>
      </c>
      <c r="M24" s="13">
        <f>'6P Savings'!M25*Cost!$N$11</f>
        <v>0.25096153846153846</v>
      </c>
      <c r="N24" s="170">
        <f t="shared" si="7"/>
        <v>0.14722222222222223</v>
      </c>
    </row>
    <row r="25" spans="1:19">
      <c r="J25" s="6"/>
      <c r="L25" s="8"/>
      <c r="N25" s="170"/>
    </row>
    <row r="26" spans="1:19">
      <c r="J26" s="6"/>
      <c r="L26" s="8"/>
      <c r="N26" s="170"/>
    </row>
    <row r="27" spans="1:19">
      <c r="B27" s="396" t="s">
        <v>925</v>
      </c>
      <c r="J27" s="6"/>
      <c r="L27" s="8"/>
      <c r="N27" s="170"/>
    </row>
    <row r="28" spans="1:19">
      <c r="A28" s="397" t="s">
        <v>194</v>
      </c>
      <c r="B28" s="398"/>
      <c r="C28" s="398"/>
      <c r="D28" s="398"/>
      <c r="E28" s="398"/>
      <c r="F28" s="398"/>
      <c r="G28" s="398"/>
      <c r="H28" s="398"/>
      <c r="I28" s="398"/>
      <c r="J28" s="398"/>
      <c r="K28" s="398"/>
      <c r="L28" s="398"/>
      <c r="M28" s="398"/>
      <c r="N28" s="399"/>
      <c r="O28" s="398"/>
    </row>
    <row r="29" spans="1:19" ht="38.25">
      <c r="A29" s="398"/>
      <c r="B29" s="400" t="s">
        <v>180</v>
      </c>
      <c r="C29" s="401"/>
      <c r="D29" s="402"/>
      <c r="E29" s="402"/>
      <c r="F29" s="403"/>
      <c r="G29" s="404"/>
      <c r="H29" s="404"/>
      <c r="I29" s="404"/>
      <c r="J29" s="400" t="s">
        <v>364</v>
      </c>
      <c r="K29" s="405"/>
      <c r="L29" s="400" t="s">
        <v>362</v>
      </c>
      <c r="M29" s="400" t="s">
        <v>352</v>
      </c>
      <c r="N29" s="399"/>
      <c r="O29" s="400" t="s">
        <v>352</v>
      </c>
      <c r="R29" s="286">
        <v>0.88533428073135945</v>
      </c>
      <c r="S29" s="106" t="s">
        <v>840</v>
      </c>
    </row>
    <row r="30" spans="1:19" ht="15">
      <c r="A30" s="398"/>
      <c r="B30" s="406" t="s">
        <v>148</v>
      </c>
      <c r="C30" s="398"/>
      <c r="D30" s="398"/>
      <c r="E30" s="398"/>
      <c r="F30" s="398"/>
      <c r="G30" s="407">
        <v>1.307076923076923</v>
      </c>
      <c r="H30" s="407">
        <v>0.95630769230769219</v>
      </c>
      <c r="I30" s="407">
        <v>1.1224615384615384</v>
      </c>
      <c r="J30" s="408">
        <v>0.95630769230769219</v>
      </c>
      <c r="K30" s="398"/>
      <c r="L30" s="409">
        <v>2.1000000000000001E-2</v>
      </c>
      <c r="M30" s="410">
        <f>M7</f>
        <v>0.25096153846153846</v>
      </c>
      <c r="N30" s="399"/>
      <c r="O30" s="410">
        <v>1</v>
      </c>
      <c r="Q30" s="285" t="s">
        <v>836</v>
      </c>
      <c r="R30" s="286">
        <v>1</v>
      </c>
      <c r="S30" s="106" t="s">
        <v>980</v>
      </c>
    </row>
    <row r="31" spans="1:19" ht="15">
      <c r="A31" s="398"/>
      <c r="B31" s="411" t="s">
        <v>149</v>
      </c>
      <c r="C31" s="398"/>
      <c r="D31" s="398"/>
      <c r="E31" s="398"/>
      <c r="F31" s="398"/>
      <c r="G31" s="412">
        <v>0.77169230769230757</v>
      </c>
      <c r="H31" s="412">
        <v>0.77169230769230757</v>
      </c>
      <c r="I31" s="412">
        <v>0.77169230769230757</v>
      </c>
      <c r="J31" s="408">
        <v>0.77169230769230757</v>
      </c>
      <c r="K31" s="398"/>
      <c r="L31" s="409">
        <v>2.1000000000000001E-2</v>
      </c>
      <c r="M31" s="410">
        <f t="shared" ref="M31:M47" si="8">M8</f>
        <v>0.25096153846153846</v>
      </c>
      <c r="N31" s="399"/>
      <c r="O31" s="410">
        <v>1</v>
      </c>
      <c r="Q31" s="285" t="s">
        <v>837</v>
      </c>
      <c r="R31" s="10">
        <v>0.79096648593025498</v>
      </c>
    </row>
    <row r="32" spans="1:19" ht="15">
      <c r="A32" s="398"/>
      <c r="B32" s="411" t="s">
        <v>150</v>
      </c>
      <c r="C32" s="398"/>
      <c r="D32" s="398"/>
      <c r="E32" s="398"/>
      <c r="F32" s="398"/>
      <c r="G32" s="412">
        <v>0.62399999999999989</v>
      </c>
      <c r="H32" s="412">
        <v>0.62399999999999989</v>
      </c>
      <c r="I32" s="412">
        <v>0.62399999999999989</v>
      </c>
      <c r="J32" s="408">
        <v>0.62399999999999989</v>
      </c>
      <c r="K32" s="398"/>
      <c r="L32" s="409">
        <v>2.1000000000000001E-2</v>
      </c>
      <c r="M32" s="410">
        <f t="shared" si="8"/>
        <v>0.55769230769230771</v>
      </c>
      <c r="N32" s="399"/>
      <c r="O32" s="410">
        <v>1</v>
      </c>
      <c r="Q32" s="285" t="s">
        <v>4</v>
      </c>
      <c r="R32" s="10">
        <v>1.3444512204392642</v>
      </c>
    </row>
    <row r="33" spans="1:18" ht="15">
      <c r="A33" s="398"/>
      <c r="B33" s="411" t="s">
        <v>197</v>
      </c>
      <c r="C33" s="398"/>
      <c r="D33" s="398"/>
      <c r="E33" s="398"/>
      <c r="F33" s="398"/>
      <c r="G33" s="412">
        <v>0.77169230769230757</v>
      </c>
      <c r="H33" s="412">
        <v>0.77169230769230757</v>
      </c>
      <c r="I33" s="412">
        <v>0.77169230769230757</v>
      </c>
      <c r="J33" s="408">
        <v>0.77169230769230757</v>
      </c>
      <c r="K33" s="398"/>
      <c r="L33" s="409">
        <v>2.1000000000000001E-2</v>
      </c>
      <c r="M33" s="410">
        <f t="shared" si="8"/>
        <v>0.25096153846153846</v>
      </c>
      <c r="N33" s="399"/>
      <c r="O33" s="410">
        <v>1</v>
      </c>
      <c r="Q33" s="285" t="s">
        <v>838</v>
      </c>
      <c r="R33" s="10">
        <v>0.82218670837811203</v>
      </c>
    </row>
    <row r="34" spans="1:18" ht="15">
      <c r="A34" s="398"/>
      <c r="B34" s="411" t="s">
        <v>169</v>
      </c>
      <c r="C34" s="398"/>
      <c r="D34" s="398"/>
      <c r="E34" s="398"/>
      <c r="F34" s="398"/>
      <c r="G34" s="412">
        <v>0.84923076923076912</v>
      </c>
      <c r="H34" s="412">
        <v>0.84923076923076912</v>
      </c>
      <c r="I34" s="412">
        <v>0.84923076923076912</v>
      </c>
      <c r="J34" s="408">
        <v>0.84923076923076912</v>
      </c>
      <c r="K34" s="398"/>
      <c r="L34" s="409">
        <v>2.1000000000000001E-2</v>
      </c>
      <c r="M34" s="410">
        <f t="shared" si="8"/>
        <v>0.55769230769230771</v>
      </c>
      <c r="N34" s="399"/>
      <c r="O34" s="410">
        <v>1</v>
      </c>
      <c r="Q34" s="285" t="s">
        <v>6</v>
      </c>
      <c r="R34" s="10">
        <v>0.91009565257095881</v>
      </c>
    </row>
    <row r="35" spans="1:18" ht="15">
      <c r="A35" s="398"/>
      <c r="B35" s="411" t="s">
        <v>168</v>
      </c>
      <c r="C35" s="398"/>
      <c r="D35" s="398"/>
      <c r="E35" s="398"/>
      <c r="F35" s="398"/>
      <c r="G35" s="412">
        <v>1.1815384615384614</v>
      </c>
      <c r="H35" s="412">
        <v>1.1815384615384614</v>
      </c>
      <c r="I35" s="412">
        <v>1.1815384615384614</v>
      </c>
      <c r="J35" s="408">
        <v>1.1815384615384614</v>
      </c>
      <c r="K35" s="398"/>
      <c r="L35" s="409">
        <v>2.1000000000000001E-2</v>
      </c>
      <c r="M35" s="410">
        <f t="shared" si="8"/>
        <v>0.55769230769230771</v>
      </c>
      <c r="N35" s="399"/>
      <c r="O35" s="410">
        <v>1</v>
      </c>
      <c r="Q35" s="285" t="s">
        <v>839</v>
      </c>
      <c r="R35" s="10">
        <v>0.98597451614233167</v>
      </c>
    </row>
    <row r="36" spans="1:18" ht="15">
      <c r="A36" s="398"/>
      <c r="B36" s="411" t="s">
        <v>170</v>
      </c>
      <c r="C36" s="398"/>
      <c r="D36" s="398"/>
      <c r="E36" s="398"/>
      <c r="F36" s="398"/>
      <c r="G36" s="412">
        <v>1.2369230769230766</v>
      </c>
      <c r="H36" s="412">
        <v>1.2369230769230766</v>
      </c>
      <c r="I36" s="412">
        <v>1.2369230769230766</v>
      </c>
      <c r="J36" s="408">
        <v>1.2369230769230766</v>
      </c>
      <c r="K36" s="398"/>
      <c r="L36" s="409">
        <v>2.1000000000000001E-2</v>
      </c>
      <c r="M36" s="410">
        <f t="shared" si="8"/>
        <v>0.25096153846153846</v>
      </c>
      <c r="N36" s="399"/>
      <c r="O36" s="410">
        <v>1</v>
      </c>
      <c r="Q36" s="285" t="s">
        <v>161</v>
      </c>
      <c r="R36" s="10">
        <v>1.0765038982512365</v>
      </c>
    </row>
    <row r="37" spans="1:18" ht="15">
      <c r="A37" s="398"/>
      <c r="B37" s="411" t="s">
        <v>171</v>
      </c>
      <c r="C37" s="398"/>
      <c r="D37" s="398"/>
      <c r="E37" s="398"/>
      <c r="F37" s="398"/>
      <c r="G37" s="412">
        <v>0.57230769230769218</v>
      </c>
      <c r="H37" s="412">
        <v>0.57230769230769218</v>
      </c>
      <c r="I37" s="412">
        <v>0.57230769230769218</v>
      </c>
      <c r="J37" s="408">
        <v>0.57230769230769218</v>
      </c>
      <c r="K37" s="398"/>
      <c r="L37" s="409">
        <v>2.1000000000000001E-2</v>
      </c>
      <c r="M37" s="410">
        <f t="shared" si="8"/>
        <v>0.27884615384615385</v>
      </c>
      <c r="N37" s="399"/>
      <c r="O37" s="410">
        <v>1</v>
      </c>
      <c r="Q37" s="285" t="s">
        <v>9</v>
      </c>
      <c r="R37" s="10">
        <v>1.0004754176808621</v>
      </c>
    </row>
    <row r="38" spans="1:18" ht="15">
      <c r="A38" s="398"/>
      <c r="B38" s="411" t="s">
        <v>155</v>
      </c>
      <c r="C38" s="398"/>
      <c r="D38" s="398"/>
      <c r="E38" s="398"/>
      <c r="F38" s="398"/>
      <c r="G38" s="412">
        <v>0.94153846153846144</v>
      </c>
      <c r="H38" s="412">
        <v>0.94153846153846144</v>
      </c>
      <c r="I38" s="412">
        <v>0.94153846153846144</v>
      </c>
      <c r="J38" s="408">
        <v>0.94153846153846144</v>
      </c>
      <c r="K38" s="398"/>
      <c r="L38" s="409">
        <v>2.1000000000000001E-2</v>
      </c>
      <c r="M38" s="410">
        <f t="shared" si="8"/>
        <v>0.27884615384615385</v>
      </c>
      <c r="N38" s="399"/>
      <c r="O38" s="410">
        <v>1</v>
      </c>
      <c r="Q38" s="285" t="s">
        <v>10</v>
      </c>
      <c r="R38" s="10">
        <v>0.64338633992008065</v>
      </c>
    </row>
    <row r="39" spans="1:18" ht="15">
      <c r="A39" s="398"/>
      <c r="B39" s="411" t="s">
        <v>10</v>
      </c>
      <c r="C39" s="398"/>
      <c r="D39" s="398"/>
      <c r="E39" s="398"/>
      <c r="F39" s="398"/>
      <c r="G39" s="412">
        <v>0.20307692307692307</v>
      </c>
      <c r="H39" s="412">
        <v>0.20307692307692307</v>
      </c>
      <c r="I39" s="412">
        <v>0.20307692307692307</v>
      </c>
      <c r="J39" s="408">
        <v>0.20307692307692307</v>
      </c>
      <c r="K39" s="398"/>
      <c r="L39" s="409">
        <v>2.1000000000000001E-2</v>
      </c>
      <c r="M39" s="410">
        <f t="shared" si="8"/>
        <v>0.11153846153846154</v>
      </c>
      <c r="N39" s="399"/>
      <c r="O39" s="410">
        <v>0.25</v>
      </c>
      <c r="Q39" s="285" t="s">
        <v>11</v>
      </c>
      <c r="R39" s="10">
        <v>1.0683085040699953</v>
      </c>
    </row>
    <row r="40" spans="1:18">
      <c r="A40" s="398"/>
      <c r="B40" s="411" t="s">
        <v>158</v>
      </c>
      <c r="C40" s="398"/>
      <c r="D40" s="398"/>
      <c r="E40" s="398"/>
      <c r="F40" s="398"/>
      <c r="G40" s="412">
        <v>1.4030769230769229</v>
      </c>
      <c r="H40" s="412">
        <v>1.4030769230769229</v>
      </c>
      <c r="I40" s="412">
        <v>1.4030769230769229</v>
      </c>
      <c r="J40" s="408">
        <v>1.4030769230769229</v>
      </c>
      <c r="K40" s="398"/>
      <c r="L40" s="409">
        <v>2.1000000000000001E-2</v>
      </c>
      <c r="M40" s="410">
        <f t="shared" si="8"/>
        <v>0.33461538461538459</v>
      </c>
      <c r="N40" s="399"/>
      <c r="O40" s="410">
        <v>1</v>
      </c>
    </row>
    <row r="41" spans="1:18">
      <c r="A41" s="398"/>
      <c r="B41" s="411" t="s">
        <v>196</v>
      </c>
      <c r="C41" s="398"/>
      <c r="D41" s="398"/>
      <c r="E41" s="398"/>
      <c r="F41" s="398"/>
      <c r="G41" s="412">
        <v>1.8646153846153843</v>
      </c>
      <c r="H41" s="412">
        <v>1.8646153846153843</v>
      </c>
      <c r="I41" s="412">
        <v>1.8646153846153843</v>
      </c>
      <c r="J41" s="408">
        <v>1.8646153846153843</v>
      </c>
      <c r="K41" s="398"/>
      <c r="L41" s="409">
        <v>2.1000000000000001E-2</v>
      </c>
      <c r="M41" s="410">
        <f t="shared" si="8"/>
        <v>0.55769230769230771</v>
      </c>
      <c r="N41" s="399"/>
      <c r="O41" s="410">
        <v>1</v>
      </c>
    </row>
    <row r="42" spans="1:18">
      <c r="A42" s="398"/>
      <c r="B42" s="411" t="s">
        <v>161</v>
      </c>
      <c r="C42" s="398"/>
      <c r="D42" s="398"/>
      <c r="E42" s="398"/>
      <c r="F42" s="398"/>
      <c r="G42" s="412">
        <v>1.8646153846153843</v>
      </c>
      <c r="H42" s="412">
        <v>1.8646153846153843</v>
      </c>
      <c r="I42" s="412">
        <v>1.8646153846153843</v>
      </c>
      <c r="J42" s="408">
        <v>1.8646153846153843</v>
      </c>
      <c r="K42" s="398"/>
      <c r="L42" s="409">
        <v>2.1000000000000001E-2</v>
      </c>
      <c r="M42" s="410">
        <f t="shared" si="8"/>
        <v>0.55769230769230771</v>
      </c>
      <c r="N42" s="399"/>
      <c r="O42" s="410">
        <v>1</v>
      </c>
    </row>
    <row r="43" spans="1:18">
      <c r="A43" s="398"/>
      <c r="B43" s="411" t="s">
        <v>5</v>
      </c>
      <c r="C43" s="398"/>
      <c r="D43" s="398"/>
      <c r="E43" s="398"/>
      <c r="F43" s="398"/>
      <c r="G43" s="407">
        <v>1.6615384615384614</v>
      </c>
      <c r="H43" s="407">
        <v>0.94153846153846144</v>
      </c>
      <c r="I43" s="407">
        <v>1.2923076923076922</v>
      </c>
      <c r="J43" s="408">
        <v>0.94153846153846144</v>
      </c>
      <c r="K43" s="398"/>
      <c r="L43" s="409">
        <v>2.1000000000000001E-2</v>
      </c>
      <c r="M43" s="410">
        <f t="shared" si="8"/>
        <v>0.25096153846153846</v>
      </c>
      <c r="N43" s="399"/>
      <c r="O43" s="410">
        <v>1</v>
      </c>
    </row>
    <row r="44" spans="1:18">
      <c r="A44" s="398"/>
      <c r="B44" s="411" t="s">
        <v>164</v>
      </c>
      <c r="C44" s="398"/>
      <c r="D44" s="398"/>
      <c r="E44" s="398"/>
      <c r="F44" s="398"/>
      <c r="G44" s="412">
        <v>1.6984615384615382</v>
      </c>
      <c r="H44" s="412">
        <v>1.6984615384615382</v>
      </c>
      <c r="I44" s="412">
        <v>1.6984615384615382</v>
      </c>
      <c r="J44" s="408">
        <v>1.6984615384615382</v>
      </c>
      <c r="K44" s="398"/>
      <c r="L44" s="409">
        <v>2.1000000000000001E-2</v>
      </c>
      <c r="M44" s="410">
        <f t="shared" si="8"/>
        <v>0.27884615384615385</v>
      </c>
      <c r="N44" s="399"/>
      <c r="O44" s="410">
        <v>1</v>
      </c>
    </row>
    <row r="45" spans="1:18">
      <c r="A45" s="398"/>
      <c r="B45" s="411" t="s">
        <v>7</v>
      </c>
      <c r="C45" s="398"/>
      <c r="D45" s="398"/>
      <c r="E45" s="398"/>
      <c r="F45" s="398"/>
      <c r="G45" s="412">
        <v>1.44</v>
      </c>
      <c r="H45" s="412">
        <v>1.44</v>
      </c>
      <c r="I45" s="412">
        <v>1.44</v>
      </c>
      <c r="J45" s="408">
        <v>1.44</v>
      </c>
      <c r="K45" s="398"/>
      <c r="L45" s="409">
        <v>2.1000000000000001E-2</v>
      </c>
      <c r="M45" s="410">
        <f t="shared" si="8"/>
        <v>0.27884615384615385</v>
      </c>
      <c r="N45" s="399"/>
      <c r="O45" s="410">
        <v>1</v>
      </c>
    </row>
    <row r="46" spans="1:18">
      <c r="A46" s="398"/>
      <c r="B46" s="411" t="s">
        <v>3</v>
      </c>
      <c r="C46" s="398"/>
      <c r="D46" s="398"/>
      <c r="E46" s="398"/>
      <c r="F46" s="398"/>
      <c r="G46" s="412">
        <v>0.84923076923076912</v>
      </c>
      <c r="H46" s="412">
        <v>0.84923076923076912</v>
      </c>
      <c r="I46" s="412">
        <v>0.84923076923076912</v>
      </c>
      <c r="J46" s="408">
        <v>0.84923076923076912</v>
      </c>
      <c r="K46" s="398"/>
      <c r="L46" s="409">
        <v>2.1000000000000001E-2</v>
      </c>
      <c r="M46" s="410">
        <f t="shared" si="8"/>
        <v>0.25096153846153846</v>
      </c>
      <c r="N46" s="399"/>
      <c r="O46" s="410">
        <v>1</v>
      </c>
    </row>
    <row r="47" spans="1:18">
      <c r="A47" s="398"/>
      <c r="B47" s="411" t="s">
        <v>11</v>
      </c>
      <c r="C47" s="398"/>
      <c r="D47" s="398"/>
      <c r="E47" s="398"/>
      <c r="F47" s="398"/>
      <c r="G47" s="412">
        <v>0.84923076923076912</v>
      </c>
      <c r="H47" s="412">
        <v>0.84923076923076912</v>
      </c>
      <c r="I47" s="412">
        <v>0.84923076923076912</v>
      </c>
      <c r="J47" s="408">
        <v>0.84923076923076912</v>
      </c>
      <c r="K47" s="398"/>
      <c r="L47" s="409">
        <v>2.1000000000000001E-2</v>
      </c>
      <c r="M47" s="410">
        <f t="shared" si="8"/>
        <v>0.25096153846153846</v>
      </c>
      <c r="N47" s="399"/>
      <c r="O47" s="410">
        <v>1</v>
      </c>
    </row>
    <row r="48" spans="1:18">
      <c r="A48" s="398"/>
      <c r="B48" s="398"/>
      <c r="C48" s="398"/>
      <c r="D48" s="398"/>
      <c r="E48" s="398"/>
      <c r="F48" s="398"/>
      <c r="G48" s="398"/>
      <c r="H48" s="398"/>
      <c r="I48" s="398"/>
      <c r="J48" s="398"/>
      <c r="K48" s="398"/>
      <c r="L48" s="398"/>
      <c r="M48" s="398"/>
      <c r="N48" s="399"/>
      <c r="O48" s="398"/>
    </row>
    <row r="49" spans="1:15">
      <c r="A49" s="398"/>
      <c r="B49" s="398"/>
      <c r="C49" s="398"/>
      <c r="D49" s="398"/>
      <c r="E49" s="398"/>
      <c r="F49" s="398"/>
      <c r="G49" s="398"/>
      <c r="H49" s="398"/>
      <c r="I49" s="398"/>
      <c r="J49" s="408"/>
      <c r="K49" s="398"/>
      <c r="L49" s="409">
        <v>2.1000000000000005E-2</v>
      </c>
      <c r="M49" s="398"/>
      <c r="N49" s="399"/>
      <c r="O49" s="398"/>
    </row>
    <row r="50" spans="1:15">
      <c r="J50" s="6"/>
      <c r="L50" s="8"/>
    </row>
    <row r="51" spans="1:15">
      <c r="J51" s="6"/>
      <c r="L51" s="8"/>
    </row>
    <row r="52" spans="1:15">
      <c r="J52" s="6"/>
      <c r="L52" s="8"/>
    </row>
    <row r="53" spans="1:15">
      <c r="J53" s="6"/>
      <c r="L53" s="8"/>
    </row>
    <row r="54" spans="1:15">
      <c r="J54" s="6"/>
      <c r="L54" s="8"/>
    </row>
    <row r="55" spans="1:15">
      <c r="J55" s="6"/>
      <c r="L55" s="8"/>
    </row>
    <row r="56" spans="1:15">
      <c r="J56" s="6"/>
      <c r="L56" s="8"/>
    </row>
    <row r="57" spans="1:15">
      <c r="J57" s="6"/>
      <c r="L57" s="8"/>
    </row>
    <row r="58" spans="1:15">
      <c r="J58" s="6"/>
      <c r="L58" s="8"/>
    </row>
    <row r="59" spans="1:15">
      <c r="J59" s="6"/>
      <c r="L59" s="8"/>
    </row>
    <row r="60" spans="1:15">
      <c r="J60" s="6"/>
      <c r="L60" s="8"/>
    </row>
    <row r="61" spans="1:15">
      <c r="J61" s="6"/>
      <c r="L61" s="8"/>
    </row>
    <row r="62" spans="1:15">
      <c r="J62" s="6"/>
      <c r="L62" s="8"/>
    </row>
    <row r="63" spans="1:15">
      <c r="J63" s="6"/>
      <c r="L63" s="8"/>
    </row>
    <row r="64" spans="1:15">
      <c r="J64" s="6"/>
      <c r="L64" s="8"/>
    </row>
    <row r="65" spans="10:12">
      <c r="J65" s="6"/>
      <c r="L65" s="8"/>
    </row>
    <row r="66" spans="10:12">
      <c r="J66" s="6"/>
      <c r="L66" s="8"/>
    </row>
    <row r="67" spans="10:12">
      <c r="J67" s="6"/>
      <c r="L67" s="8"/>
    </row>
    <row r="69" spans="10:12">
      <c r="J69" s="7"/>
    </row>
  </sheetData>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sheetPr codeName="Sheet7"/>
  <dimension ref="A3:O62"/>
  <sheetViews>
    <sheetView workbookViewId="0">
      <selection activeCell="J8" sqref="J8"/>
    </sheetView>
  </sheetViews>
  <sheetFormatPr defaultRowHeight="12.75"/>
  <cols>
    <col min="1" max="1" width="29.42578125" customWidth="1"/>
    <col min="2" max="2" width="16" customWidth="1"/>
    <col min="3" max="3" width="16.28515625" customWidth="1"/>
    <col min="4" max="4" width="18.5703125" customWidth="1"/>
    <col min="5" max="5" width="20.28515625" customWidth="1"/>
    <col min="6" max="6" width="12.7109375" customWidth="1"/>
    <col min="8" max="9" width="9.28515625" bestFit="1" customWidth="1"/>
  </cols>
  <sheetData>
    <row r="3" spans="1:15" s="201" customFormat="1">
      <c r="A3" s="201" t="s">
        <v>853</v>
      </c>
      <c r="C3" s="303"/>
      <c r="D3" s="303"/>
      <c r="E3" s="303"/>
      <c r="F3" s="303"/>
      <c r="G3" s="303"/>
      <c r="H3" s="303"/>
      <c r="I3" s="303"/>
    </row>
    <row r="4" spans="1:15">
      <c r="C4" s="2"/>
      <c r="E4" s="1"/>
      <c r="G4" s="1"/>
      <c r="H4" s="5"/>
      <c r="I4" s="5"/>
      <c r="L4" t="s">
        <v>881</v>
      </c>
      <c r="M4" t="s">
        <v>883</v>
      </c>
      <c r="N4" t="s">
        <v>884</v>
      </c>
      <c r="O4" t="s">
        <v>886</v>
      </c>
    </row>
    <row r="5" spans="1:15">
      <c r="A5" s="337" t="s">
        <v>854</v>
      </c>
      <c r="C5" s="2"/>
      <c r="E5" s="1"/>
      <c r="G5" s="1"/>
      <c r="H5" s="5"/>
      <c r="I5" s="5"/>
      <c r="L5" t="s">
        <v>882</v>
      </c>
      <c r="M5">
        <v>0.44</v>
      </c>
      <c r="N5">
        <v>0.52</v>
      </c>
    </row>
    <row r="6" spans="1:15">
      <c r="B6" t="s">
        <v>855</v>
      </c>
      <c r="C6" s="2"/>
      <c r="E6" s="1"/>
      <c r="G6" s="1"/>
      <c r="H6" s="5"/>
      <c r="I6" s="5"/>
      <c r="J6" t="s">
        <v>892</v>
      </c>
      <c r="L6" t="s">
        <v>885</v>
      </c>
      <c r="M6">
        <v>0.06</v>
      </c>
      <c r="N6">
        <v>0.05</v>
      </c>
    </row>
    <row r="7" spans="1:15">
      <c r="B7" s="108" t="s">
        <v>856</v>
      </c>
      <c r="C7" s="108" t="s">
        <v>857</v>
      </c>
      <c r="D7" s="108" t="s">
        <v>858</v>
      </c>
      <c r="E7" s="153" t="s">
        <v>851</v>
      </c>
      <c r="F7" s="108" t="s">
        <v>852</v>
      </c>
      <c r="G7" s="108"/>
      <c r="H7" s="108"/>
      <c r="I7" s="5"/>
      <c r="J7" t="s">
        <v>891</v>
      </c>
      <c r="L7" t="s">
        <v>887</v>
      </c>
      <c r="N7">
        <f>AVERAGE(0.13,0.45)</f>
        <v>0.29000000000000004</v>
      </c>
    </row>
    <row r="8" spans="1:15">
      <c r="B8" s="158">
        <v>1.307076923076923</v>
      </c>
      <c r="C8" s="158">
        <v>0.95630769230769219</v>
      </c>
      <c r="D8" s="158">
        <v>1.1224615384615384</v>
      </c>
      <c r="E8" s="304">
        <v>0.45</v>
      </c>
      <c r="F8" s="302">
        <f>$E8/B8</f>
        <v>0.34427966101694918</v>
      </c>
      <c r="G8" s="302">
        <f t="shared" ref="G8:H8" si="0">$E8/C8</f>
        <v>0.47055984555984565</v>
      </c>
      <c r="H8" s="302">
        <f t="shared" si="0"/>
        <v>0.40090460526315791</v>
      </c>
      <c r="I8" s="5"/>
      <c r="J8" s="305">
        <f>E8*$N$11</f>
        <v>0.25096153846153846</v>
      </c>
      <c r="L8" t="s">
        <v>384</v>
      </c>
      <c r="N8">
        <v>0.41</v>
      </c>
    </row>
    <row r="9" spans="1:15">
      <c r="B9" s="158">
        <v>1.1224615384615384</v>
      </c>
      <c r="C9" s="158">
        <v>0.77169230769230757</v>
      </c>
      <c r="D9" s="158">
        <v>0.93784615384615377</v>
      </c>
      <c r="E9" s="304">
        <v>0.45</v>
      </c>
      <c r="F9" s="302">
        <f t="shared" ref="F9:F25" si="1">$E9/B9</f>
        <v>0.40090460526315791</v>
      </c>
      <c r="G9" s="302">
        <f t="shared" ref="G9:G25" si="2">$E9/C9</f>
        <v>0.58313397129186617</v>
      </c>
      <c r="H9" s="302">
        <f t="shared" ref="H9:H25" si="3">$E9/D9</f>
        <v>0.47982283464566933</v>
      </c>
      <c r="J9" s="305">
        <f t="shared" ref="J9:J25" si="4">E9*$N$11</f>
        <v>0.25096153846153846</v>
      </c>
    </row>
    <row r="10" spans="1:15">
      <c r="B10" s="158">
        <v>0.97476923076923061</v>
      </c>
      <c r="C10" s="158">
        <v>0.62399999999999989</v>
      </c>
      <c r="D10" s="158">
        <v>0.79015384615384598</v>
      </c>
      <c r="E10" s="304">
        <v>1</v>
      </c>
      <c r="F10" s="302">
        <f t="shared" si="1"/>
        <v>1.0258838383838385</v>
      </c>
      <c r="G10" s="302">
        <f t="shared" si="2"/>
        <v>1.6025641025641029</v>
      </c>
      <c r="H10" s="302">
        <f t="shared" si="3"/>
        <v>1.2655763239875393</v>
      </c>
      <c r="J10" s="305">
        <f t="shared" si="4"/>
        <v>0.55769230769230771</v>
      </c>
    </row>
    <row r="11" spans="1:15">
      <c r="B11" s="158">
        <v>1.1224615384615384</v>
      </c>
      <c r="C11" s="158">
        <v>0.77169230769230757</v>
      </c>
      <c r="D11" s="158">
        <v>0.93784615384615377</v>
      </c>
      <c r="E11" s="304">
        <v>0.45</v>
      </c>
      <c r="F11" s="302">
        <f t="shared" si="1"/>
        <v>0.40090460526315791</v>
      </c>
      <c r="G11" s="302">
        <f t="shared" si="2"/>
        <v>0.58313397129186617</v>
      </c>
      <c r="H11" s="302">
        <f t="shared" si="3"/>
        <v>0.47982283464566933</v>
      </c>
      <c r="J11" s="305">
        <f t="shared" si="4"/>
        <v>0.25096153846153846</v>
      </c>
      <c r="L11" s="334"/>
      <c r="M11" s="335" t="s">
        <v>888</v>
      </c>
      <c r="N11" s="336">
        <f>N7/N5</f>
        <v>0.55769230769230771</v>
      </c>
    </row>
    <row r="12" spans="1:15">
      <c r="B12" s="158">
        <v>1.2369230769230768</v>
      </c>
      <c r="C12" s="158">
        <v>0.84923076923076912</v>
      </c>
      <c r="D12" s="158">
        <v>1.0338461538461536</v>
      </c>
      <c r="E12" s="304">
        <v>1</v>
      </c>
      <c r="F12" s="302">
        <f t="shared" si="1"/>
        <v>0.80845771144278611</v>
      </c>
      <c r="G12" s="302">
        <f t="shared" si="2"/>
        <v>1.1775362318840581</v>
      </c>
      <c r="H12" s="302">
        <f t="shared" si="3"/>
        <v>0.96726190476190499</v>
      </c>
      <c r="J12" s="305">
        <f t="shared" si="4"/>
        <v>0.55769230769230771</v>
      </c>
    </row>
    <row r="13" spans="1:15">
      <c r="B13" s="158">
        <v>1.716923076923077</v>
      </c>
      <c r="C13" s="158">
        <v>1.1815384615384614</v>
      </c>
      <c r="D13" s="158">
        <v>1.4399999999999997</v>
      </c>
      <c r="E13" s="304">
        <v>1</v>
      </c>
      <c r="F13" s="302">
        <f t="shared" si="1"/>
        <v>0.58243727598566308</v>
      </c>
      <c r="G13" s="302">
        <f t="shared" si="2"/>
        <v>0.84635416666666674</v>
      </c>
      <c r="H13" s="302">
        <f t="shared" si="3"/>
        <v>0.69444444444444453</v>
      </c>
      <c r="J13" s="305">
        <f t="shared" si="4"/>
        <v>0.55769230769230771</v>
      </c>
    </row>
    <row r="14" spans="1:15">
      <c r="B14" s="158">
        <v>1.7723076923076921</v>
      </c>
      <c r="C14" s="158">
        <v>1.2369230769230766</v>
      </c>
      <c r="D14" s="158">
        <v>1.4953846153846151</v>
      </c>
      <c r="E14" s="304">
        <v>0.45</v>
      </c>
      <c r="F14" s="302">
        <f t="shared" si="1"/>
        <v>0.25390625000000006</v>
      </c>
      <c r="G14" s="302">
        <f t="shared" si="2"/>
        <v>0.36380597014925387</v>
      </c>
      <c r="H14" s="302">
        <f t="shared" si="3"/>
        <v>0.30092592592592599</v>
      </c>
      <c r="J14" s="305">
        <f t="shared" si="4"/>
        <v>0.25096153846153846</v>
      </c>
    </row>
    <row r="15" spans="1:15">
      <c r="B15" s="158">
        <v>1.1076923076923075</v>
      </c>
      <c r="C15" s="158">
        <v>0.57230769230769218</v>
      </c>
      <c r="D15" s="158">
        <v>0.8307692307692307</v>
      </c>
      <c r="E15" s="304">
        <v>0.5</v>
      </c>
      <c r="F15" s="302">
        <f t="shared" si="1"/>
        <v>0.45138888888888895</v>
      </c>
      <c r="G15" s="302">
        <f t="shared" si="2"/>
        <v>0.87365591397849485</v>
      </c>
      <c r="H15" s="302">
        <f t="shared" si="3"/>
        <v>0.60185185185185186</v>
      </c>
      <c r="J15" s="305">
        <f t="shared" si="4"/>
        <v>0.27884615384615385</v>
      </c>
    </row>
    <row r="16" spans="1:15">
      <c r="B16" s="158">
        <v>1.6615384615384614</v>
      </c>
      <c r="C16" s="158">
        <v>0.94153846153846144</v>
      </c>
      <c r="D16" s="158">
        <v>1.2923076923076922</v>
      </c>
      <c r="E16" s="304">
        <v>0.5</v>
      </c>
      <c r="F16" s="302">
        <f t="shared" si="1"/>
        <v>0.30092592592592593</v>
      </c>
      <c r="G16" s="302">
        <f t="shared" si="2"/>
        <v>0.53104575163398704</v>
      </c>
      <c r="H16" s="302">
        <f t="shared" si="3"/>
        <v>0.38690476190476197</v>
      </c>
      <c r="J16" s="305">
        <f t="shared" si="4"/>
        <v>0.27884615384615385</v>
      </c>
    </row>
    <row r="17" spans="1:10">
      <c r="B17" s="158">
        <v>0.55384615384615377</v>
      </c>
      <c r="C17" s="158">
        <v>0.20307692307692307</v>
      </c>
      <c r="D17" s="158">
        <v>0.3692307692307692</v>
      </c>
      <c r="E17" s="304">
        <v>0.2</v>
      </c>
      <c r="F17" s="302">
        <f t="shared" si="1"/>
        <v>0.36111111111111116</v>
      </c>
      <c r="G17" s="302">
        <f t="shared" si="2"/>
        <v>0.98484848484848497</v>
      </c>
      <c r="H17" s="302">
        <f t="shared" si="3"/>
        <v>0.54166666666666674</v>
      </c>
      <c r="J17" s="305">
        <f t="shared" si="4"/>
        <v>0.11153846153846154</v>
      </c>
    </row>
    <row r="18" spans="1:10">
      <c r="B18" s="158">
        <v>2.3076923076923075</v>
      </c>
      <c r="C18" s="158">
        <v>1.4030769230769229</v>
      </c>
      <c r="D18" s="158">
        <v>1.846153846153846</v>
      </c>
      <c r="E18" s="304">
        <v>0.6</v>
      </c>
      <c r="F18" s="302">
        <f t="shared" si="1"/>
        <v>0.26</v>
      </c>
      <c r="G18" s="302">
        <f t="shared" si="2"/>
        <v>0.42763157894736847</v>
      </c>
      <c r="H18" s="302">
        <f t="shared" si="3"/>
        <v>0.32500000000000001</v>
      </c>
      <c r="J18" s="305">
        <f t="shared" si="4"/>
        <v>0.33461538461538459</v>
      </c>
    </row>
    <row r="19" spans="1:10">
      <c r="B19" s="158">
        <v>2.5846153846153843</v>
      </c>
      <c r="C19" s="158">
        <v>1.8646153846153843</v>
      </c>
      <c r="D19" s="158">
        <v>2.2153846153846151</v>
      </c>
      <c r="E19" s="304">
        <v>1</v>
      </c>
      <c r="F19" s="302">
        <f t="shared" si="1"/>
        <v>0.38690476190476197</v>
      </c>
      <c r="G19" s="302">
        <f t="shared" si="2"/>
        <v>0.53630363036303641</v>
      </c>
      <c r="H19" s="302">
        <f t="shared" si="3"/>
        <v>0.45138888888888895</v>
      </c>
      <c r="J19" s="305">
        <f t="shared" si="4"/>
        <v>0.55769230769230771</v>
      </c>
    </row>
    <row r="20" spans="1:10">
      <c r="B20" s="158">
        <v>2.5846153846153843</v>
      </c>
      <c r="C20" s="158">
        <v>1.8646153846153843</v>
      </c>
      <c r="D20" s="158">
        <v>2.2153846153846151</v>
      </c>
      <c r="E20" s="304">
        <v>1</v>
      </c>
      <c r="F20" s="302">
        <f t="shared" si="1"/>
        <v>0.38690476190476197</v>
      </c>
      <c r="G20" s="302">
        <f t="shared" si="2"/>
        <v>0.53630363036303641</v>
      </c>
      <c r="H20" s="302">
        <f t="shared" si="3"/>
        <v>0.45138888888888895</v>
      </c>
      <c r="J20" s="305">
        <f t="shared" si="4"/>
        <v>0.55769230769230771</v>
      </c>
    </row>
    <row r="21" spans="1:10">
      <c r="B21" s="158">
        <v>1.6615384615384614</v>
      </c>
      <c r="C21" s="158">
        <v>0.94153846153846144</v>
      </c>
      <c r="D21" s="158">
        <v>1.2923076923076922</v>
      </c>
      <c r="E21" s="304">
        <v>0.45</v>
      </c>
      <c r="F21" s="302">
        <f t="shared" si="1"/>
        <v>0.27083333333333337</v>
      </c>
      <c r="G21" s="302">
        <f t="shared" si="2"/>
        <v>0.47794117647058831</v>
      </c>
      <c r="H21" s="302">
        <f t="shared" si="3"/>
        <v>0.34821428571428575</v>
      </c>
      <c r="J21" s="305">
        <f t="shared" si="4"/>
        <v>0.25096153846153846</v>
      </c>
    </row>
    <row r="22" spans="1:10">
      <c r="B22" s="158">
        <v>2.7692307692307692</v>
      </c>
      <c r="C22" s="158">
        <v>1.6984615384615382</v>
      </c>
      <c r="D22" s="158">
        <v>2.2153846153846151</v>
      </c>
      <c r="E22" s="304">
        <v>0.5</v>
      </c>
      <c r="F22" s="302">
        <f t="shared" si="1"/>
        <v>0.18055555555555555</v>
      </c>
      <c r="G22" s="302">
        <f t="shared" si="2"/>
        <v>0.29438405797101452</v>
      </c>
      <c r="H22" s="302">
        <f t="shared" si="3"/>
        <v>0.22569444444444448</v>
      </c>
      <c r="J22" s="305">
        <f t="shared" si="4"/>
        <v>0.27884615384615385</v>
      </c>
    </row>
    <row r="23" spans="1:10">
      <c r="B23" s="158">
        <v>2.3446153846153841</v>
      </c>
      <c r="C23" s="158">
        <v>1.44</v>
      </c>
      <c r="D23" s="158">
        <v>1.8830769230769229</v>
      </c>
      <c r="E23" s="304">
        <v>0.5</v>
      </c>
      <c r="F23" s="302">
        <f t="shared" si="1"/>
        <v>0.21325459317585307</v>
      </c>
      <c r="G23" s="302">
        <f t="shared" si="2"/>
        <v>0.34722222222222221</v>
      </c>
      <c r="H23" s="302">
        <f t="shared" si="3"/>
        <v>0.26552287581699352</v>
      </c>
      <c r="J23" s="305">
        <f t="shared" si="4"/>
        <v>0.27884615384615385</v>
      </c>
    </row>
    <row r="24" spans="1:10">
      <c r="B24" s="158">
        <v>1.569230769230769</v>
      </c>
      <c r="C24" s="158">
        <v>0.84923076923076912</v>
      </c>
      <c r="D24" s="158">
        <v>1.2</v>
      </c>
      <c r="E24" s="304">
        <v>0.45</v>
      </c>
      <c r="F24" s="302">
        <f t="shared" si="1"/>
        <v>0.28676470588235298</v>
      </c>
      <c r="G24" s="302">
        <f t="shared" si="2"/>
        <v>0.52989130434782616</v>
      </c>
      <c r="H24" s="302">
        <f t="shared" si="3"/>
        <v>0.375</v>
      </c>
      <c r="J24" s="305">
        <f t="shared" si="4"/>
        <v>0.25096153846153846</v>
      </c>
    </row>
    <row r="25" spans="1:10">
      <c r="B25" s="158">
        <v>1.569230769230769</v>
      </c>
      <c r="C25" s="158">
        <v>0.84923076923076912</v>
      </c>
      <c r="D25" s="158">
        <v>1.2</v>
      </c>
      <c r="E25" s="304">
        <v>0.45</v>
      </c>
      <c r="F25" s="302">
        <f t="shared" si="1"/>
        <v>0.28676470588235298</v>
      </c>
      <c r="G25" s="302">
        <f t="shared" si="2"/>
        <v>0.52989130434782616</v>
      </c>
      <c r="H25" s="302">
        <f t="shared" si="3"/>
        <v>0.375</v>
      </c>
      <c r="J25" s="305">
        <f t="shared" si="4"/>
        <v>0.25096153846153846</v>
      </c>
    </row>
    <row r="26" spans="1:10">
      <c r="C26" s="1"/>
      <c r="E26" s="305">
        <f>MEDIAN(E8:E25)</f>
        <v>0.5</v>
      </c>
      <c r="I26" s="305">
        <f>AVERAGE(F8:H25)</f>
        <v>0.51545891006802025</v>
      </c>
    </row>
    <row r="27" spans="1:10">
      <c r="A27" s="338" t="s">
        <v>908</v>
      </c>
      <c r="C27" s="1"/>
      <c r="E27" s="305">
        <f>AVERAGE(E8:E25)</f>
        <v>0.60833333333333317</v>
      </c>
      <c r="I27" s="305">
        <f>MEDIAN(F8:H25)</f>
        <v>0.43951023391812871</v>
      </c>
    </row>
    <row r="28" spans="1:10">
      <c r="A28" s="306"/>
      <c r="B28" s="307" t="s">
        <v>859</v>
      </c>
      <c r="C28" s="308"/>
      <c r="D28" s="309"/>
      <c r="E28" s="310"/>
    </row>
    <row r="29" spans="1:10">
      <c r="A29" s="306" t="s">
        <v>860</v>
      </c>
      <c r="B29" s="307" t="s">
        <v>861</v>
      </c>
      <c r="C29" s="311" t="s">
        <v>862</v>
      </c>
      <c r="D29" s="312" t="s">
        <v>863</v>
      </c>
      <c r="E29" s="313" t="s">
        <v>864</v>
      </c>
      <c r="F29" t="s">
        <v>865</v>
      </c>
    </row>
    <row r="30" spans="1:10">
      <c r="A30" s="340">
        <v>1</v>
      </c>
      <c r="B30" s="307">
        <v>689582</v>
      </c>
      <c r="C30" s="311">
        <v>77646</v>
      </c>
      <c r="D30" s="312">
        <v>41448.019999999997</v>
      </c>
      <c r="E30" s="313">
        <v>38483.29</v>
      </c>
      <c r="F30" s="6">
        <f>D30/B30</f>
        <v>6.0106006247262832E-2</v>
      </c>
    </row>
    <row r="31" spans="1:10">
      <c r="A31" s="341">
        <f>A30+1</f>
        <v>2</v>
      </c>
      <c r="B31" s="314">
        <v>2542543</v>
      </c>
      <c r="C31" s="315">
        <v>52540</v>
      </c>
      <c r="D31" s="316">
        <v>72435.22</v>
      </c>
      <c r="E31" s="317">
        <v>24551.82</v>
      </c>
      <c r="F31" s="6">
        <f t="shared" ref="F31:F46" si="5">D31/B31</f>
        <v>2.8489280220629503E-2</v>
      </c>
    </row>
    <row r="32" spans="1:10">
      <c r="A32" s="341">
        <f t="shared" ref="A32:A45" si="6">A31+1</f>
        <v>3</v>
      </c>
      <c r="B32" s="314">
        <v>708922</v>
      </c>
      <c r="C32" s="315">
        <v>23996</v>
      </c>
      <c r="D32" s="316">
        <v>33674.35</v>
      </c>
      <c r="E32" s="317">
        <v>17113.46</v>
      </c>
      <c r="F32" s="6">
        <f t="shared" si="5"/>
        <v>4.7500782878793432E-2</v>
      </c>
    </row>
    <row r="33" spans="1:6">
      <c r="A33" s="341">
        <f t="shared" si="6"/>
        <v>4</v>
      </c>
      <c r="B33" s="314">
        <v>681289</v>
      </c>
      <c r="C33" s="315">
        <v>0</v>
      </c>
      <c r="D33" s="316">
        <v>68007.649999999994</v>
      </c>
      <c r="E33" s="317">
        <v>513.83000000000004</v>
      </c>
      <c r="F33" s="6">
        <f t="shared" si="5"/>
        <v>9.98220285370819E-2</v>
      </c>
    </row>
    <row r="34" spans="1:6">
      <c r="A34" s="341">
        <f t="shared" si="6"/>
        <v>5</v>
      </c>
      <c r="B34" s="314">
        <v>2135966</v>
      </c>
      <c r="C34" s="315">
        <v>58902</v>
      </c>
      <c r="D34" s="316">
        <v>77838.320000000007</v>
      </c>
      <c r="E34" s="317">
        <v>18642.61</v>
      </c>
      <c r="F34" s="6">
        <f t="shared" si="5"/>
        <v>3.6441741113856688E-2</v>
      </c>
    </row>
    <row r="35" spans="1:6">
      <c r="A35" s="341">
        <f t="shared" si="6"/>
        <v>6</v>
      </c>
      <c r="B35" s="314">
        <v>796239</v>
      </c>
      <c r="C35" s="315">
        <v>0</v>
      </c>
      <c r="D35" s="316">
        <v>50051.58</v>
      </c>
      <c r="E35" s="317">
        <v>0</v>
      </c>
      <c r="F35" s="6">
        <f t="shared" si="5"/>
        <v>6.2859995554098713E-2</v>
      </c>
    </row>
    <row r="36" spans="1:6">
      <c r="A36" s="341">
        <f t="shared" si="6"/>
        <v>7</v>
      </c>
      <c r="B36" s="314">
        <v>666284</v>
      </c>
      <c r="C36" s="315">
        <v>33376</v>
      </c>
      <c r="D36" s="316">
        <v>38815.54</v>
      </c>
      <c r="E36" s="317">
        <v>17961.900000000001</v>
      </c>
      <c r="F36" s="6">
        <f t="shared" si="5"/>
        <v>5.8256749374140757E-2</v>
      </c>
    </row>
    <row r="37" spans="1:6">
      <c r="A37" s="341">
        <f t="shared" si="6"/>
        <v>8</v>
      </c>
      <c r="B37" s="314">
        <v>204234</v>
      </c>
      <c r="C37" s="315">
        <v>14580</v>
      </c>
      <c r="D37" s="316">
        <v>17770.190000000002</v>
      </c>
      <c r="E37" s="317">
        <v>19061.489999999998</v>
      </c>
      <c r="F37" s="6">
        <f t="shared" si="5"/>
        <v>8.7008970102921177E-2</v>
      </c>
    </row>
    <row r="38" spans="1:6">
      <c r="A38" s="341">
        <f t="shared" si="6"/>
        <v>9</v>
      </c>
      <c r="B38" s="314">
        <v>235734</v>
      </c>
      <c r="C38" s="315">
        <v>0</v>
      </c>
      <c r="D38" s="316">
        <v>31491.58</v>
      </c>
      <c r="E38" s="317">
        <v>0</v>
      </c>
      <c r="F38" s="6">
        <f t="shared" si="5"/>
        <v>0.13358946948679445</v>
      </c>
    </row>
    <row r="39" spans="1:6">
      <c r="A39" s="341">
        <f t="shared" si="6"/>
        <v>10</v>
      </c>
      <c r="B39" s="314">
        <v>2207190</v>
      </c>
      <c r="C39" s="315">
        <v>10511</v>
      </c>
      <c r="D39" s="316">
        <v>40130.699999999997</v>
      </c>
      <c r="E39" s="317">
        <v>2102.1999999999998</v>
      </c>
      <c r="F39" s="6">
        <f t="shared" si="5"/>
        <v>1.8181805825506638E-2</v>
      </c>
    </row>
    <row r="40" spans="1:6">
      <c r="A40" s="341">
        <f t="shared" si="6"/>
        <v>11</v>
      </c>
      <c r="B40" s="314">
        <v>2589157</v>
      </c>
      <c r="C40" s="315">
        <v>39507</v>
      </c>
      <c r="D40" s="316">
        <v>125638.06999999998</v>
      </c>
      <c r="E40" s="317">
        <v>26049.9</v>
      </c>
      <c r="F40" s="6">
        <f t="shared" si="5"/>
        <v>4.8524701283081707E-2</v>
      </c>
    </row>
    <row r="41" spans="1:6">
      <c r="A41" s="341">
        <f t="shared" si="6"/>
        <v>12</v>
      </c>
      <c r="B41" s="314">
        <v>1168917</v>
      </c>
      <c r="C41" s="315">
        <v>13007</v>
      </c>
      <c r="D41" s="316">
        <v>78208.62</v>
      </c>
      <c r="E41" s="317">
        <v>8692.8000000000011</v>
      </c>
      <c r="F41" s="6">
        <f t="shared" si="5"/>
        <v>6.6906906136192726E-2</v>
      </c>
    </row>
    <row r="42" spans="1:6">
      <c r="A42" s="341">
        <f t="shared" si="6"/>
        <v>13</v>
      </c>
      <c r="B42" s="314">
        <v>496473</v>
      </c>
      <c r="C42" s="315">
        <v>41448</v>
      </c>
      <c r="D42" s="316">
        <v>43929.62</v>
      </c>
      <c r="E42" s="317">
        <v>30741.769999999997</v>
      </c>
      <c r="F42" s="6">
        <f t="shared" si="5"/>
        <v>8.8483401917123394E-2</v>
      </c>
    </row>
    <row r="43" spans="1:6">
      <c r="A43" s="341">
        <f t="shared" si="6"/>
        <v>14</v>
      </c>
      <c r="B43" s="314">
        <v>158824</v>
      </c>
      <c r="C43" s="315">
        <v>51929</v>
      </c>
      <c r="D43" s="316">
        <v>13821.65</v>
      </c>
      <c r="E43" s="317">
        <v>94648.29</v>
      </c>
      <c r="F43" s="6">
        <f t="shared" si="5"/>
        <v>8.7024945852012286E-2</v>
      </c>
    </row>
    <row r="44" spans="1:6">
      <c r="A44" s="341">
        <f t="shared" si="6"/>
        <v>15</v>
      </c>
      <c r="B44" s="314">
        <v>238091</v>
      </c>
      <c r="C44" s="315">
        <v>82051</v>
      </c>
      <c r="D44" s="316">
        <v>27102.68</v>
      </c>
      <c r="E44" s="317">
        <v>31262.44</v>
      </c>
      <c r="F44" s="6">
        <f t="shared" si="5"/>
        <v>0.11383328223242374</v>
      </c>
    </row>
    <row r="45" spans="1:6">
      <c r="A45" s="341">
        <f t="shared" si="6"/>
        <v>16</v>
      </c>
      <c r="B45" s="314">
        <v>273169</v>
      </c>
      <c r="C45" s="315">
        <v>118</v>
      </c>
      <c r="D45" s="316">
        <v>19280.169999999998</v>
      </c>
      <c r="E45" s="317">
        <v>5356.83</v>
      </c>
      <c r="F45" s="6">
        <f t="shared" si="5"/>
        <v>7.0579641174511015E-2</v>
      </c>
    </row>
    <row r="46" spans="1:6">
      <c r="A46" s="318" t="s">
        <v>28</v>
      </c>
      <c r="B46" s="319">
        <v>15792614</v>
      </c>
      <c r="C46" s="320">
        <v>499611</v>
      </c>
      <c r="D46" s="321">
        <v>779643.96000000008</v>
      </c>
      <c r="E46" s="322">
        <v>335182.63</v>
      </c>
      <c r="F46" s="6">
        <f t="shared" si="5"/>
        <v>4.9367632236183324E-2</v>
      </c>
    </row>
    <row r="47" spans="1:6">
      <c r="F47" s="305">
        <f>MEDIAN(F30:F45)</f>
        <v>6.4883450845145713E-2</v>
      </c>
    </row>
    <row r="49" spans="1:5">
      <c r="A49" s="339" t="s">
        <v>907</v>
      </c>
      <c r="B49" s="339"/>
    </row>
    <row r="50" spans="1:5" ht="16.5">
      <c r="A50" s="323" t="s">
        <v>866</v>
      </c>
    </row>
    <row r="51" spans="1:5" ht="15">
      <c r="A51" s="324" t="s">
        <v>867</v>
      </c>
    </row>
    <row r="52" spans="1:5" ht="13.5" thickBot="1">
      <c r="A52" s="325" t="s">
        <v>868</v>
      </c>
    </row>
    <row r="53" spans="1:5" ht="32.25" thickBot="1">
      <c r="A53" s="326" t="s">
        <v>224</v>
      </c>
      <c r="B53" s="327" t="s">
        <v>869</v>
      </c>
      <c r="C53" t="s">
        <v>889</v>
      </c>
      <c r="D53" t="s">
        <v>444</v>
      </c>
      <c r="E53" t="s">
        <v>884</v>
      </c>
    </row>
    <row r="54" spans="1:5" ht="30">
      <c r="A54" s="328" t="s">
        <v>870</v>
      </c>
      <c r="B54" s="331" t="s">
        <v>871</v>
      </c>
      <c r="C54">
        <v>0.13</v>
      </c>
      <c r="D54">
        <v>0.45</v>
      </c>
      <c r="E54">
        <f>AVERAGE(C54:D54)</f>
        <v>0.29000000000000004</v>
      </c>
    </row>
    <row r="55" spans="1:5" ht="30">
      <c r="A55" s="328" t="s">
        <v>872</v>
      </c>
      <c r="B55" s="328" t="s">
        <v>873</v>
      </c>
    </row>
    <row r="56" spans="1:5" ht="30">
      <c r="A56" s="328" t="s">
        <v>874</v>
      </c>
      <c r="B56" s="328" t="s">
        <v>875</v>
      </c>
    </row>
    <row r="57" spans="1:5" ht="30">
      <c r="A57" s="328" t="s">
        <v>876</v>
      </c>
      <c r="B57" s="329">
        <v>0.69</v>
      </c>
    </row>
    <row r="58" spans="1:5" ht="15">
      <c r="A58" s="328" t="s">
        <v>877</v>
      </c>
      <c r="B58" s="329">
        <v>0.27</v>
      </c>
    </row>
    <row r="59" spans="1:5" ht="30">
      <c r="A59" s="328" t="s">
        <v>878</v>
      </c>
      <c r="B59" s="329">
        <v>0.04</v>
      </c>
    </row>
    <row r="60" spans="1:5" ht="30.75" thickBot="1">
      <c r="A60" s="330" t="s">
        <v>879</v>
      </c>
      <c r="B60" s="330" t="s">
        <v>880</v>
      </c>
    </row>
    <row r="61" spans="1:5" ht="15">
      <c r="A61" s="324"/>
    </row>
    <row r="62" spans="1:5" ht="15">
      <c r="A62" s="324" t="s">
        <v>875</v>
      </c>
    </row>
  </sheetData>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sheetPr codeName="Sheet8"/>
  <dimension ref="A2:T130"/>
  <sheetViews>
    <sheetView topLeftCell="A97" workbookViewId="0">
      <selection activeCell="C112" sqref="C112"/>
    </sheetView>
  </sheetViews>
  <sheetFormatPr defaultRowHeight="12.75"/>
  <cols>
    <col min="1" max="1" width="21.140625" customWidth="1"/>
    <col min="2" max="2" width="13.85546875" customWidth="1"/>
    <col min="3" max="3" width="15" customWidth="1"/>
    <col min="4" max="4" width="13.7109375" customWidth="1"/>
    <col min="5" max="5" width="13.140625" customWidth="1"/>
    <col min="6" max="6" width="13.28515625" customWidth="1"/>
    <col min="7" max="7" width="13.7109375" customWidth="1"/>
    <col min="8" max="8" width="12.28515625" customWidth="1"/>
    <col min="9" max="9" width="18" customWidth="1"/>
    <col min="10" max="10" width="15.140625" customWidth="1"/>
    <col min="11" max="11" width="20.7109375" customWidth="1"/>
    <col min="12" max="12" width="16.140625" customWidth="1"/>
    <col min="13" max="13" width="13.7109375" customWidth="1"/>
    <col min="14" max="14" width="14" customWidth="1"/>
    <col min="15" max="15" width="13.7109375" customWidth="1"/>
    <col min="16" max="16" width="19.85546875" style="2" customWidth="1"/>
    <col min="17" max="17" width="16" customWidth="1"/>
    <col min="18" max="20" width="16.5703125" bestFit="1" customWidth="1"/>
  </cols>
  <sheetData>
    <row r="2" spans="1:19">
      <c r="A2" s="342" t="s">
        <v>910</v>
      </c>
      <c r="B2" s="343"/>
      <c r="C2" s="343"/>
      <c r="D2" s="343"/>
    </row>
    <row r="3" spans="1:19">
      <c r="A3" t="s">
        <v>448</v>
      </c>
      <c r="B3" t="s">
        <v>227</v>
      </c>
    </row>
    <row r="4" spans="1:19" s="3" customFormat="1">
      <c r="A4" t="s">
        <v>449</v>
      </c>
      <c r="B4" t="s">
        <v>227</v>
      </c>
      <c r="C4"/>
      <c r="D4"/>
      <c r="E4"/>
      <c r="F4"/>
      <c r="G4"/>
      <c r="H4"/>
      <c r="I4"/>
      <c r="J4"/>
      <c r="K4"/>
      <c r="L4"/>
      <c r="M4"/>
      <c r="N4"/>
      <c r="O4"/>
      <c r="P4" s="2"/>
    </row>
    <row r="5" spans="1:19">
      <c r="A5" t="s">
        <v>450</v>
      </c>
      <c r="B5" t="s">
        <v>227</v>
      </c>
    </row>
    <row r="6" spans="1:19">
      <c r="A6" t="s">
        <v>451</v>
      </c>
      <c r="B6" t="s">
        <v>227</v>
      </c>
    </row>
    <row r="8" spans="1:19" ht="38.25">
      <c r="A8" t="s">
        <v>452</v>
      </c>
      <c r="B8" t="s">
        <v>453</v>
      </c>
      <c r="R8" s="332" t="s">
        <v>904</v>
      </c>
    </row>
    <row r="9" spans="1:19" s="103" customFormat="1" ht="38.25">
      <c r="A9" s="103" t="s">
        <v>454</v>
      </c>
      <c r="B9" s="103" t="s">
        <v>455</v>
      </c>
      <c r="C9" s="103" t="s">
        <v>456</v>
      </c>
      <c r="D9" s="103" t="s">
        <v>457</v>
      </c>
      <c r="E9" s="103" t="s">
        <v>458</v>
      </c>
      <c r="F9" s="103" t="s">
        <v>459</v>
      </c>
      <c r="G9" s="103" t="s">
        <v>460</v>
      </c>
      <c r="H9" s="103" t="s">
        <v>461</v>
      </c>
      <c r="I9" s="103" t="s">
        <v>462</v>
      </c>
      <c r="J9" s="103" t="s">
        <v>463</v>
      </c>
      <c r="K9" s="103" t="s">
        <v>464</v>
      </c>
      <c r="L9" s="103" t="s">
        <v>465</v>
      </c>
      <c r="M9" s="103" t="s">
        <v>28</v>
      </c>
      <c r="O9" s="103" t="s">
        <v>466</v>
      </c>
      <c r="P9" s="392" t="s">
        <v>468</v>
      </c>
      <c r="Q9" s="103" t="s">
        <v>462</v>
      </c>
      <c r="R9" s="276" t="s">
        <v>830</v>
      </c>
    </row>
    <row r="10" spans="1:19">
      <c r="A10" t="s">
        <v>3</v>
      </c>
      <c r="B10" s="202">
        <v>22971944.552047111</v>
      </c>
      <c r="C10" s="202">
        <v>110296.32264139135</v>
      </c>
      <c r="D10" s="202">
        <v>1609022.1431874938</v>
      </c>
      <c r="E10" s="202"/>
      <c r="F10" s="202">
        <v>46828389.095345192</v>
      </c>
      <c r="G10" s="202">
        <v>1939668.3953124494</v>
      </c>
      <c r="H10" s="202">
        <v>3353745.306331676</v>
      </c>
      <c r="I10" s="202">
        <v>255153180.09374392</v>
      </c>
      <c r="J10" s="202">
        <v>10647216.616551032</v>
      </c>
      <c r="K10" s="202">
        <v>8729987.7034770604</v>
      </c>
      <c r="L10" s="202">
        <v>8322.6732081259343</v>
      </c>
      <c r="M10" s="202">
        <v>351351772.90184546</v>
      </c>
      <c r="O10" s="202">
        <f>IFERROR(VLOOKUP(A10,$A$29:$F$36,6,FALSE),0)</f>
        <v>48878353.813299038</v>
      </c>
      <c r="P10" s="393">
        <f>O10/M10</f>
        <v>0.13911514778937467</v>
      </c>
      <c r="Q10" s="10">
        <f>I10/M10</f>
        <v>0.7262043335840066</v>
      </c>
      <c r="R10" s="277">
        <f>(M10-I10)/M10</f>
        <v>0.27379566641599334</v>
      </c>
      <c r="S10" s="9"/>
    </row>
    <row r="11" spans="1:19">
      <c r="A11" t="s">
        <v>4</v>
      </c>
      <c r="B11" s="202">
        <v>810727.29131027998</v>
      </c>
      <c r="C11" s="202"/>
      <c r="D11" s="202">
        <v>4082000.653044221</v>
      </c>
      <c r="E11" s="202"/>
      <c r="F11" s="202"/>
      <c r="G11" s="202"/>
      <c r="H11" s="202">
        <v>111367.50517278022</v>
      </c>
      <c r="I11" s="202">
        <v>56843601.82502117</v>
      </c>
      <c r="J11" s="202">
        <v>9487574.905404171</v>
      </c>
      <c r="K11" s="202">
        <v>307150.57181928755</v>
      </c>
      <c r="L11" s="202"/>
      <c r="M11" s="202">
        <v>71642422.751771912</v>
      </c>
      <c r="O11" s="202">
        <f t="shared" ref="O11:O20" si="0">IFERROR(VLOOKUP(A11,$A$29:$F$36,6,FALSE),0)</f>
        <v>0</v>
      </c>
      <c r="P11" s="393">
        <f t="shared" ref="P11:P20" si="1">O11/M11</f>
        <v>0</v>
      </c>
      <c r="Q11" s="10">
        <f t="shared" ref="Q11:Q20" si="2">I11/M11</f>
        <v>0.79343494596733577</v>
      </c>
      <c r="R11" s="277">
        <f t="shared" ref="R11:R20" si="3">(M11-I11)/M11</f>
        <v>0.20656505403266429</v>
      </c>
      <c r="S11" s="9"/>
    </row>
    <row r="12" spans="1:19">
      <c r="A12" t="s">
        <v>5</v>
      </c>
      <c r="B12" s="202">
        <v>13879312.808266439</v>
      </c>
      <c r="C12" s="202">
        <v>1839209.8812445491</v>
      </c>
      <c r="D12" s="202">
        <v>2481450.962991273</v>
      </c>
      <c r="E12" s="202"/>
      <c r="F12" s="202">
        <v>4710251.9135832749</v>
      </c>
      <c r="G12" s="202">
        <v>2579402.8017257601</v>
      </c>
      <c r="H12" s="202">
        <v>2970958.6302826302</v>
      </c>
      <c r="I12" s="202">
        <v>50545012.040098809</v>
      </c>
      <c r="J12" s="202">
        <v>80248763.106937557</v>
      </c>
      <c r="K12" s="202">
        <v>1114460.3856254756</v>
      </c>
      <c r="L12" s="202"/>
      <c r="M12" s="202">
        <v>160368822.53075576</v>
      </c>
      <c r="O12" s="202">
        <f t="shared" si="0"/>
        <v>9128864.5965535846</v>
      </c>
      <c r="P12" s="393">
        <f t="shared" si="1"/>
        <v>5.6924185465057203E-2</v>
      </c>
      <c r="Q12" s="10">
        <f t="shared" si="2"/>
        <v>0.31517979144858543</v>
      </c>
      <c r="R12" s="277">
        <f t="shared" si="3"/>
        <v>0.68482020855141457</v>
      </c>
      <c r="S12" s="9"/>
    </row>
    <row r="13" spans="1:19">
      <c r="A13" t="s">
        <v>6</v>
      </c>
      <c r="B13" s="202">
        <v>21238526.671064898</v>
      </c>
      <c r="C13" s="202">
        <v>4054634.8373811017</v>
      </c>
      <c r="D13" s="202">
        <v>2716222.963188536</v>
      </c>
      <c r="E13" s="202">
        <v>21643220.531523947</v>
      </c>
      <c r="F13" s="202">
        <v>138999592.43400651</v>
      </c>
      <c r="G13" s="202"/>
      <c r="H13" s="202">
        <v>4496283.9389876369</v>
      </c>
      <c r="I13" s="202">
        <v>401438366.24335283</v>
      </c>
      <c r="J13" s="202">
        <v>27714804.775570083</v>
      </c>
      <c r="K13" s="202">
        <v>23409578.115755793</v>
      </c>
      <c r="L13" s="202"/>
      <c r="M13" s="202">
        <v>645711230.51083124</v>
      </c>
      <c r="O13" s="202">
        <f t="shared" si="0"/>
        <v>164697447.80291158</v>
      </c>
      <c r="P13" s="393">
        <f t="shared" si="1"/>
        <v>0.25506362599984067</v>
      </c>
      <c r="Q13" s="10">
        <f t="shared" si="2"/>
        <v>0.62169952646753457</v>
      </c>
      <c r="R13" s="277">
        <f t="shared" si="3"/>
        <v>0.37830047353246543</v>
      </c>
      <c r="S13" s="9"/>
    </row>
    <row r="14" spans="1:19">
      <c r="A14" t="s">
        <v>11</v>
      </c>
      <c r="B14" s="202">
        <v>9183281.1046316847</v>
      </c>
      <c r="C14" s="202"/>
      <c r="D14" s="202">
        <v>3462429.3937929114</v>
      </c>
      <c r="E14" s="202"/>
      <c r="F14" s="202">
        <v>42979952.565021843</v>
      </c>
      <c r="G14" s="202">
        <v>4127993.2604893385</v>
      </c>
      <c r="H14" s="202">
        <v>15402687.502107717</v>
      </c>
      <c r="I14" s="202">
        <v>151837504.66207132</v>
      </c>
      <c r="J14" s="202">
        <v>48877202.372227401</v>
      </c>
      <c r="K14" s="202">
        <v>5936919.2702101506</v>
      </c>
      <c r="L14" s="202"/>
      <c r="M14" s="202">
        <v>281807970.13055235</v>
      </c>
      <c r="O14" s="202">
        <f t="shared" si="0"/>
        <v>47107945.82551118</v>
      </c>
      <c r="P14" s="393">
        <f t="shared" si="1"/>
        <v>0.16716328428783481</v>
      </c>
      <c r="Q14" s="10">
        <f t="shared" si="2"/>
        <v>0.53879776569743576</v>
      </c>
      <c r="R14" s="277">
        <f t="shared" si="3"/>
        <v>0.46120223430256424</v>
      </c>
      <c r="S14" s="9"/>
    </row>
    <row r="15" spans="1:19">
      <c r="A15" t="s">
        <v>7</v>
      </c>
      <c r="B15" s="202">
        <v>16644374.285509702</v>
      </c>
      <c r="C15" s="202"/>
      <c r="D15" s="202">
        <v>1326200.3739300761</v>
      </c>
      <c r="E15" s="202"/>
      <c r="F15" s="202">
        <v>3376953.3324114261</v>
      </c>
      <c r="G15" s="202"/>
      <c r="H15" s="202">
        <v>2310781.1781345834</v>
      </c>
      <c r="I15" s="202">
        <v>56863387.289213091</v>
      </c>
      <c r="J15" s="202">
        <v>34224603.09765403</v>
      </c>
      <c r="K15" s="202">
        <v>4377423.024452202</v>
      </c>
      <c r="L15" s="202"/>
      <c r="M15" s="202">
        <v>119123722.58130512</v>
      </c>
      <c r="O15" s="202">
        <f t="shared" si="0"/>
        <v>3376953.3324114266</v>
      </c>
      <c r="P15" s="393">
        <f t="shared" si="1"/>
        <v>2.8348285792584815E-2</v>
      </c>
      <c r="Q15" s="10">
        <f t="shared" si="2"/>
        <v>0.47734729957252903</v>
      </c>
      <c r="R15" s="277">
        <f t="shared" si="3"/>
        <v>0.52265270042747103</v>
      </c>
      <c r="S15" s="9"/>
    </row>
    <row r="16" spans="1:19">
      <c r="A16" t="s">
        <v>161</v>
      </c>
      <c r="B16" s="202">
        <v>86725.757295071729</v>
      </c>
      <c r="C16" s="202"/>
      <c r="D16" s="202">
        <v>1142611.3328329877</v>
      </c>
      <c r="E16" s="202"/>
      <c r="F16" s="202"/>
      <c r="G16" s="202"/>
      <c r="H16" s="202"/>
      <c r="I16" s="202">
        <v>45721618.805934392</v>
      </c>
      <c r="J16" s="202">
        <v>1617263.8577282184</v>
      </c>
      <c r="K16" s="202"/>
      <c r="L16" s="202"/>
      <c r="M16" s="202">
        <v>48568219.753790669</v>
      </c>
      <c r="O16" s="202">
        <f t="shared" si="0"/>
        <v>0</v>
      </c>
      <c r="P16" s="393">
        <f t="shared" si="1"/>
        <v>0</v>
      </c>
      <c r="Q16" s="10">
        <f t="shared" si="2"/>
        <v>0.94138963786841079</v>
      </c>
      <c r="R16" s="277">
        <f t="shared" si="3"/>
        <v>5.8610362131589246E-2</v>
      </c>
      <c r="S16" s="9"/>
    </row>
    <row r="17" spans="1:20">
      <c r="A17" t="s">
        <v>467</v>
      </c>
      <c r="B17" s="202">
        <v>7327146.6901438311</v>
      </c>
      <c r="C17" s="202"/>
      <c r="D17" s="202">
        <v>2369059.3651387319</v>
      </c>
      <c r="E17" s="202"/>
      <c r="F17" s="202">
        <v>3427772.9848457826</v>
      </c>
      <c r="G17" s="202">
        <v>6421010.8570707282</v>
      </c>
      <c r="H17" s="202">
        <v>10938155.983226541</v>
      </c>
      <c r="I17" s="202">
        <v>386316240.99903518</v>
      </c>
      <c r="J17" s="202">
        <v>85786869.014098316</v>
      </c>
      <c r="K17" s="202">
        <v>14634957.731882252</v>
      </c>
      <c r="L17" s="202"/>
      <c r="M17" s="202">
        <v>517221213.62544137</v>
      </c>
      <c r="O17" s="202">
        <f t="shared" si="0"/>
        <v>9848783.8419165108</v>
      </c>
      <c r="P17" s="393">
        <f t="shared" si="1"/>
        <v>1.9041724473909054E-2</v>
      </c>
      <c r="Q17" s="10">
        <f t="shared" si="2"/>
        <v>0.7469071855950512</v>
      </c>
      <c r="R17" s="277">
        <f t="shared" si="3"/>
        <v>0.2530928144049488</v>
      </c>
      <c r="S17" s="9"/>
    </row>
    <row r="18" spans="1:20">
      <c r="A18" t="s">
        <v>171</v>
      </c>
      <c r="B18" s="202">
        <v>18295150.397749342</v>
      </c>
      <c r="C18" s="202">
        <v>12265167.875097359</v>
      </c>
      <c r="D18" s="202">
        <v>636451.60125095316</v>
      </c>
      <c r="E18" s="202"/>
      <c r="F18" s="202">
        <v>21508206.107707322</v>
      </c>
      <c r="G18" s="202">
        <v>17721004.344536625</v>
      </c>
      <c r="H18" s="202">
        <v>1828679.2081592453</v>
      </c>
      <c r="I18" s="202">
        <v>131215315.17522314</v>
      </c>
      <c r="J18" s="202">
        <v>18327903.225072831</v>
      </c>
      <c r="K18" s="202">
        <v>18916928.727118343</v>
      </c>
      <c r="L18" s="202"/>
      <c r="M18" s="202">
        <v>240714806.66191515</v>
      </c>
      <c r="O18" s="202">
        <f t="shared" si="0"/>
        <v>51494378.327341296</v>
      </c>
      <c r="P18" s="393">
        <f t="shared" si="1"/>
        <v>0.21392277044122734</v>
      </c>
      <c r="Q18" s="10">
        <f t="shared" si="2"/>
        <v>0.54510695455271907</v>
      </c>
      <c r="R18" s="277">
        <f t="shared" si="3"/>
        <v>0.45489304544728093</v>
      </c>
      <c r="S18" s="9"/>
    </row>
    <row r="19" spans="1:20">
      <c r="A19" t="s">
        <v>10</v>
      </c>
      <c r="B19" s="202">
        <v>974433.4019859822</v>
      </c>
      <c r="C19" s="202"/>
      <c r="D19" s="202">
        <v>19638934.075334746</v>
      </c>
      <c r="E19" s="202"/>
      <c r="F19" s="202"/>
      <c r="G19" s="202"/>
      <c r="H19" s="202">
        <v>23392071.326201007</v>
      </c>
      <c r="I19" s="202">
        <v>65114466.818871178</v>
      </c>
      <c r="J19" s="202">
        <v>89419148.798726708</v>
      </c>
      <c r="K19" s="202">
        <v>7289595.4780433467</v>
      </c>
      <c r="L19" s="202"/>
      <c r="M19" s="202">
        <v>205828649.89916298</v>
      </c>
      <c r="O19" s="202">
        <f t="shared" si="0"/>
        <v>0</v>
      </c>
      <c r="P19" s="393">
        <f t="shared" si="1"/>
        <v>0</v>
      </c>
      <c r="Q19" s="10">
        <f t="shared" si="2"/>
        <v>0.31635278592543481</v>
      </c>
      <c r="R19" s="277">
        <f t="shared" si="3"/>
        <v>0.68364721407456519</v>
      </c>
      <c r="S19" s="9"/>
    </row>
    <row r="20" spans="1:20">
      <c r="A20" t="s">
        <v>28</v>
      </c>
      <c r="B20" s="202">
        <v>111411622.96000434</v>
      </c>
      <c r="C20" s="202">
        <v>18269308.916364402</v>
      </c>
      <c r="D20" s="202">
        <v>39464382.864691928</v>
      </c>
      <c r="E20" s="202">
        <v>21643220.531523947</v>
      </c>
      <c r="F20" s="202">
        <v>261831118.43292138</v>
      </c>
      <c r="G20" s="202">
        <v>32789079.659134902</v>
      </c>
      <c r="H20" s="202">
        <v>64804730.578603812</v>
      </c>
      <c r="I20" s="202">
        <v>1601048693.952565</v>
      </c>
      <c r="J20" s="202">
        <v>406351349.7699703</v>
      </c>
      <c r="K20" s="202">
        <v>84717001.008383915</v>
      </c>
      <c r="L20" s="202">
        <v>8322.6732081259343</v>
      </c>
      <c r="M20" s="202">
        <v>2642338831.3473716</v>
      </c>
      <c r="O20" s="202">
        <f t="shared" si="0"/>
        <v>0</v>
      </c>
      <c r="P20" s="393">
        <f t="shared" si="1"/>
        <v>0</v>
      </c>
      <c r="Q20" s="10">
        <f t="shared" si="2"/>
        <v>0.60592104046556516</v>
      </c>
      <c r="R20" s="277">
        <f t="shared" si="3"/>
        <v>0.39407895953443484</v>
      </c>
      <c r="S20" s="9"/>
    </row>
    <row r="22" spans="1:20">
      <c r="Q22" s="5"/>
      <c r="R22" s="5"/>
      <c r="S22" s="5"/>
      <c r="T22" s="5"/>
    </row>
    <row r="23" spans="1:20">
      <c r="A23" s="5" t="s">
        <v>448</v>
      </c>
      <c r="B23" s="5" t="s">
        <v>227</v>
      </c>
      <c r="C23" s="5"/>
      <c r="D23" s="5"/>
      <c r="E23" s="5"/>
      <c r="F23" s="5"/>
      <c r="Q23" s="104"/>
      <c r="R23" s="104"/>
      <c r="S23" s="104"/>
      <c r="T23" s="104"/>
    </row>
    <row r="24" spans="1:20">
      <c r="A24" s="5" t="s">
        <v>449</v>
      </c>
      <c r="B24" s="5" t="s">
        <v>227</v>
      </c>
      <c r="C24" s="5"/>
      <c r="D24" s="5"/>
      <c r="E24" s="5"/>
      <c r="F24" s="5"/>
      <c r="Q24" s="5"/>
      <c r="R24" s="5"/>
      <c r="S24" s="5"/>
      <c r="T24" s="5"/>
    </row>
    <row r="25" spans="1:20">
      <c r="A25" s="5" t="s">
        <v>450</v>
      </c>
      <c r="B25" s="5" t="s">
        <v>227</v>
      </c>
      <c r="C25" s="5"/>
      <c r="D25" s="5"/>
      <c r="E25" s="5"/>
      <c r="F25" s="5"/>
      <c r="Q25" s="5"/>
      <c r="R25" s="5"/>
      <c r="S25" s="5"/>
      <c r="T25" s="5"/>
    </row>
    <row r="26" spans="1:20">
      <c r="A26" s="5" t="s">
        <v>451</v>
      </c>
      <c r="B26" s="5" t="s">
        <v>227</v>
      </c>
      <c r="C26" s="5"/>
      <c r="D26" s="5"/>
      <c r="E26" s="5"/>
      <c r="F26" s="5"/>
      <c r="Q26" s="5"/>
      <c r="R26" s="5"/>
      <c r="S26" s="5"/>
      <c r="T26" s="5"/>
    </row>
    <row r="27" spans="1:20">
      <c r="A27" s="5"/>
      <c r="B27" s="5"/>
      <c r="C27" s="5"/>
      <c r="D27" s="5"/>
      <c r="E27" s="5"/>
      <c r="F27" s="5"/>
      <c r="Q27" s="5"/>
      <c r="R27" s="5"/>
      <c r="S27" s="5"/>
      <c r="T27" s="5"/>
    </row>
    <row r="28" spans="1:20">
      <c r="A28" s="5" t="s">
        <v>452</v>
      </c>
      <c r="B28" s="5" t="s">
        <v>453</v>
      </c>
      <c r="C28" s="5"/>
      <c r="D28" s="5"/>
      <c r="E28" s="5"/>
      <c r="F28" s="5"/>
      <c r="Q28" s="5"/>
      <c r="R28" s="5"/>
      <c r="S28" s="5"/>
      <c r="T28" s="5"/>
    </row>
    <row r="29" spans="1:20">
      <c r="A29" s="5" t="s">
        <v>454</v>
      </c>
      <c r="B29" s="5" t="s">
        <v>456</v>
      </c>
      <c r="C29" s="5" t="s">
        <v>458</v>
      </c>
      <c r="D29" s="5" t="s">
        <v>459</v>
      </c>
      <c r="E29" s="5" t="s">
        <v>460</v>
      </c>
      <c r="F29" s="5" t="s">
        <v>28</v>
      </c>
      <c r="Q29" s="5"/>
      <c r="R29" s="5"/>
      <c r="S29" s="5"/>
      <c r="T29" s="5"/>
    </row>
    <row r="30" spans="1:20">
      <c r="A30" s="5" t="s">
        <v>3</v>
      </c>
      <c r="B30" s="5">
        <v>110296.32264139135</v>
      </c>
      <c r="C30" s="5"/>
      <c r="D30" s="5">
        <v>46828389.095345192</v>
      </c>
      <c r="E30" s="5">
        <v>1939668.3953124494</v>
      </c>
      <c r="F30" s="5">
        <v>48878353.813299038</v>
      </c>
      <c r="Q30" s="5"/>
      <c r="R30" s="5"/>
      <c r="S30" s="5"/>
      <c r="T30" s="5"/>
    </row>
    <row r="31" spans="1:20">
      <c r="A31" s="5" t="s">
        <v>5</v>
      </c>
      <c r="B31" s="5">
        <v>1839209.8812445491</v>
      </c>
      <c r="C31" s="5"/>
      <c r="D31" s="5">
        <v>4710251.9135832749</v>
      </c>
      <c r="E31" s="5">
        <v>2579402.8017257601</v>
      </c>
      <c r="F31" s="5">
        <v>9128864.5965535846</v>
      </c>
      <c r="Q31" s="5"/>
      <c r="R31" s="5"/>
      <c r="S31" s="5"/>
      <c r="T31" s="5"/>
    </row>
    <row r="32" spans="1:20">
      <c r="A32" s="5" t="s">
        <v>6</v>
      </c>
      <c r="B32" s="5">
        <v>4054634.8373811017</v>
      </c>
      <c r="C32" s="5">
        <v>21643220.531523947</v>
      </c>
      <c r="D32" s="5">
        <v>138999592.43400654</v>
      </c>
      <c r="E32" s="5"/>
      <c r="F32" s="5">
        <v>164697447.80291158</v>
      </c>
      <c r="Q32" s="5"/>
      <c r="R32" s="5"/>
      <c r="S32" s="5"/>
      <c r="T32" s="5"/>
    </row>
    <row r="33" spans="1:20">
      <c r="A33" s="5" t="s">
        <v>11</v>
      </c>
      <c r="B33" s="5"/>
      <c r="C33" s="5"/>
      <c r="D33" s="5">
        <v>42979952.565021843</v>
      </c>
      <c r="E33" s="5">
        <v>4127993.2604893385</v>
      </c>
      <c r="F33" s="5">
        <v>47107945.82551118</v>
      </c>
      <c r="Q33" s="5"/>
      <c r="R33" s="5"/>
      <c r="S33" s="5"/>
      <c r="T33" s="5"/>
    </row>
    <row r="34" spans="1:20">
      <c r="A34" s="5" t="s">
        <v>7</v>
      </c>
      <c r="B34" s="5"/>
      <c r="C34" s="5"/>
      <c r="D34" s="5">
        <v>3376953.3324114266</v>
      </c>
      <c r="E34" s="5"/>
      <c r="F34" s="5">
        <v>3376953.3324114266</v>
      </c>
      <c r="Q34" s="5"/>
      <c r="R34" s="5"/>
      <c r="S34" s="5"/>
      <c r="T34" s="5"/>
    </row>
    <row r="35" spans="1:20">
      <c r="A35" s="5" t="s">
        <v>467</v>
      </c>
      <c r="B35" s="5"/>
      <c r="C35" s="5"/>
      <c r="D35" s="5">
        <v>3427772.9848457826</v>
      </c>
      <c r="E35" s="5">
        <v>6421010.8570707282</v>
      </c>
      <c r="F35" s="5">
        <v>9848783.8419165108</v>
      </c>
    </row>
    <row r="36" spans="1:20">
      <c r="A36" s="5" t="s">
        <v>171</v>
      </c>
      <c r="B36" s="5">
        <v>12265167.875097357</v>
      </c>
      <c r="C36" s="5"/>
      <c r="D36" s="5">
        <v>21508206.107707318</v>
      </c>
      <c r="E36" s="5">
        <v>17721004.344536625</v>
      </c>
      <c r="F36" s="5">
        <v>51494378.327341296</v>
      </c>
    </row>
    <row r="37" spans="1:20">
      <c r="A37" s="5" t="s">
        <v>28</v>
      </c>
      <c r="B37" s="5">
        <v>18269308.916364398</v>
      </c>
      <c r="C37" s="5">
        <v>21643220.531523947</v>
      </c>
      <c r="D37" s="5">
        <v>261831118.43292138</v>
      </c>
      <c r="E37" s="5">
        <v>32789079.659134902</v>
      </c>
      <c r="F37" s="5">
        <v>334532727.53994459</v>
      </c>
    </row>
    <row r="38" spans="1:20">
      <c r="D38" s="5"/>
      <c r="E38" s="5"/>
      <c r="K38" s="5"/>
      <c r="L38" s="5"/>
      <c r="M38" s="13"/>
      <c r="N38" s="5"/>
      <c r="O38" s="5"/>
    </row>
    <row r="39" spans="1:20">
      <c r="D39" s="5"/>
      <c r="E39" s="5"/>
      <c r="K39" s="5"/>
      <c r="L39" s="5"/>
      <c r="M39" s="13"/>
      <c r="N39" s="5"/>
      <c r="O39" s="5"/>
    </row>
    <row r="40" spans="1:20">
      <c r="D40" s="5"/>
      <c r="E40" s="5"/>
      <c r="K40" s="5"/>
      <c r="L40" s="5"/>
      <c r="M40" s="13"/>
      <c r="N40" s="5"/>
      <c r="O40" s="5"/>
    </row>
    <row r="41" spans="1:20">
      <c r="A41" t="s">
        <v>3</v>
      </c>
      <c r="B41" s="9">
        <f>P10</f>
        <v>0.13911514778937467</v>
      </c>
      <c r="C41" s="9">
        <f>R10</f>
        <v>0.27379566641599334</v>
      </c>
      <c r="D41" s="275" t="s">
        <v>829</v>
      </c>
      <c r="E41" s="5"/>
      <c r="K41" s="5"/>
      <c r="L41" s="5"/>
      <c r="M41" s="13"/>
      <c r="N41" s="5"/>
      <c r="O41" s="5"/>
    </row>
    <row r="42" spans="1:20">
      <c r="A42" t="s">
        <v>4</v>
      </c>
      <c r="B42" s="9">
        <f t="shared" ref="B42:B50" si="4">P11</f>
        <v>0</v>
      </c>
      <c r="C42" s="9">
        <f t="shared" ref="C42:C50" si="5">R11</f>
        <v>0.20656505403266429</v>
      </c>
      <c r="D42" s="5"/>
      <c r="E42" s="5"/>
      <c r="K42" s="5"/>
      <c r="L42" s="5"/>
      <c r="M42" s="13"/>
      <c r="N42" s="5"/>
      <c r="O42" s="5"/>
    </row>
    <row r="43" spans="1:20">
      <c r="A43" t="s">
        <v>5</v>
      </c>
      <c r="B43" s="9">
        <f t="shared" si="4"/>
        <v>5.6924185465057203E-2</v>
      </c>
      <c r="C43" s="9">
        <f t="shared" si="5"/>
        <v>0.68482020855141457</v>
      </c>
      <c r="D43" s="5"/>
      <c r="E43" s="5"/>
      <c r="K43" s="5"/>
      <c r="L43" s="5"/>
      <c r="M43" s="13"/>
      <c r="N43" s="5"/>
      <c r="O43" s="5"/>
    </row>
    <row r="44" spans="1:20">
      <c r="A44" t="s">
        <v>6</v>
      </c>
      <c r="B44" s="9">
        <f t="shared" si="4"/>
        <v>0.25506362599984067</v>
      </c>
      <c r="C44" s="9">
        <f t="shared" si="5"/>
        <v>0.37830047353246543</v>
      </c>
      <c r="D44" s="5"/>
      <c r="E44" s="5"/>
      <c r="K44" s="5"/>
      <c r="L44" s="5"/>
      <c r="M44" s="13"/>
      <c r="N44" s="5"/>
      <c r="O44" s="5"/>
    </row>
    <row r="45" spans="1:20">
      <c r="A45" t="s">
        <v>11</v>
      </c>
      <c r="B45" s="9">
        <f t="shared" si="4"/>
        <v>0.16716328428783481</v>
      </c>
      <c r="C45" s="9">
        <f t="shared" si="5"/>
        <v>0.46120223430256424</v>
      </c>
      <c r="D45" s="5"/>
      <c r="E45" s="5"/>
      <c r="K45" s="5"/>
      <c r="L45" s="5"/>
      <c r="M45" s="13"/>
      <c r="N45" s="5"/>
      <c r="O45" s="5"/>
    </row>
    <row r="46" spans="1:20">
      <c r="A46" t="s">
        <v>7</v>
      </c>
      <c r="B46" s="9">
        <f t="shared" si="4"/>
        <v>2.8348285792584815E-2</v>
      </c>
      <c r="C46" s="9">
        <f t="shared" si="5"/>
        <v>0.52265270042747103</v>
      </c>
      <c r="D46" s="5"/>
      <c r="E46" s="5"/>
      <c r="K46" s="5"/>
      <c r="L46" s="5"/>
      <c r="M46" s="13"/>
      <c r="N46" s="5"/>
      <c r="O46" s="5"/>
    </row>
    <row r="47" spans="1:20">
      <c r="A47" t="s">
        <v>161</v>
      </c>
      <c r="B47" s="9">
        <f t="shared" si="4"/>
        <v>0</v>
      </c>
      <c r="C47" s="9">
        <f t="shared" si="5"/>
        <v>5.8610362131589246E-2</v>
      </c>
      <c r="D47" s="5"/>
      <c r="E47" s="5"/>
      <c r="K47" s="5"/>
      <c r="L47" s="5"/>
      <c r="M47" s="13"/>
      <c r="N47" s="5"/>
      <c r="O47" s="5"/>
    </row>
    <row r="48" spans="1:20">
      <c r="A48" t="s">
        <v>467</v>
      </c>
      <c r="B48" s="9">
        <f t="shared" si="4"/>
        <v>1.9041724473909054E-2</v>
      </c>
      <c r="C48" s="9">
        <f t="shared" si="5"/>
        <v>0.2530928144049488</v>
      </c>
      <c r="D48" s="5"/>
      <c r="E48" s="5"/>
      <c r="K48" s="5"/>
      <c r="L48" s="5"/>
      <c r="M48" s="13"/>
      <c r="N48" s="5"/>
      <c r="O48" s="5"/>
    </row>
    <row r="49" spans="1:15">
      <c r="A49" t="s">
        <v>171</v>
      </c>
      <c r="B49" s="9">
        <f t="shared" si="4"/>
        <v>0.21392277044122734</v>
      </c>
      <c r="C49" s="9">
        <f t="shared" si="5"/>
        <v>0.45489304544728093</v>
      </c>
      <c r="D49" s="5"/>
      <c r="E49" s="5"/>
      <c r="K49" s="5"/>
      <c r="L49" s="5"/>
      <c r="M49" s="13"/>
      <c r="N49" s="5"/>
      <c r="O49" s="5"/>
    </row>
    <row r="50" spans="1:15">
      <c r="A50" t="s">
        <v>10</v>
      </c>
      <c r="B50" s="9">
        <f t="shared" si="4"/>
        <v>0</v>
      </c>
      <c r="C50" s="9">
        <f t="shared" si="5"/>
        <v>0.68364721407456519</v>
      </c>
      <c r="D50" s="5"/>
      <c r="E50" s="5"/>
      <c r="F50" s="333" t="s">
        <v>906</v>
      </c>
      <c r="G50" s="274"/>
      <c r="H50" s="274"/>
      <c r="I50" s="274"/>
      <c r="K50" s="5"/>
      <c r="L50" s="5"/>
      <c r="M50" s="13"/>
      <c r="N50" s="5"/>
      <c r="O50" s="5"/>
    </row>
    <row r="51" spans="1:15">
      <c r="A51" s="215"/>
      <c r="B51" s="215" t="s">
        <v>470</v>
      </c>
      <c r="D51" s="5"/>
      <c r="E51" s="5"/>
      <c r="K51" s="5"/>
      <c r="L51" s="5"/>
      <c r="M51" s="13"/>
      <c r="N51" s="5"/>
      <c r="O51" s="5"/>
    </row>
    <row r="52" spans="1:15">
      <c r="A52" s="215" t="s">
        <v>3</v>
      </c>
      <c r="B52" s="216">
        <f>VLOOKUP(A52,$A$41:$B$50,2,FALSE)</f>
        <v>0.13911514778937467</v>
      </c>
      <c r="D52" s="216">
        <f>VLOOKUP(A52,$A$41:$C$50,3,FALSE)</f>
        <v>0.27379566641599334</v>
      </c>
      <c r="E52" s="5"/>
      <c r="F52" s="218" t="s">
        <v>905</v>
      </c>
      <c r="K52" s="5"/>
      <c r="L52" s="5"/>
      <c r="M52" s="13"/>
      <c r="N52" s="5"/>
      <c r="O52" s="5"/>
    </row>
    <row r="53" spans="1:15">
      <c r="A53" s="215" t="s">
        <v>4</v>
      </c>
      <c r="B53" s="216">
        <f t="shared" ref="B53:B63" si="6">VLOOKUP(A53,$A$41:$B$50,2,FALSE)</f>
        <v>0</v>
      </c>
      <c r="D53" s="216">
        <f>VLOOKUP(A53,$A$41:$C$50,3,FALSE)</f>
        <v>0.20656505403266429</v>
      </c>
      <c r="E53" s="5"/>
      <c r="F53" t="s">
        <v>842</v>
      </c>
      <c r="K53" s="5"/>
      <c r="L53" s="5"/>
      <c r="M53" s="13"/>
      <c r="N53" s="5"/>
      <c r="O53" s="5"/>
    </row>
    <row r="54" spans="1:15">
      <c r="A54" s="215" t="s">
        <v>164</v>
      </c>
      <c r="B54" s="217">
        <v>0.53</v>
      </c>
      <c r="C54" s="72" t="s">
        <v>469</v>
      </c>
      <c r="D54" s="217">
        <v>0.53</v>
      </c>
      <c r="E54" s="5"/>
    </row>
    <row r="55" spans="1:15">
      <c r="A55" s="215" t="s">
        <v>5</v>
      </c>
      <c r="B55" s="216">
        <f t="shared" si="6"/>
        <v>5.6924185465057203E-2</v>
      </c>
      <c r="D55" s="216">
        <f t="shared" ref="D55:D61" si="7">VLOOKUP(A55,$A$41:$C$50,3,FALSE)</f>
        <v>0.68482020855141457</v>
      </c>
      <c r="E55" s="5"/>
      <c r="I55" s="72"/>
    </row>
    <row r="56" spans="1:15">
      <c r="A56" s="215" t="s">
        <v>6</v>
      </c>
      <c r="B56" s="216">
        <f t="shared" si="6"/>
        <v>0.25506362599984067</v>
      </c>
      <c r="D56" s="216">
        <f t="shared" si="7"/>
        <v>0.37830047353246543</v>
      </c>
      <c r="E56" s="5"/>
      <c r="I56" s="72"/>
    </row>
    <row r="57" spans="1:15">
      <c r="A57" s="215" t="s">
        <v>11</v>
      </c>
      <c r="B57" s="216">
        <f t="shared" si="6"/>
        <v>0.16716328428783481</v>
      </c>
      <c r="D57" s="216">
        <f t="shared" si="7"/>
        <v>0.46120223430256424</v>
      </c>
      <c r="E57" s="5"/>
      <c r="M57" s="2"/>
    </row>
    <row r="58" spans="1:15">
      <c r="A58" s="215" t="s">
        <v>7</v>
      </c>
      <c r="B58" s="216">
        <f t="shared" si="6"/>
        <v>2.8348285792584815E-2</v>
      </c>
      <c r="D58" s="216">
        <f t="shared" si="7"/>
        <v>0.52265270042747103</v>
      </c>
      <c r="E58" s="5"/>
      <c r="J58" s="5"/>
      <c r="L58" s="14"/>
      <c r="M58" s="5"/>
      <c r="N58" s="73"/>
    </row>
    <row r="59" spans="1:15">
      <c r="A59" s="215" t="s">
        <v>161</v>
      </c>
      <c r="B59" s="216">
        <f t="shared" si="6"/>
        <v>0</v>
      </c>
      <c r="D59" s="216">
        <f t="shared" si="7"/>
        <v>5.8610362131589246E-2</v>
      </c>
      <c r="E59" s="5"/>
      <c r="J59" s="5"/>
      <c r="L59" s="14"/>
      <c r="M59" s="5"/>
      <c r="N59" s="73"/>
    </row>
    <row r="60" spans="1:15">
      <c r="A60" s="215" t="s">
        <v>467</v>
      </c>
      <c r="B60" s="216">
        <f t="shared" si="6"/>
        <v>1.9041724473909054E-2</v>
      </c>
      <c r="D60" s="216">
        <f t="shared" si="7"/>
        <v>0.2530928144049488</v>
      </c>
      <c r="E60" s="5"/>
      <c r="J60" s="5"/>
      <c r="L60" s="14"/>
      <c r="M60" s="5"/>
      <c r="N60" s="73"/>
    </row>
    <row r="61" spans="1:15">
      <c r="A61" s="215" t="s">
        <v>171</v>
      </c>
      <c r="B61" s="216">
        <f t="shared" si="6"/>
        <v>0.21392277044122734</v>
      </c>
      <c r="D61" s="216">
        <f t="shared" si="7"/>
        <v>0.45489304544728093</v>
      </c>
      <c r="E61" s="5"/>
      <c r="J61" s="5"/>
      <c r="L61" s="14"/>
      <c r="M61" s="5"/>
      <c r="N61" s="73"/>
    </row>
    <row r="62" spans="1:15">
      <c r="A62" s="215" t="s">
        <v>155</v>
      </c>
      <c r="B62" s="217">
        <v>0.72</v>
      </c>
      <c r="C62" s="72" t="s">
        <v>469</v>
      </c>
      <c r="D62" s="217">
        <v>0.72</v>
      </c>
      <c r="E62" s="5"/>
      <c r="J62" s="5"/>
      <c r="L62" s="14"/>
      <c r="M62" s="5"/>
      <c r="N62" s="73"/>
    </row>
    <row r="63" spans="1:15">
      <c r="A63" s="215" t="s">
        <v>10</v>
      </c>
      <c r="B63" s="216">
        <f t="shared" si="6"/>
        <v>0</v>
      </c>
      <c r="D63" s="216">
        <f>VLOOKUP(A63,$A$41:$C$50,3,FALSE)</f>
        <v>0.68364721407456519</v>
      </c>
      <c r="E63" s="5"/>
      <c r="J63" s="5"/>
      <c r="L63" s="14"/>
      <c r="M63" s="5"/>
      <c r="N63" s="73"/>
    </row>
    <row r="64" spans="1:15">
      <c r="J64" s="5"/>
      <c r="L64" s="14"/>
      <c r="M64" s="5"/>
      <c r="N64" s="73"/>
    </row>
    <row r="65" spans="1:16">
      <c r="J65" s="5"/>
      <c r="L65" s="14"/>
      <c r="M65" s="5"/>
      <c r="N65" s="73"/>
    </row>
    <row r="66" spans="1:16" s="106" customFormat="1">
      <c r="J66" s="204"/>
      <c r="L66" s="206"/>
      <c r="M66" s="204"/>
      <c r="N66" s="207"/>
      <c r="P66" s="394"/>
    </row>
    <row r="67" spans="1:16" s="106" customFormat="1">
      <c r="A67" s="106" t="s">
        <v>846</v>
      </c>
      <c r="J67" s="204"/>
      <c r="L67" s="206"/>
      <c r="M67" s="204"/>
      <c r="N67" s="207"/>
      <c r="P67" s="394"/>
    </row>
    <row r="68" spans="1:16" s="106" customFormat="1" ht="15">
      <c r="A68" s="288" t="s">
        <v>844</v>
      </c>
      <c r="B68" s="289">
        <v>2010</v>
      </c>
      <c r="C68" s="289">
        <v>2011</v>
      </c>
      <c r="D68" s="289">
        <v>2012</v>
      </c>
      <c r="E68" s="289">
        <v>2013</v>
      </c>
      <c r="F68" s="293">
        <v>2014</v>
      </c>
      <c r="G68" s="293">
        <v>2015</v>
      </c>
      <c r="P68" s="394"/>
    </row>
    <row r="69" spans="1:16" s="106" customFormat="1">
      <c r="A69" s="290" t="s">
        <v>845</v>
      </c>
      <c r="B69" s="291">
        <v>11.248117555391218</v>
      </c>
      <c r="C69" s="291">
        <v>13.499587836917271</v>
      </c>
      <c r="D69" s="291">
        <v>14.780213662907045</v>
      </c>
      <c r="E69" s="291">
        <v>12.814197954139672</v>
      </c>
      <c r="F69" s="292">
        <f>AVERAGE(B69:E69)</f>
        <v>13.085529252338802</v>
      </c>
      <c r="G69" s="292">
        <f>F69</f>
        <v>13.085529252338802</v>
      </c>
      <c r="H69" s="292">
        <f>SUM(B69:E69)</f>
        <v>52.342117009355206</v>
      </c>
      <c r="P69" s="394"/>
    </row>
    <row r="70" spans="1:16" s="208" customFormat="1">
      <c r="A70" s="106"/>
      <c r="B70" s="106"/>
      <c r="C70" s="106"/>
      <c r="D70" s="106"/>
      <c r="E70" s="106"/>
      <c r="H70" s="292">
        <f>SUM(B69:G69)</f>
        <v>78.51317551403281</v>
      </c>
      <c r="P70" s="164"/>
    </row>
    <row r="71" spans="1:16" s="106" customFormat="1">
      <c r="A71" s="164"/>
      <c r="B71" s="164"/>
      <c r="C71" s="164"/>
      <c r="D71" s="164"/>
      <c r="E71" s="164"/>
      <c r="I71" s="209"/>
      <c r="J71" s="209"/>
      <c r="K71" s="210"/>
      <c r="L71" s="210"/>
      <c r="M71" s="208"/>
      <c r="N71" s="208"/>
      <c r="O71" s="208"/>
      <c r="P71" s="164"/>
    </row>
    <row r="72" spans="1:16" s="106" customFormat="1">
      <c r="B72" s="203"/>
      <c r="C72" s="203"/>
      <c r="D72" s="203"/>
      <c r="E72" s="203"/>
      <c r="G72" s="299" t="s">
        <v>849</v>
      </c>
      <c r="H72" s="106">
        <v>130</v>
      </c>
      <c r="I72" s="211"/>
      <c r="J72" s="211"/>
      <c r="L72" s="212"/>
      <c r="P72" s="394"/>
    </row>
    <row r="73" spans="1:16" s="106" customFormat="1">
      <c r="B73" s="203"/>
      <c r="C73" s="203"/>
      <c r="D73" s="203"/>
      <c r="E73" s="203"/>
      <c r="G73" s="106" t="s">
        <v>850</v>
      </c>
      <c r="H73" s="204">
        <f>H72/0.85</f>
        <v>152.94117647058823</v>
      </c>
      <c r="I73" s="211"/>
      <c r="J73" s="211"/>
      <c r="L73" s="212"/>
      <c r="P73" s="394"/>
    </row>
    <row r="74" spans="1:16" s="106" customFormat="1">
      <c r="B74" s="203"/>
      <c r="C74" s="203"/>
      <c r="D74" s="203"/>
      <c r="E74" s="203"/>
      <c r="G74" s="294" t="s">
        <v>847</v>
      </c>
      <c r="H74" s="295">
        <f>H69/H72</f>
        <v>0.40263166930273236</v>
      </c>
      <c r="I74" s="211"/>
      <c r="J74" s="211"/>
      <c r="L74" s="212"/>
      <c r="P74" s="394"/>
    </row>
    <row r="75" spans="1:16" s="106" customFormat="1">
      <c r="B75" s="203"/>
      <c r="C75" s="203"/>
      <c r="D75" s="203"/>
      <c r="E75" s="203"/>
      <c r="G75" s="294" t="s">
        <v>847</v>
      </c>
      <c r="H75" s="170">
        <f>H70/H73</f>
        <v>0.51335537836098377</v>
      </c>
      <c r="I75" s="211"/>
      <c r="J75" s="213"/>
      <c r="L75" s="212"/>
      <c r="P75" s="394"/>
    </row>
    <row r="76" spans="1:16" s="106" customFormat="1">
      <c r="B76" s="203"/>
      <c r="C76" s="203"/>
      <c r="D76" s="203"/>
      <c r="E76" s="203"/>
      <c r="I76" s="211"/>
      <c r="J76" s="213"/>
      <c r="L76" s="212"/>
      <c r="P76" s="394"/>
    </row>
    <row r="77" spans="1:16" s="106" customFormat="1">
      <c r="B77" s="203"/>
      <c r="C77" s="203"/>
      <c r="D77" s="203"/>
      <c r="E77" s="203"/>
      <c r="I77" s="211"/>
      <c r="J77" s="213"/>
      <c r="L77" s="212"/>
      <c r="P77" s="394"/>
    </row>
    <row r="78" spans="1:16" s="106" customFormat="1">
      <c r="B78" s="203"/>
      <c r="C78" s="203"/>
      <c r="D78" s="203"/>
      <c r="E78" s="203"/>
      <c r="I78" s="211"/>
      <c r="J78" s="213"/>
      <c r="L78" s="212"/>
      <c r="P78" s="394"/>
    </row>
    <row r="79" spans="1:16" s="106" customFormat="1">
      <c r="B79" s="203"/>
      <c r="C79" s="203"/>
      <c r="D79" s="203"/>
      <c r="E79" s="203"/>
      <c r="I79" s="211"/>
      <c r="J79" s="211"/>
      <c r="L79" s="212"/>
      <c r="P79" s="394"/>
    </row>
    <row r="80" spans="1:16" s="106" customFormat="1">
      <c r="A80" s="386" t="s">
        <v>448</v>
      </c>
      <c r="B80" s="387" t="s">
        <v>227</v>
      </c>
      <c r="C80" s="387"/>
      <c r="D80" s="387"/>
      <c r="E80" s="387"/>
      <c r="F80" s="386"/>
      <c r="G80" s="386"/>
      <c r="H80" s="386"/>
      <c r="I80" s="388"/>
      <c r="J80" s="388"/>
      <c r="K80" s="386"/>
      <c r="L80" s="387"/>
      <c r="M80" s="386"/>
      <c r="N80" s="386"/>
      <c r="P80" s="394"/>
    </row>
    <row r="81" spans="1:16" s="106" customFormat="1">
      <c r="A81" s="386" t="s">
        <v>449</v>
      </c>
      <c r="B81" s="387" t="s">
        <v>227</v>
      </c>
      <c r="C81" s="387"/>
      <c r="D81" s="387"/>
      <c r="E81" s="387"/>
      <c r="F81" s="386"/>
      <c r="G81" s="386"/>
      <c r="H81" s="386"/>
      <c r="I81" s="388"/>
      <c r="J81" s="388"/>
      <c r="K81" s="386"/>
      <c r="L81" s="387"/>
      <c r="M81" s="386"/>
      <c r="N81" s="386"/>
      <c r="P81" s="394"/>
    </row>
    <row r="82" spans="1:16" s="106" customFormat="1">
      <c r="A82" s="386" t="s">
        <v>450</v>
      </c>
      <c r="B82" s="386" t="s">
        <v>227</v>
      </c>
      <c r="C82" s="386"/>
      <c r="D82" s="386"/>
      <c r="E82" s="386"/>
      <c r="F82" s="386"/>
      <c r="G82" s="386"/>
      <c r="H82" s="386"/>
      <c r="I82" s="388"/>
      <c r="J82" s="388"/>
      <c r="K82" s="386"/>
      <c r="L82" s="387"/>
      <c r="M82" s="386"/>
      <c r="N82" s="386"/>
      <c r="P82" s="394"/>
    </row>
    <row r="83" spans="1:16" s="106" customFormat="1">
      <c r="A83" s="386" t="s">
        <v>451</v>
      </c>
      <c r="B83" s="386" t="s">
        <v>227</v>
      </c>
      <c r="C83" s="386"/>
      <c r="D83" s="386"/>
      <c r="E83" s="386"/>
      <c r="F83" s="386"/>
      <c r="G83" s="386"/>
      <c r="H83" s="386"/>
      <c r="I83" s="388"/>
      <c r="J83" s="388"/>
      <c r="K83" s="386"/>
      <c r="L83" s="387"/>
      <c r="M83" s="386"/>
      <c r="N83" s="386"/>
      <c r="P83" s="394"/>
    </row>
    <row r="84" spans="1:16" s="106" customFormat="1">
      <c r="A84" s="386"/>
      <c r="B84" s="387"/>
      <c r="C84" s="387"/>
      <c r="D84" s="387"/>
      <c r="E84" s="387"/>
      <c r="F84" s="386"/>
      <c r="G84" s="386"/>
      <c r="H84" s="386"/>
      <c r="I84" s="388"/>
      <c r="J84" s="388"/>
      <c r="K84" s="386"/>
      <c r="L84" s="387"/>
      <c r="M84" s="386"/>
      <c r="N84" s="386"/>
      <c r="P84" s="394"/>
    </row>
    <row r="85" spans="1:16" s="106" customFormat="1">
      <c r="A85" s="386" t="s">
        <v>452</v>
      </c>
      <c r="B85" s="387"/>
      <c r="C85" s="387" t="s">
        <v>453</v>
      </c>
      <c r="D85" s="387"/>
      <c r="E85" s="387"/>
      <c r="F85" s="386"/>
      <c r="G85" s="386"/>
      <c r="H85" s="386"/>
      <c r="I85" s="388"/>
      <c r="J85" s="388"/>
      <c r="K85" s="386"/>
      <c r="L85" s="387"/>
      <c r="M85" s="386"/>
      <c r="N85" s="386"/>
      <c r="P85" s="394"/>
    </row>
    <row r="86" spans="1:16" s="106" customFormat="1">
      <c r="A86" s="386" t="s">
        <v>454</v>
      </c>
      <c r="B86" s="386" t="s">
        <v>962</v>
      </c>
      <c r="C86" s="386" t="s">
        <v>455</v>
      </c>
      <c r="D86" s="386" t="s">
        <v>456</v>
      </c>
      <c r="E86" s="386" t="s">
        <v>457</v>
      </c>
      <c r="F86" s="386" t="s">
        <v>458</v>
      </c>
      <c r="G86" s="386" t="s">
        <v>459</v>
      </c>
      <c r="H86" s="386" t="s">
        <v>460</v>
      </c>
      <c r="I86" s="388" t="s">
        <v>461</v>
      </c>
      <c r="J86" s="388" t="s">
        <v>462</v>
      </c>
      <c r="K86" s="386" t="s">
        <v>463</v>
      </c>
      <c r="L86" s="387" t="s">
        <v>464</v>
      </c>
      <c r="M86" s="386" t="s">
        <v>465</v>
      </c>
      <c r="N86" s="386" t="s">
        <v>28</v>
      </c>
      <c r="P86" s="394"/>
    </row>
    <row r="87" spans="1:16" s="106" customFormat="1">
      <c r="A87" s="386" t="s">
        <v>3</v>
      </c>
      <c r="B87" s="387"/>
      <c r="C87" s="387">
        <v>22971944.552047111</v>
      </c>
      <c r="D87" s="387">
        <v>110296.32264139135</v>
      </c>
      <c r="E87" s="387">
        <v>1609022.1431874938</v>
      </c>
      <c r="F87" s="386"/>
      <c r="G87" s="386">
        <v>46828389.095345192</v>
      </c>
      <c r="H87" s="386">
        <v>1939668.3953124494</v>
      </c>
      <c r="I87" s="388">
        <v>3353745.306331676</v>
      </c>
      <c r="J87" s="388">
        <v>255153180.09374392</v>
      </c>
      <c r="K87" s="386">
        <v>10647216.616551032</v>
      </c>
      <c r="L87" s="387">
        <v>8729987.7034770604</v>
      </c>
      <c r="M87" s="386">
        <v>8322.6732081259343</v>
      </c>
      <c r="N87" s="386">
        <v>351351772.90184546</v>
      </c>
      <c r="P87" s="394"/>
    </row>
    <row r="88" spans="1:16" s="106" customFormat="1">
      <c r="A88" s="386" t="s">
        <v>196</v>
      </c>
      <c r="B88" s="387" t="s">
        <v>963</v>
      </c>
      <c r="C88" s="387"/>
      <c r="D88" s="387"/>
      <c r="E88" s="387">
        <v>0</v>
      </c>
      <c r="F88" s="386"/>
      <c r="G88" s="386"/>
      <c r="H88" s="386"/>
      <c r="I88" s="388"/>
      <c r="J88" s="388">
        <v>9149727.9779402558</v>
      </c>
      <c r="K88" s="386">
        <v>1060534.9146754674</v>
      </c>
      <c r="L88" s="387"/>
      <c r="M88" s="386"/>
      <c r="N88" s="386">
        <v>10210262.892615722</v>
      </c>
      <c r="P88" s="394"/>
    </row>
    <row r="89" spans="1:16" s="106" customFormat="1">
      <c r="A89" s="386" t="s">
        <v>158</v>
      </c>
      <c r="B89" s="387" t="s">
        <v>964</v>
      </c>
      <c r="C89" s="387">
        <v>810727.29131027998</v>
      </c>
      <c r="D89" s="387"/>
      <c r="E89" s="387">
        <v>896075.41087044403</v>
      </c>
      <c r="F89" s="386"/>
      <c r="G89" s="386"/>
      <c r="H89" s="386"/>
      <c r="I89" s="388">
        <v>111367.50517278022</v>
      </c>
      <c r="J89" s="388">
        <v>11274900.541790714</v>
      </c>
      <c r="K89" s="386">
        <v>3340903.3052040245</v>
      </c>
      <c r="L89" s="387">
        <v>307150.57181928755</v>
      </c>
      <c r="M89" s="386"/>
      <c r="N89" s="386">
        <v>16741124.62616753</v>
      </c>
      <c r="P89" s="394"/>
    </row>
    <row r="90" spans="1:16" s="106" customFormat="1">
      <c r="A90" s="386" t="s">
        <v>158</v>
      </c>
      <c r="B90" s="387" t="s">
        <v>965</v>
      </c>
      <c r="C90" s="387"/>
      <c r="D90" s="387"/>
      <c r="E90" s="387">
        <v>2758491.2437114371</v>
      </c>
      <c r="F90" s="386"/>
      <c r="G90" s="386"/>
      <c r="H90" s="386"/>
      <c r="I90" s="388"/>
      <c r="J90" s="388">
        <v>19156078.183134396</v>
      </c>
      <c r="K90" s="386">
        <v>4201325.6912494199</v>
      </c>
      <c r="L90" s="387"/>
      <c r="M90" s="386"/>
      <c r="N90" s="386">
        <v>26115895.118095253</v>
      </c>
      <c r="P90" s="394"/>
    </row>
    <row r="91" spans="1:16" s="106" customFormat="1">
      <c r="A91" s="386" t="s">
        <v>158</v>
      </c>
      <c r="B91" s="387" t="s">
        <v>966</v>
      </c>
      <c r="C91" s="387"/>
      <c r="D91" s="387"/>
      <c r="E91" s="387">
        <v>427433.99846233986</v>
      </c>
      <c r="F91" s="386"/>
      <c r="G91" s="386"/>
      <c r="H91" s="386"/>
      <c r="I91" s="388"/>
      <c r="J91" s="388">
        <v>17262895.122155804</v>
      </c>
      <c r="K91" s="386">
        <v>884810.99427525711</v>
      </c>
      <c r="L91" s="387"/>
      <c r="M91" s="386"/>
      <c r="N91" s="386">
        <v>18575140.114893399</v>
      </c>
      <c r="P91" s="394"/>
    </row>
    <row r="92" spans="1:16" s="106" customFormat="1">
      <c r="A92" s="386" t="s">
        <v>5</v>
      </c>
      <c r="B92" s="386"/>
      <c r="C92" s="386">
        <v>13879312.808266439</v>
      </c>
      <c r="D92" s="386">
        <v>1839209.8812445491</v>
      </c>
      <c r="E92" s="386">
        <v>2481450.962991273</v>
      </c>
      <c r="F92" s="386"/>
      <c r="G92" s="386">
        <v>4710251.9135832749</v>
      </c>
      <c r="H92" s="386">
        <v>2579402.8017257601</v>
      </c>
      <c r="I92" s="388">
        <v>2970958.6302826302</v>
      </c>
      <c r="J92" s="388">
        <v>50545012.040098809</v>
      </c>
      <c r="K92" s="386">
        <v>80248763.106937557</v>
      </c>
      <c r="L92" s="387">
        <v>1114460.3856254756</v>
      </c>
      <c r="M92" s="386"/>
      <c r="N92" s="386">
        <v>160368822.53075576</v>
      </c>
      <c r="P92" s="394"/>
    </row>
    <row r="93" spans="1:16" s="106" customFormat="1">
      <c r="A93" s="386" t="s">
        <v>150</v>
      </c>
      <c r="B93" s="387" t="s">
        <v>963</v>
      </c>
      <c r="C93" s="387">
        <v>3975987.6052928539</v>
      </c>
      <c r="D93" s="387"/>
      <c r="E93" s="387">
        <v>0</v>
      </c>
      <c r="F93" s="386"/>
      <c r="G93" s="386">
        <v>2768901.55939293</v>
      </c>
      <c r="H93" s="386"/>
      <c r="I93" s="386">
        <v>1847806.51732307</v>
      </c>
      <c r="J93" s="386">
        <v>82803511.576658577</v>
      </c>
      <c r="K93" s="386">
        <v>4062104.2682277001</v>
      </c>
      <c r="L93" s="386"/>
      <c r="M93" s="386"/>
      <c r="N93" s="386">
        <v>95458311.526895121</v>
      </c>
      <c r="P93" s="394"/>
    </row>
    <row r="94" spans="1:16" s="106" customFormat="1">
      <c r="A94" s="386" t="s">
        <v>971</v>
      </c>
      <c r="B94" s="387" t="s">
        <v>964</v>
      </c>
      <c r="C94" s="387">
        <v>7978933.8308516592</v>
      </c>
      <c r="D94" s="387">
        <v>3774530.5710799685</v>
      </c>
      <c r="E94" s="387"/>
      <c r="F94" s="386"/>
      <c r="G94" s="386">
        <v>2940094.0663268068</v>
      </c>
      <c r="H94" s="386"/>
      <c r="I94" s="386"/>
      <c r="J94" s="386">
        <v>152685296.7702246</v>
      </c>
      <c r="K94" s="386">
        <v>3627752.903227645</v>
      </c>
      <c r="L94" s="386">
        <v>3822848.1199901314</v>
      </c>
      <c r="M94" s="386"/>
      <c r="N94" s="386">
        <v>174829456.26170084</v>
      </c>
      <c r="P94" s="394"/>
    </row>
    <row r="95" spans="1:16" s="106" customFormat="1">
      <c r="A95" s="386" t="s">
        <v>971</v>
      </c>
      <c r="B95" s="386" t="s">
        <v>965</v>
      </c>
      <c r="C95" s="386">
        <v>994647.35861969797</v>
      </c>
      <c r="D95" s="386">
        <v>0</v>
      </c>
      <c r="E95" s="386">
        <v>2532830.1517145322</v>
      </c>
      <c r="F95" s="386"/>
      <c r="G95" s="386">
        <v>12016976.064737514</v>
      </c>
      <c r="H95" s="386"/>
      <c r="I95" s="386">
        <v>2229342.1359656164</v>
      </c>
      <c r="J95" s="386">
        <v>95946354.547327071</v>
      </c>
      <c r="K95" s="386">
        <v>4650266.6489660926</v>
      </c>
      <c r="L95" s="386">
        <v>2718361.7440108317</v>
      </c>
      <c r="M95" s="386"/>
      <c r="N95" s="386">
        <v>121088778.65134136</v>
      </c>
      <c r="P95" s="394"/>
    </row>
    <row r="96" spans="1:16" s="106" customFormat="1">
      <c r="A96" s="386" t="s">
        <v>148</v>
      </c>
      <c r="B96" s="386" t="s">
        <v>966</v>
      </c>
      <c r="C96" s="386">
        <v>8261247.678175603</v>
      </c>
      <c r="D96" s="386"/>
      <c r="E96" s="386">
        <v>0</v>
      </c>
      <c r="F96" s="386">
        <v>11602618.0402532</v>
      </c>
      <c r="G96" s="386">
        <v>17933298.835144032</v>
      </c>
      <c r="H96" s="386"/>
      <c r="I96" s="386"/>
      <c r="J96" s="386">
        <v>37210149.275242597</v>
      </c>
      <c r="K96" s="386">
        <v>9927847.3332352303</v>
      </c>
      <c r="L96" s="386">
        <v>7998554.8114995398</v>
      </c>
      <c r="M96" s="386"/>
      <c r="N96" s="386">
        <v>92933715.9735502</v>
      </c>
      <c r="P96" s="394"/>
    </row>
    <row r="97" spans="1:19" s="106" customFormat="1">
      <c r="A97" s="386" t="s">
        <v>148</v>
      </c>
      <c r="B97" s="386" t="s">
        <v>967</v>
      </c>
      <c r="C97" s="386">
        <v>27710.198125085197</v>
      </c>
      <c r="D97" s="386">
        <v>280104.26630113326</v>
      </c>
      <c r="E97" s="386">
        <v>183392.81147400377</v>
      </c>
      <c r="F97" s="386">
        <v>10040602.491270747</v>
      </c>
      <c r="G97" s="386">
        <v>103340321.90840521</v>
      </c>
      <c r="H97" s="386"/>
      <c r="I97" s="386">
        <v>419135.28569895</v>
      </c>
      <c r="J97" s="386">
        <v>32793054.073899902</v>
      </c>
      <c r="K97" s="386">
        <v>5446833.6219134154</v>
      </c>
      <c r="L97" s="386">
        <v>8869813.440255288</v>
      </c>
      <c r="M97" s="386"/>
      <c r="N97" s="386">
        <v>161400968.09734371</v>
      </c>
      <c r="P97" s="394"/>
    </row>
    <row r="98" spans="1:19" s="106" customFormat="1">
      <c r="A98" s="386" t="s">
        <v>11</v>
      </c>
      <c r="B98" s="386"/>
      <c r="C98" s="386">
        <v>9183281.1046316847</v>
      </c>
      <c r="D98" s="386"/>
      <c r="E98" s="386">
        <v>3462429.3937929114</v>
      </c>
      <c r="F98" s="386"/>
      <c r="G98" s="386">
        <v>42979952.565021843</v>
      </c>
      <c r="H98" s="386">
        <v>4127993.2604893385</v>
      </c>
      <c r="I98" s="386">
        <v>15402687.502107717</v>
      </c>
      <c r="J98" s="386">
        <v>151837504.66207132</v>
      </c>
      <c r="K98" s="386">
        <v>48877202.372227401</v>
      </c>
      <c r="L98" s="386">
        <v>5936919.2702101506</v>
      </c>
      <c r="M98" s="386"/>
      <c r="N98" s="386">
        <v>281807970.13055235</v>
      </c>
      <c r="P98" s="394"/>
    </row>
    <row r="99" spans="1:19" s="106" customFormat="1">
      <c r="A99" s="386" t="s">
        <v>7</v>
      </c>
      <c r="B99" s="386"/>
      <c r="C99" s="386">
        <v>16644374.285509702</v>
      </c>
      <c r="D99" s="386"/>
      <c r="E99" s="386">
        <v>1326200.3739300761</v>
      </c>
      <c r="F99" s="386"/>
      <c r="G99" s="386">
        <v>3376953.3324114261</v>
      </c>
      <c r="H99" s="386"/>
      <c r="I99" s="386">
        <v>2310781.1781345834</v>
      </c>
      <c r="J99" s="386">
        <v>56863387.289213091</v>
      </c>
      <c r="K99" s="386">
        <v>34224603.09765403</v>
      </c>
      <c r="L99" s="386">
        <v>4377423.024452202</v>
      </c>
      <c r="M99" s="386"/>
      <c r="N99" s="386">
        <v>119123722.58130512</v>
      </c>
      <c r="P99" s="394"/>
    </row>
    <row r="100" spans="1:19" s="106" customFormat="1">
      <c r="A100" s="386" t="s">
        <v>161</v>
      </c>
      <c r="B100" s="386"/>
      <c r="C100" s="386">
        <v>86725.757295071729</v>
      </c>
      <c r="D100" s="386"/>
      <c r="E100" s="386">
        <v>1142611.3328329877</v>
      </c>
      <c r="F100" s="386"/>
      <c r="G100" s="386"/>
      <c r="H100" s="386"/>
      <c r="I100" s="386"/>
      <c r="J100" s="386">
        <v>45721618.805934392</v>
      </c>
      <c r="K100" s="386">
        <v>1617263.8577282184</v>
      </c>
      <c r="L100" s="386"/>
      <c r="M100" s="386"/>
      <c r="N100" s="386">
        <v>48568219.753790669</v>
      </c>
      <c r="P100" s="394"/>
    </row>
    <row r="101" spans="1:19" s="106" customFormat="1">
      <c r="A101" s="386" t="s">
        <v>170</v>
      </c>
      <c r="B101" s="386" t="s">
        <v>963</v>
      </c>
      <c r="C101" s="386">
        <v>5926391.646184776</v>
      </c>
      <c r="D101" s="386"/>
      <c r="E101" s="386">
        <v>0</v>
      </c>
      <c r="F101" s="386"/>
      <c r="G101" s="386"/>
      <c r="H101" s="386"/>
      <c r="I101" s="386">
        <v>2281713.095075273</v>
      </c>
      <c r="J101" s="386">
        <v>23556098.008928817</v>
      </c>
      <c r="K101" s="386">
        <v>15976597.42624427</v>
      </c>
      <c r="L101" s="386">
        <v>5391022.1177908368</v>
      </c>
      <c r="M101" s="386"/>
      <c r="N101" s="386">
        <v>53131822.294223964</v>
      </c>
      <c r="P101" s="394"/>
    </row>
    <row r="102" spans="1:19" s="106" customFormat="1">
      <c r="A102" s="386" t="s">
        <v>970</v>
      </c>
      <c r="B102" s="386" t="s">
        <v>964</v>
      </c>
      <c r="C102" s="386">
        <v>633940.61089222715</v>
      </c>
      <c r="D102" s="386"/>
      <c r="E102" s="386"/>
      <c r="F102" s="386"/>
      <c r="G102" s="386"/>
      <c r="H102" s="386"/>
      <c r="I102" s="386"/>
      <c r="J102" s="386">
        <v>116593250.17179398</v>
      </c>
      <c r="K102" s="386">
        <v>28646683.496080097</v>
      </c>
      <c r="L102" s="386">
        <v>1119956.6546138835</v>
      </c>
      <c r="M102" s="386"/>
      <c r="N102" s="386">
        <v>146993830.93338019</v>
      </c>
      <c r="P102" s="394"/>
    </row>
    <row r="103" spans="1:19" s="106" customFormat="1">
      <c r="A103" s="386" t="s">
        <v>970</v>
      </c>
      <c r="B103" s="386" t="s">
        <v>965</v>
      </c>
      <c r="C103" s="386">
        <v>766814.43306682911</v>
      </c>
      <c r="D103" s="386"/>
      <c r="E103" s="386">
        <v>1935913.9817126621</v>
      </c>
      <c r="F103" s="386"/>
      <c r="G103" s="386"/>
      <c r="H103" s="386"/>
      <c r="I103" s="386">
        <v>5611595.7706549615</v>
      </c>
      <c r="J103" s="386">
        <v>110232929.81363952</v>
      </c>
      <c r="K103" s="386">
        <v>32922313.379061259</v>
      </c>
      <c r="L103" s="386">
        <v>5320880.8803758956</v>
      </c>
      <c r="M103" s="386"/>
      <c r="N103" s="386">
        <v>156790448.25851113</v>
      </c>
      <c r="P103" s="394"/>
    </row>
    <row r="104" spans="1:19" s="106" customFormat="1">
      <c r="A104" s="386" t="s">
        <v>169</v>
      </c>
      <c r="B104" s="386" t="s">
        <v>966</v>
      </c>
      <c r="C104" s="386"/>
      <c r="D104" s="386"/>
      <c r="E104" s="386"/>
      <c r="F104" s="386"/>
      <c r="G104" s="386"/>
      <c r="H104" s="386">
        <v>6421010.8570707282</v>
      </c>
      <c r="I104" s="386">
        <v>495463.79852358921</v>
      </c>
      <c r="J104" s="386">
        <v>21292717.933000192</v>
      </c>
      <c r="K104" s="386">
        <v>1323256.7134731037</v>
      </c>
      <c r="L104" s="386">
        <v>1605252.7142676821</v>
      </c>
      <c r="M104" s="386"/>
      <c r="N104" s="386">
        <v>31137702.016335297</v>
      </c>
      <c r="P104" s="394"/>
    </row>
    <row r="105" spans="1:19" s="106" customFormat="1">
      <c r="A105" s="386" t="s">
        <v>969</v>
      </c>
      <c r="B105" s="386" t="s">
        <v>967</v>
      </c>
      <c r="C105" s="386"/>
      <c r="D105" s="386"/>
      <c r="E105" s="386">
        <v>433145.38342606963</v>
      </c>
      <c r="F105" s="386"/>
      <c r="G105" s="386">
        <v>3427772.9848457826</v>
      </c>
      <c r="H105" s="386"/>
      <c r="I105" s="386">
        <v>2549383.3189727161</v>
      </c>
      <c r="J105" s="386">
        <v>114641245.07167277</v>
      </c>
      <c r="K105" s="386">
        <v>6918017.9992395435</v>
      </c>
      <c r="L105" s="386">
        <v>1197845.3648339554</v>
      </c>
      <c r="M105" s="386"/>
      <c r="N105" s="386">
        <v>129167410.12299083</v>
      </c>
      <c r="P105" s="394"/>
    </row>
    <row r="106" spans="1:19" s="106" customFormat="1">
      <c r="A106" s="386" t="s">
        <v>171</v>
      </c>
      <c r="B106" s="387"/>
      <c r="C106" s="387">
        <v>18295150.397749342</v>
      </c>
      <c r="D106" s="387">
        <v>12265167.875097359</v>
      </c>
      <c r="E106" s="387">
        <v>636451.60125095316</v>
      </c>
      <c r="F106" s="386"/>
      <c r="G106" s="386">
        <v>21508206.107707322</v>
      </c>
      <c r="H106" s="386">
        <v>17721004.344536625</v>
      </c>
      <c r="I106" s="386">
        <v>1828679.2081592453</v>
      </c>
      <c r="J106" s="386">
        <v>131215315.17522314</v>
      </c>
      <c r="K106" s="386">
        <v>18327903.225072831</v>
      </c>
      <c r="L106" s="386">
        <v>18916928.727118343</v>
      </c>
      <c r="M106" s="386"/>
      <c r="N106" s="386">
        <v>240714806.66191515</v>
      </c>
      <c r="P106" s="394"/>
    </row>
    <row r="107" spans="1:19" s="106" customFormat="1">
      <c r="A107" s="386" t="s">
        <v>10</v>
      </c>
      <c r="B107" s="387"/>
      <c r="C107" s="387">
        <v>974433.4019859822</v>
      </c>
      <c r="D107" s="387"/>
      <c r="E107" s="387">
        <v>19638934.075334746</v>
      </c>
      <c r="F107" s="386"/>
      <c r="G107" s="386"/>
      <c r="H107" s="386"/>
      <c r="I107" s="386">
        <v>23392071.326201007</v>
      </c>
      <c r="J107" s="386">
        <v>65114466.818871178</v>
      </c>
      <c r="K107" s="386">
        <v>89419148.798726708</v>
      </c>
      <c r="L107" s="386">
        <v>7289595.4780433467</v>
      </c>
      <c r="M107" s="386"/>
      <c r="N107" s="386">
        <v>205828649.89916298</v>
      </c>
      <c r="P107" s="394"/>
    </row>
    <row r="108" spans="1:19" s="106" customFormat="1">
      <c r="A108" s="386" t="s">
        <v>28</v>
      </c>
      <c r="B108" s="387"/>
      <c r="C108" s="387">
        <v>111411622.96000434</v>
      </c>
      <c r="D108" s="387">
        <v>18269308.916364402</v>
      </c>
      <c r="E108" s="387">
        <v>39464382.864691928</v>
      </c>
      <c r="F108" s="386">
        <v>21643220.531523947</v>
      </c>
      <c r="G108" s="386">
        <v>261831118.43292132</v>
      </c>
      <c r="H108" s="386">
        <v>32789079.659134902</v>
      </c>
      <c r="I108" s="386">
        <v>64804730.578603812</v>
      </c>
      <c r="J108" s="386">
        <v>1601048693.952565</v>
      </c>
      <c r="K108" s="386">
        <v>406351349.7699703</v>
      </c>
      <c r="L108" s="386">
        <v>84717001.0083839</v>
      </c>
      <c r="M108" s="386">
        <v>8322.6732081259343</v>
      </c>
      <c r="N108" s="386">
        <v>2642338831.3473716</v>
      </c>
      <c r="P108" s="394"/>
    </row>
    <row r="109" spans="1:19" s="106" customFormat="1">
      <c r="B109" s="204"/>
      <c r="C109" s="204"/>
      <c r="D109" s="204"/>
      <c r="E109" s="204"/>
      <c r="P109" s="394"/>
    </row>
    <row r="110" spans="1:19" s="106" customFormat="1">
      <c r="B110" s="214"/>
      <c r="C110" s="214"/>
      <c r="D110" s="214"/>
      <c r="E110" s="214"/>
      <c r="P110" s="414" t="s">
        <v>979</v>
      </c>
    </row>
    <row r="111" spans="1:19" s="106" customFormat="1">
      <c r="B111" s="206"/>
      <c r="C111" s="386" t="s">
        <v>455</v>
      </c>
      <c r="D111" s="390" t="s">
        <v>456</v>
      </c>
      <c r="E111" s="390" t="s">
        <v>457</v>
      </c>
      <c r="F111" s="390" t="s">
        <v>458</v>
      </c>
      <c r="G111" s="390" t="s">
        <v>459</v>
      </c>
      <c r="H111" s="390" t="s">
        <v>460</v>
      </c>
      <c r="I111" s="388" t="s">
        <v>461</v>
      </c>
      <c r="J111" s="388" t="s">
        <v>462</v>
      </c>
      <c r="K111" s="386" t="s">
        <v>463</v>
      </c>
      <c r="L111" s="391" t="s">
        <v>464</v>
      </c>
      <c r="M111" s="386" t="s">
        <v>465</v>
      </c>
      <c r="O111" s="390" t="s">
        <v>313</v>
      </c>
      <c r="P111" s="413" t="s">
        <v>968</v>
      </c>
      <c r="Q111" s="394" t="s">
        <v>469</v>
      </c>
      <c r="S111" s="106" t="s">
        <v>984</v>
      </c>
    </row>
    <row r="112" spans="1:19" s="106" customFormat="1">
      <c r="A112" s="385" t="s">
        <v>148</v>
      </c>
      <c r="B112" s="206"/>
      <c r="C112" s="205">
        <f>SUMIF($A$87:$A$107,$A112,C$87:C$107)</f>
        <v>8288957.8763006879</v>
      </c>
      <c r="D112" s="205">
        <f t="shared" ref="D112:M112" si="8">SUMIF($A$87:$A$107,$A112,D$87:D$107)</f>
        <v>280104.26630113326</v>
      </c>
      <c r="E112" s="205">
        <f t="shared" si="8"/>
        <v>183392.81147400377</v>
      </c>
      <c r="F112" s="205">
        <f t="shared" si="8"/>
        <v>21643220.531523947</v>
      </c>
      <c r="G112" s="205">
        <f t="shared" si="8"/>
        <v>121273620.74354924</v>
      </c>
      <c r="H112" s="205">
        <f t="shared" si="8"/>
        <v>0</v>
      </c>
      <c r="I112" s="205">
        <f t="shared" si="8"/>
        <v>419135.28569895</v>
      </c>
      <c r="J112" s="205">
        <f t="shared" si="8"/>
        <v>70003203.349142492</v>
      </c>
      <c r="K112" s="205">
        <f t="shared" si="8"/>
        <v>15374680.955148645</v>
      </c>
      <c r="L112" s="205">
        <f t="shared" si="8"/>
        <v>16868368.251754828</v>
      </c>
      <c r="M112" s="205">
        <f t="shared" si="8"/>
        <v>0</v>
      </c>
      <c r="N112" s="205">
        <f>SUM(C112:M112)</f>
        <v>254334684.07089391</v>
      </c>
      <c r="O112" s="205">
        <f>D112+E112+F112+G112+H112+L112</f>
        <v>160248706.60460314</v>
      </c>
      <c r="P112" s="415">
        <f>O112/N112</f>
        <v>0.63007020528877222</v>
      </c>
      <c r="Q112" s="170">
        <v>0.92251720398900361</v>
      </c>
      <c r="S112" s="428">
        <f>Q112-P112</f>
        <v>0.29244699870023139</v>
      </c>
    </row>
    <row r="113" spans="1:19" s="106" customFormat="1">
      <c r="A113" s="385" t="s">
        <v>149</v>
      </c>
      <c r="B113" s="206"/>
      <c r="C113" s="205">
        <f t="shared" ref="C113:M129" si="9">SUMIF($A$87:$A$107,$A113,C$87:C$107)</f>
        <v>8973581.1894713566</v>
      </c>
      <c r="D113" s="205">
        <f t="shared" si="9"/>
        <v>3774530.5710799685</v>
      </c>
      <c r="E113" s="205">
        <f t="shared" si="9"/>
        <v>2532830.1517145322</v>
      </c>
      <c r="F113" s="205">
        <f t="shared" si="9"/>
        <v>0</v>
      </c>
      <c r="G113" s="205">
        <f t="shared" si="9"/>
        <v>14957070.13106432</v>
      </c>
      <c r="H113" s="205">
        <f t="shared" si="9"/>
        <v>0</v>
      </c>
      <c r="I113" s="205">
        <f t="shared" si="9"/>
        <v>2229342.1359656164</v>
      </c>
      <c r="J113" s="205">
        <f t="shared" si="9"/>
        <v>248631651.31755167</v>
      </c>
      <c r="K113" s="205">
        <f t="shared" si="9"/>
        <v>8278019.5521937376</v>
      </c>
      <c r="L113" s="205">
        <f t="shared" si="9"/>
        <v>6541209.864000963</v>
      </c>
      <c r="M113" s="205">
        <f t="shared" si="9"/>
        <v>0</v>
      </c>
      <c r="N113" s="205">
        <f t="shared" ref="N113:N129" si="10">SUM(C113:M113)</f>
        <v>295918234.91304219</v>
      </c>
      <c r="O113" s="205">
        <f t="shared" ref="O113:O129" si="11">D113+E113+F113+G113+H113+L113</f>
        <v>27805640.717859782</v>
      </c>
      <c r="P113" s="415">
        <f t="shared" ref="P113:P130" si="12">O113/N113</f>
        <v>9.3963931374592982E-2</v>
      </c>
      <c r="Q113" s="170">
        <v>0.38366363749309523</v>
      </c>
      <c r="S113" s="428">
        <f t="shared" ref="S113:S130" si="13">Q113-P113</f>
        <v>0.28969970611850226</v>
      </c>
    </row>
    <row r="114" spans="1:19" s="106" customFormat="1">
      <c r="A114" s="385" t="s">
        <v>150</v>
      </c>
      <c r="B114" s="206"/>
      <c r="C114" s="205">
        <f t="shared" si="9"/>
        <v>3975987.6052928539</v>
      </c>
      <c r="D114" s="205">
        <f t="shared" si="9"/>
        <v>0</v>
      </c>
      <c r="E114" s="205">
        <f t="shared" si="9"/>
        <v>0</v>
      </c>
      <c r="F114" s="205">
        <f t="shared" si="9"/>
        <v>0</v>
      </c>
      <c r="G114" s="205">
        <f t="shared" si="9"/>
        <v>2768901.55939293</v>
      </c>
      <c r="H114" s="205">
        <f t="shared" si="9"/>
        <v>0</v>
      </c>
      <c r="I114" s="205">
        <f t="shared" si="9"/>
        <v>1847806.51732307</v>
      </c>
      <c r="J114" s="205">
        <f t="shared" si="9"/>
        <v>82803511.576658577</v>
      </c>
      <c r="K114" s="205">
        <f t="shared" si="9"/>
        <v>4062104.2682277001</v>
      </c>
      <c r="L114" s="205">
        <f t="shared" si="9"/>
        <v>0</v>
      </c>
      <c r="M114" s="205">
        <f t="shared" si="9"/>
        <v>0</v>
      </c>
      <c r="N114" s="205">
        <f t="shared" si="10"/>
        <v>95458311.526895121</v>
      </c>
      <c r="O114" s="205">
        <f t="shared" si="11"/>
        <v>2768901.55939293</v>
      </c>
      <c r="P114" s="415">
        <f t="shared" si="12"/>
        <v>2.9006395725036469E-2</v>
      </c>
      <c r="Q114" s="170">
        <v>8.5696434320310225E-2</v>
      </c>
      <c r="S114" s="428">
        <f t="shared" si="13"/>
        <v>5.6690038595273759E-2</v>
      </c>
    </row>
    <row r="115" spans="1:19" s="106" customFormat="1">
      <c r="A115" s="385" t="s">
        <v>195</v>
      </c>
      <c r="C115" s="205">
        <f t="shared" si="9"/>
        <v>0</v>
      </c>
      <c r="D115" s="205">
        <f t="shared" si="9"/>
        <v>0</v>
      </c>
      <c r="E115" s="205">
        <f t="shared" si="9"/>
        <v>433145.38342606963</v>
      </c>
      <c r="F115" s="205">
        <f t="shared" si="9"/>
        <v>0</v>
      </c>
      <c r="G115" s="205">
        <f t="shared" si="9"/>
        <v>3427772.9848457826</v>
      </c>
      <c r="H115" s="205">
        <f t="shared" si="9"/>
        <v>0</v>
      </c>
      <c r="I115" s="205">
        <f t="shared" si="9"/>
        <v>2549383.3189727161</v>
      </c>
      <c r="J115" s="205">
        <f t="shared" si="9"/>
        <v>114641245.07167277</v>
      </c>
      <c r="K115" s="205">
        <f t="shared" si="9"/>
        <v>6918017.9992395435</v>
      </c>
      <c r="L115" s="205">
        <f t="shared" si="9"/>
        <v>1197845.3648339554</v>
      </c>
      <c r="M115" s="205">
        <f t="shared" si="9"/>
        <v>0</v>
      </c>
      <c r="N115" s="205">
        <f t="shared" si="10"/>
        <v>129167410.12299083</v>
      </c>
      <c r="O115" s="205">
        <f t="shared" si="11"/>
        <v>5058763.7331058076</v>
      </c>
      <c r="P115" s="415">
        <f t="shared" si="12"/>
        <v>3.9164397027771525E-2</v>
      </c>
      <c r="Q115" s="170">
        <v>4.5315843613342732E-2</v>
      </c>
      <c r="S115" s="428">
        <f t="shared" si="13"/>
        <v>6.1514465855712075E-3</v>
      </c>
    </row>
    <row r="116" spans="1:19" s="106" customFormat="1">
      <c r="A116" s="385" t="s">
        <v>169</v>
      </c>
      <c r="C116" s="205">
        <f t="shared" si="9"/>
        <v>0</v>
      </c>
      <c r="D116" s="205">
        <f t="shared" si="9"/>
        <v>0</v>
      </c>
      <c r="E116" s="205">
        <f t="shared" si="9"/>
        <v>0</v>
      </c>
      <c r="F116" s="205">
        <f t="shared" si="9"/>
        <v>0</v>
      </c>
      <c r="G116" s="205">
        <f t="shared" si="9"/>
        <v>0</v>
      </c>
      <c r="H116" s="205">
        <f t="shared" si="9"/>
        <v>6421010.8570707282</v>
      </c>
      <c r="I116" s="205">
        <f t="shared" si="9"/>
        <v>495463.79852358921</v>
      </c>
      <c r="J116" s="205">
        <f t="shared" si="9"/>
        <v>21292717.933000192</v>
      </c>
      <c r="K116" s="205">
        <f t="shared" si="9"/>
        <v>1323256.7134731037</v>
      </c>
      <c r="L116" s="205">
        <f t="shared" si="9"/>
        <v>1605252.7142676821</v>
      </c>
      <c r="M116" s="205">
        <f t="shared" si="9"/>
        <v>0</v>
      </c>
      <c r="N116" s="205">
        <f t="shared" si="10"/>
        <v>31137702.016335297</v>
      </c>
      <c r="O116" s="205">
        <f t="shared" si="11"/>
        <v>8026263.5713384105</v>
      </c>
      <c r="P116" s="415">
        <f t="shared" si="12"/>
        <v>0.25776672816535129</v>
      </c>
      <c r="Q116" s="170">
        <v>7.4745377520695086E-2</v>
      </c>
      <c r="S116" s="428">
        <f t="shared" si="13"/>
        <v>-0.18302135064465619</v>
      </c>
    </row>
    <row r="117" spans="1:19" s="106" customFormat="1">
      <c r="A117" s="385" t="s">
        <v>168</v>
      </c>
      <c r="C117" s="205">
        <f t="shared" si="9"/>
        <v>1400755.0439590563</v>
      </c>
      <c r="D117" s="205">
        <f t="shared" si="9"/>
        <v>0</v>
      </c>
      <c r="E117" s="205">
        <f t="shared" si="9"/>
        <v>1935913.9817126621</v>
      </c>
      <c r="F117" s="205">
        <f t="shared" si="9"/>
        <v>0</v>
      </c>
      <c r="G117" s="205">
        <f t="shared" si="9"/>
        <v>0</v>
      </c>
      <c r="H117" s="205">
        <f t="shared" si="9"/>
        <v>0</v>
      </c>
      <c r="I117" s="205">
        <f t="shared" si="9"/>
        <v>5611595.7706549615</v>
      </c>
      <c r="J117" s="205">
        <f t="shared" si="9"/>
        <v>226826179.98543352</v>
      </c>
      <c r="K117" s="205">
        <f t="shared" si="9"/>
        <v>61568996.875141352</v>
      </c>
      <c r="L117" s="205">
        <f t="shared" si="9"/>
        <v>6440837.5349897789</v>
      </c>
      <c r="M117" s="205">
        <f t="shared" si="9"/>
        <v>0</v>
      </c>
      <c r="N117" s="205">
        <f t="shared" si="10"/>
        <v>303784279.19189131</v>
      </c>
      <c r="O117" s="205">
        <f t="shared" si="11"/>
        <v>8376751.5167024415</v>
      </c>
      <c r="P117" s="415">
        <f t="shared" si="12"/>
        <v>2.7574670878248778E-2</v>
      </c>
      <c r="Q117" s="170">
        <v>2.9076166100617591E-2</v>
      </c>
      <c r="S117" s="428">
        <f t="shared" si="13"/>
        <v>1.5014952223688129E-3</v>
      </c>
    </row>
    <row r="118" spans="1:19">
      <c r="A118" s="385" t="s">
        <v>170</v>
      </c>
      <c r="C118" s="205">
        <f t="shared" si="9"/>
        <v>5926391.646184776</v>
      </c>
      <c r="D118" s="205">
        <f t="shared" si="9"/>
        <v>0</v>
      </c>
      <c r="E118" s="205">
        <f t="shared" si="9"/>
        <v>0</v>
      </c>
      <c r="F118" s="205">
        <f t="shared" si="9"/>
        <v>0</v>
      </c>
      <c r="G118" s="205">
        <f t="shared" si="9"/>
        <v>0</v>
      </c>
      <c r="H118" s="205">
        <f t="shared" si="9"/>
        <v>0</v>
      </c>
      <c r="I118" s="205">
        <f t="shared" si="9"/>
        <v>2281713.095075273</v>
      </c>
      <c r="J118" s="205">
        <f t="shared" si="9"/>
        <v>23556098.008928817</v>
      </c>
      <c r="K118" s="205">
        <f t="shared" si="9"/>
        <v>15976597.42624427</v>
      </c>
      <c r="L118" s="205">
        <f t="shared" si="9"/>
        <v>5391022.1177908368</v>
      </c>
      <c r="M118" s="205">
        <f t="shared" si="9"/>
        <v>0</v>
      </c>
      <c r="N118" s="205">
        <f t="shared" si="10"/>
        <v>53131822.294223964</v>
      </c>
      <c r="O118" s="205">
        <f t="shared" si="11"/>
        <v>5391022.1177908368</v>
      </c>
      <c r="P118" s="415">
        <f t="shared" si="12"/>
        <v>0.10146503328904084</v>
      </c>
      <c r="Q118" s="170">
        <v>0.40042113687933983</v>
      </c>
      <c r="S118" s="428">
        <f t="shared" si="13"/>
        <v>0.298956103590299</v>
      </c>
    </row>
    <row r="119" spans="1:19">
      <c r="A119" s="385" t="s">
        <v>171</v>
      </c>
      <c r="C119" s="205">
        <f t="shared" si="9"/>
        <v>18295150.397749342</v>
      </c>
      <c r="D119" s="205">
        <f t="shared" si="9"/>
        <v>12265167.875097359</v>
      </c>
      <c r="E119" s="205">
        <f t="shared" si="9"/>
        <v>636451.60125095316</v>
      </c>
      <c r="F119" s="205">
        <f t="shared" si="9"/>
        <v>0</v>
      </c>
      <c r="G119" s="205">
        <f t="shared" si="9"/>
        <v>21508206.107707322</v>
      </c>
      <c r="H119" s="205">
        <f t="shared" si="9"/>
        <v>17721004.344536625</v>
      </c>
      <c r="I119" s="205">
        <f t="shared" si="9"/>
        <v>1828679.2081592453</v>
      </c>
      <c r="J119" s="205">
        <f t="shared" si="9"/>
        <v>131215315.17522314</v>
      </c>
      <c r="K119" s="205">
        <f t="shared" si="9"/>
        <v>18327903.225072831</v>
      </c>
      <c r="L119" s="205">
        <f t="shared" si="9"/>
        <v>18916928.727118343</v>
      </c>
      <c r="M119" s="205">
        <f t="shared" si="9"/>
        <v>0</v>
      </c>
      <c r="N119" s="205">
        <f t="shared" si="10"/>
        <v>240714806.66191515</v>
      </c>
      <c r="O119" s="205">
        <f t="shared" si="11"/>
        <v>71047758.655710608</v>
      </c>
      <c r="P119" s="415">
        <f t="shared" si="12"/>
        <v>0.29515325476216947</v>
      </c>
      <c r="Q119" s="170">
        <v>0.75728793458309895</v>
      </c>
      <c r="S119" s="428">
        <f t="shared" si="13"/>
        <v>0.46213467982092948</v>
      </c>
    </row>
    <row r="120" spans="1:19">
      <c r="A120" s="389" t="s">
        <v>155</v>
      </c>
      <c r="C120" s="205">
        <f t="shared" si="9"/>
        <v>0</v>
      </c>
      <c r="D120" s="205">
        <f t="shared" si="9"/>
        <v>0</v>
      </c>
      <c r="E120" s="205">
        <f t="shared" si="9"/>
        <v>0</v>
      </c>
      <c r="F120" s="205">
        <f t="shared" si="9"/>
        <v>0</v>
      </c>
      <c r="G120" s="205">
        <f t="shared" si="9"/>
        <v>0</v>
      </c>
      <c r="H120" s="205">
        <f t="shared" si="9"/>
        <v>0</v>
      </c>
      <c r="I120" s="205">
        <f t="shared" si="9"/>
        <v>0</v>
      </c>
      <c r="J120" s="205">
        <f t="shared" si="9"/>
        <v>0</v>
      </c>
      <c r="K120" s="205">
        <f t="shared" si="9"/>
        <v>0</v>
      </c>
      <c r="L120" s="205">
        <f t="shared" si="9"/>
        <v>0</v>
      </c>
      <c r="M120" s="205">
        <f t="shared" si="9"/>
        <v>0</v>
      </c>
      <c r="N120" s="205">
        <f t="shared" si="10"/>
        <v>0</v>
      </c>
      <c r="O120" s="205">
        <f t="shared" si="11"/>
        <v>0</v>
      </c>
      <c r="P120" s="416">
        <f>Q120</f>
        <v>0.77756785592800526</v>
      </c>
      <c r="Q120" s="170">
        <v>0.77756785592800526</v>
      </c>
      <c r="R120" t="s">
        <v>972</v>
      </c>
      <c r="S120" s="428">
        <f t="shared" si="13"/>
        <v>0</v>
      </c>
    </row>
    <row r="121" spans="1:19">
      <c r="A121" s="389" t="s">
        <v>10</v>
      </c>
      <c r="C121" s="205">
        <f t="shared" si="9"/>
        <v>974433.4019859822</v>
      </c>
      <c r="D121" s="205">
        <f t="shared" si="9"/>
        <v>0</v>
      </c>
      <c r="E121" s="205">
        <f t="shared" si="9"/>
        <v>19638934.075334746</v>
      </c>
      <c r="F121" s="205">
        <f t="shared" si="9"/>
        <v>0</v>
      </c>
      <c r="G121" s="205">
        <f t="shared" si="9"/>
        <v>0</v>
      </c>
      <c r="H121" s="205">
        <f t="shared" si="9"/>
        <v>0</v>
      </c>
      <c r="I121" s="205">
        <f t="shared" si="9"/>
        <v>23392071.326201007</v>
      </c>
      <c r="J121" s="205">
        <f t="shared" si="9"/>
        <v>65114466.818871178</v>
      </c>
      <c r="K121" s="205">
        <f t="shared" si="9"/>
        <v>89419148.798726708</v>
      </c>
      <c r="L121" s="205">
        <f t="shared" si="9"/>
        <v>7289595.4780433467</v>
      </c>
      <c r="M121" s="205">
        <f t="shared" si="9"/>
        <v>0</v>
      </c>
      <c r="N121" s="205">
        <f t="shared" si="10"/>
        <v>205828649.89916298</v>
      </c>
      <c r="O121" s="205">
        <f t="shared" si="11"/>
        <v>26928529.553378094</v>
      </c>
      <c r="P121" s="415">
        <f t="shared" si="12"/>
        <v>0.13082984106717208</v>
      </c>
      <c r="Q121" s="170">
        <v>7.2232972801201875E-2</v>
      </c>
      <c r="S121" s="428">
        <f t="shared" si="13"/>
        <v>-5.8596868265970201E-2</v>
      </c>
    </row>
    <row r="122" spans="1:19">
      <c r="A122" s="389" t="s">
        <v>158</v>
      </c>
      <c r="C122" s="205">
        <f t="shared" si="9"/>
        <v>810727.29131027998</v>
      </c>
      <c r="D122" s="205">
        <f t="shared" si="9"/>
        <v>0</v>
      </c>
      <c r="E122" s="205">
        <f t="shared" si="9"/>
        <v>4082000.653044221</v>
      </c>
      <c r="F122" s="205">
        <f t="shared" si="9"/>
        <v>0</v>
      </c>
      <c r="G122" s="205">
        <f t="shared" si="9"/>
        <v>0</v>
      </c>
      <c r="H122" s="205">
        <f t="shared" si="9"/>
        <v>0</v>
      </c>
      <c r="I122" s="205">
        <f t="shared" si="9"/>
        <v>111367.50517278022</v>
      </c>
      <c r="J122" s="205">
        <f t="shared" si="9"/>
        <v>47693873.847080916</v>
      </c>
      <c r="K122" s="205">
        <f t="shared" si="9"/>
        <v>8427039.9907287024</v>
      </c>
      <c r="L122" s="205">
        <f t="shared" si="9"/>
        <v>307150.57181928755</v>
      </c>
      <c r="M122" s="205">
        <f t="shared" si="9"/>
        <v>0</v>
      </c>
      <c r="N122" s="205">
        <f t="shared" si="10"/>
        <v>61432159.859156191</v>
      </c>
      <c r="O122" s="205">
        <f t="shared" si="11"/>
        <v>4389151.2248635087</v>
      </c>
      <c r="P122" s="415">
        <f t="shared" si="12"/>
        <v>7.1447125331852143E-2</v>
      </c>
      <c r="Q122" s="170">
        <v>0.10415744823122977</v>
      </c>
      <c r="S122" s="428">
        <f t="shared" si="13"/>
        <v>3.2710322899377628E-2</v>
      </c>
    </row>
    <row r="123" spans="1:19">
      <c r="A123" s="389" t="s">
        <v>196</v>
      </c>
      <c r="C123" s="205">
        <f t="shared" si="9"/>
        <v>0</v>
      </c>
      <c r="D123" s="205">
        <f t="shared" si="9"/>
        <v>0</v>
      </c>
      <c r="E123" s="205">
        <f t="shared" si="9"/>
        <v>0</v>
      </c>
      <c r="F123" s="205">
        <f t="shared" si="9"/>
        <v>0</v>
      </c>
      <c r="G123" s="205">
        <f t="shared" si="9"/>
        <v>0</v>
      </c>
      <c r="H123" s="205">
        <f t="shared" si="9"/>
        <v>0</v>
      </c>
      <c r="I123" s="205">
        <f t="shared" si="9"/>
        <v>0</v>
      </c>
      <c r="J123" s="205">
        <f t="shared" si="9"/>
        <v>9149727.9779402558</v>
      </c>
      <c r="K123" s="205">
        <f t="shared" si="9"/>
        <v>1060534.9146754674</v>
      </c>
      <c r="L123" s="205">
        <f t="shared" si="9"/>
        <v>0</v>
      </c>
      <c r="M123" s="205">
        <f t="shared" si="9"/>
        <v>0</v>
      </c>
      <c r="N123" s="205">
        <f t="shared" si="10"/>
        <v>10210262.892615722</v>
      </c>
      <c r="O123" s="205">
        <f t="shared" si="11"/>
        <v>0</v>
      </c>
      <c r="P123" s="415">
        <f t="shared" si="12"/>
        <v>0</v>
      </c>
      <c r="Q123" s="170">
        <v>4.9105409688419567E-2</v>
      </c>
      <c r="S123" s="428">
        <f t="shared" si="13"/>
        <v>4.9105409688419567E-2</v>
      </c>
    </row>
    <row r="124" spans="1:19">
      <c r="A124" s="389" t="s">
        <v>161</v>
      </c>
      <c r="C124" s="205">
        <f t="shared" si="9"/>
        <v>86725.757295071729</v>
      </c>
      <c r="D124" s="205">
        <f t="shared" si="9"/>
        <v>0</v>
      </c>
      <c r="E124" s="205">
        <f t="shared" si="9"/>
        <v>1142611.3328329877</v>
      </c>
      <c r="F124" s="205">
        <f t="shared" si="9"/>
        <v>0</v>
      </c>
      <c r="G124" s="205">
        <f t="shared" si="9"/>
        <v>0</v>
      </c>
      <c r="H124" s="205">
        <f t="shared" si="9"/>
        <v>0</v>
      </c>
      <c r="I124" s="205">
        <f t="shared" si="9"/>
        <v>0</v>
      </c>
      <c r="J124" s="205">
        <f t="shared" si="9"/>
        <v>45721618.805934392</v>
      </c>
      <c r="K124" s="205">
        <f t="shared" si="9"/>
        <v>1617263.8577282184</v>
      </c>
      <c r="L124" s="205">
        <f t="shared" si="9"/>
        <v>0</v>
      </c>
      <c r="M124" s="205">
        <f t="shared" si="9"/>
        <v>0</v>
      </c>
      <c r="N124" s="205">
        <f t="shared" si="10"/>
        <v>48568219.753790669</v>
      </c>
      <c r="O124" s="205">
        <f t="shared" si="11"/>
        <v>1142611.3328329877</v>
      </c>
      <c r="P124" s="415">
        <f t="shared" si="12"/>
        <v>2.3525905182962954E-2</v>
      </c>
      <c r="Q124" s="170">
        <v>6.1273460278032182E-2</v>
      </c>
      <c r="S124" s="428">
        <f t="shared" si="13"/>
        <v>3.7747555095069232E-2</v>
      </c>
    </row>
    <row r="125" spans="1:19">
      <c r="A125" s="389" t="s">
        <v>5</v>
      </c>
      <c r="C125" s="205">
        <f t="shared" si="9"/>
        <v>13879312.808266439</v>
      </c>
      <c r="D125" s="205">
        <f t="shared" si="9"/>
        <v>1839209.8812445491</v>
      </c>
      <c r="E125" s="205">
        <f t="shared" si="9"/>
        <v>2481450.962991273</v>
      </c>
      <c r="F125" s="205">
        <f t="shared" si="9"/>
        <v>0</v>
      </c>
      <c r="G125" s="205">
        <f t="shared" si="9"/>
        <v>4710251.9135832749</v>
      </c>
      <c r="H125" s="205">
        <f t="shared" si="9"/>
        <v>2579402.8017257601</v>
      </c>
      <c r="I125" s="205">
        <f t="shared" si="9"/>
        <v>2970958.6302826302</v>
      </c>
      <c r="J125" s="205">
        <f t="shared" si="9"/>
        <v>50545012.040098809</v>
      </c>
      <c r="K125" s="205">
        <f t="shared" si="9"/>
        <v>80248763.106937557</v>
      </c>
      <c r="L125" s="205">
        <f t="shared" si="9"/>
        <v>1114460.3856254756</v>
      </c>
      <c r="M125" s="205">
        <f t="shared" si="9"/>
        <v>0</v>
      </c>
      <c r="N125" s="205">
        <f t="shared" si="10"/>
        <v>160368822.53075576</v>
      </c>
      <c r="O125" s="205">
        <f t="shared" si="11"/>
        <v>12724775.945170334</v>
      </c>
      <c r="P125" s="415">
        <f t="shared" si="12"/>
        <v>7.934694377848886E-2</v>
      </c>
      <c r="Q125" s="170">
        <v>0.45407657120197714</v>
      </c>
      <c r="S125" s="428">
        <f t="shared" si="13"/>
        <v>0.37472962742348825</v>
      </c>
    </row>
    <row r="126" spans="1:19">
      <c r="A126" s="389" t="s">
        <v>164</v>
      </c>
      <c r="C126" s="205">
        <f t="shared" si="9"/>
        <v>0</v>
      </c>
      <c r="D126" s="205">
        <f t="shared" si="9"/>
        <v>0</v>
      </c>
      <c r="E126" s="205">
        <f t="shared" si="9"/>
        <v>0</v>
      </c>
      <c r="F126" s="205">
        <f t="shared" si="9"/>
        <v>0</v>
      </c>
      <c r="G126" s="205">
        <f t="shared" si="9"/>
        <v>0</v>
      </c>
      <c r="H126" s="205">
        <f t="shared" si="9"/>
        <v>0</v>
      </c>
      <c r="I126" s="205">
        <f t="shared" si="9"/>
        <v>0</v>
      </c>
      <c r="J126" s="205">
        <f t="shared" si="9"/>
        <v>0</v>
      </c>
      <c r="K126" s="205">
        <f t="shared" si="9"/>
        <v>0</v>
      </c>
      <c r="L126" s="205">
        <f t="shared" si="9"/>
        <v>0</v>
      </c>
      <c r="M126" s="205">
        <f t="shared" si="9"/>
        <v>0</v>
      </c>
      <c r="N126" s="205">
        <f t="shared" si="10"/>
        <v>0</v>
      </c>
      <c r="O126" s="205">
        <f t="shared" si="11"/>
        <v>0</v>
      </c>
      <c r="P126" s="416">
        <f>Q126</f>
        <v>0.85339696790936803</v>
      </c>
      <c r="Q126" s="170">
        <v>0.85339696790936803</v>
      </c>
      <c r="R126" t="s">
        <v>972</v>
      </c>
      <c r="S126" s="428">
        <f t="shared" si="13"/>
        <v>0</v>
      </c>
    </row>
    <row r="127" spans="1:19">
      <c r="A127" s="389" t="s">
        <v>7</v>
      </c>
      <c r="C127" s="205">
        <f t="shared" si="9"/>
        <v>16644374.285509702</v>
      </c>
      <c r="D127" s="205">
        <f t="shared" si="9"/>
        <v>0</v>
      </c>
      <c r="E127" s="205">
        <f t="shared" si="9"/>
        <v>1326200.3739300761</v>
      </c>
      <c r="F127" s="205">
        <f t="shared" si="9"/>
        <v>0</v>
      </c>
      <c r="G127" s="205">
        <f t="shared" si="9"/>
        <v>3376953.3324114261</v>
      </c>
      <c r="H127" s="205">
        <f t="shared" si="9"/>
        <v>0</v>
      </c>
      <c r="I127" s="205">
        <f t="shared" si="9"/>
        <v>2310781.1781345834</v>
      </c>
      <c r="J127" s="205">
        <f t="shared" si="9"/>
        <v>56863387.289213091</v>
      </c>
      <c r="K127" s="205">
        <f t="shared" si="9"/>
        <v>34224603.09765403</v>
      </c>
      <c r="L127" s="205">
        <f t="shared" si="9"/>
        <v>4377423.024452202</v>
      </c>
      <c r="M127" s="205">
        <f t="shared" si="9"/>
        <v>0</v>
      </c>
      <c r="N127" s="205">
        <f t="shared" si="10"/>
        <v>119123722.58130512</v>
      </c>
      <c r="O127" s="205">
        <f t="shared" si="11"/>
        <v>9080576.7307937033</v>
      </c>
      <c r="P127" s="415">
        <f t="shared" si="12"/>
        <v>7.6228114216259218E-2</v>
      </c>
      <c r="Q127" s="170">
        <v>0.51172019529263135</v>
      </c>
      <c r="S127" s="428">
        <f t="shared" si="13"/>
        <v>0.43549208107637216</v>
      </c>
    </row>
    <row r="128" spans="1:19">
      <c r="A128" s="389" t="s">
        <v>3</v>
      </c>
      <c r="C128" s="205">
        <f t="shared" si="9"/>
        <v>22971944.552047111</v>
      </c>
      <c r="D128" s="205">
        <f t="shared" si="9"/>
        <v>110296.32264139135</v>
      </c>
      <c r="E128" s="205">
        <f t="shared" si="9"/>
        <v>1609022.1431874938</v>
      </c>
      <c r="F128" s="205">
        <f t="shared" si="9"/>
        <v>0</v>
      </c>
      <c r="G128" s="205">
        <f t="shared" si="9"/>
        <v>46828389.095345192</v>
      </c>
      <c r="H128" s="205">
        <f t="shared" si="9"/>
        <v>1939668.3953124494</v>
      </c>
      <c r="I128" s="205">
        <f t="shared" si="9"/>
        <v>3353745.306331676</v>
      </c>
      <c r="J128" s="205">
        <f t="shared" si="9"/>
        <v>255153180.09374392</v>
      </c>
      <c r="K128" s="205">
        <f t="shared" si="9"/>
        <v>10647216.616551032</v>
      </c>
      <c r="L128" s="205">
        <f t="shared" si="9"/>
        <v>8729987.7034770604</v>
      </c>
      <c r="M128" s="205">
        <f t="shared" si="9"/>
        <v>8322.6732081259343</v>
      </c>
      <c r="N128" s="205">
        <f t="shared" si="10"/>
        <v>351351772.90184546</v>
      </c>
      <c r="O128" s="205">
        <f t="shared" si="11"/>
        <v>59217363.659963593</v>
      </c>
      <c r="P128" s="415">
        <f t="shared" si="12"/>
        <v>0.16854152512418574</v>
      </c>
      <c r="Q128" s="170">
        <v>0.3</v>
      </c>
      <c r="S128" s="428">
        <f t="shared" si="13"/>
        <v>0.13145847487581425</v>
      </c>
    </row>
    <row r="129" spans="1:19">
      <c r="A129" s="389" t="s">
        <v>11</v>
      </c>
      <c r="C129" s="205">
        <f t="shared" si="9"/>
        <v>9183281.1046316847</v>
      </c>
      <c r="D129" s="205">
        <f t="shared" si="9"/>
        <v>0</v>
      </c>
      <c r="E129" s="205">
        <f t="shared" si="9"/>
        <v>3462429.3937929114</v>
      </c>
      <c r="F129" s="205">
        <f t="shared" si="9"/>
        <v>0</v>
      </c>
      <c r="G129" s="205">
        <f t="shared" si="9"/>
        <v>42979952.565021843</v>
      </c>
      <c r="H129" s="205">
        <f t="shared" si="9"/>
        <v>4127993.2604893385</v>
      </c>
      <c r="I129" s="205">
        <f t="shared" si="9"/>
        <v>15402687.502107717</v>
      </c>
      <c r="J129" s="205">
        <f t="shared" si="9"/>
        <v>151837504.66207132</v>
      </c>
      <c r="K129" s="205">
        <f t="shared" si="9"/>
        <v>48877202.372227401</v>
      </c>
      <c r="L129" s="205">
        <f t="shared" si="9"/>
        <v>5936919.2702101506</v>
      </c>
      <c r="M129" s="205">
        <f t="shared" si="9"/>
        <v>0</v>
      </c>
      <c r="N129" s="205">
        <f t="shared" si="10"/>
        <v>281807970.13055235</v>
      </c>
      <c r="O129" s="205">
        <f t="shared" si="11"/>
        <v>56507294.489514247</v>
      </c>
      <c r="P129" s="415">
        <f t="shared" si="12"/>
        <v>0.20051702037858005</v>
      </c>
      <c r="Q129" s="170">
        <v>0.35648899777307547</v>
      </c>
      <c r="S129" s="428">
        <f t="shared" si="13"/>
        <v>0.15597197739449542</v>
      </c>
    </row>
    <row r="130" spans="1:19">
      <c r="A130" s="389" t="s">
        <v>27</v>
      </c>
      <c r="C130" s="202">
        <f>SUM(C112:C129)</f>
        <v>111411622.96000436</v>
      </c>
      <c r="D130" s="202">
        <f t="shared" ref="D130:M130" si="14">SUM(D112:D129)</f>
        <v>18269308.916364402</v>
      </c>
      <c r="E130" s="202">
        <f t="shared" si="14"/>
        <v>39464382.864691928</v>
      </c>
      <c r="F130" s="202">
        <f t="shared" si="14"/>
        <v>21643220.531523947</v>
      </c>
      <c r="G130" s="202">
        <f t="shared" si="14"/>
        <v>261831118.43292135</v>
      </c>
      <c r="H130" s="202">
        <f t="shared" si="14"/>
        <v>32789079.659134902</v>
      </c>
      <c r="I130" s="202">
        <f t="shared" si="14"/>
        <v>64804730.578603819</v>
      </c>
      <c r="J130" s="202">
        <f t="shared" si="14"/>
        <v>1601048693.9525652</v>
      </c>
      <c r="K130" s="202">
        <f t="shared" si="14"/>
        <v>406351349.7699703</v>
      </c>
      <c r="L130" s="202">
        <f t="shared" si="14"/>
        <v>84717001.0083839</v>
      </c>
      <c r="M130" s="202">
        <f t="shared" si="14"/>
        <v>8322.6732081259343</v>
      </c>
      <c r="N130" s="202">
        <f>SUM(N112:N129)</f>
        <v>2642338831.3473721</v>
      </c>
      <c r="O130" s="202">
        <f>SUM(O112:O129)</f>
        <v>458714111.41302049</v>
      </c>
      <c r="P130" s="415">
        <f t="shared" si="12"/>
        <v>0.17360154798130661</v>
      </c>
      <c r="S130" s="428">
        <f t="shared" si="13"/>
        <v>-0.17360154798130661</v>
      </c>
    </row>
  </sheetData>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sheetPr codeName="Sheet9"/>
  <dimension ref="B3:AP195"/>
  <sheetViews>
    <sheetView workbookViewId="0">
      <selection activeCell="N25" sqref="N25"/>
    </sheetView>
  </sheetViews>
  <sheetFormatPr defaultRowHeight="12.75"/>
  <cols>
    <col min="1" max="1" width="9.140625" style="108"/>
    <col min="2" max="2" width="12.7109375" style="108" customWidth="1"/>
    <col min="3" max="17" width="9.140625" style="108"/>
    <col min="18" max="18" width="19.140625" style="108" customWidth="1"/>
    <col min="19" max="21" width="9.140625" style="108"/>
    <col min="22" max="22" width="17.28515625" style="108" customWidth="1"/>
    <col min="23" max="257" width="9.140625" style="108"/>
    <col min="258" max="258" width="12.7109375" style="108" customWidth="1"/>
    <col min="259" max="273" width="9.140625" style="108"/>
    <col min="274" max="274" width="19.140625" style="108" customWidth="1"/>
    <col min="275" max="277" width="9.140625" style="108"/>
    <col min="278" max="278" width="17.28515625" style="108" customWidth="1"/>
    <col min="279" max="513" width="9.140625" style="108"/>
    <col min="514" max="514" width="12.7109375" style="108" customWidth="1"/>
    <col min="515" max="529" width="9.140625" style="108"/>
    <col min="530" max="530" width="19.140625" style="108" customWidth="1"/>
    <col min="531" max="533" width="9.140625" style="108"/>
    <col min="534" max="534" width="17.28515625" style="108" customWidth="1"/>
    <col min="535" max="769" width="9.140625" style="108"/>
    <col min="770" max="770" width="12.7109375" style="108" customWidth="1"/>
    <col min="771" max="785" width="9.140625" style="108"/>
    <col min="786" max="786" width="19.140625" style="108" customWidth="1"/>
    <col min="787" max="789" width="9.140625" style="108"/>
    <col min="790" max="790" width="17.28515625" style="108" customWidth="1"/>
    <col min="791" max="1025" width="9.140625" style="108"/>
    <col min="1026" max="1026" width="12.7109375" style="108" customWidth="1"/>
    <col min="1027" max="1041" width="9.140625" style="108"/>
    <col min="1042" max="1042" width="19.140625" style="108" customWidth="1"/>
    <col min="1043" max="1045" width="9.140625" style="108"/>
    <col min="1046" max="1046" width="17.28515625" style="108" customWidth="1"/>
    <col min="1047" max="1281" width="9.140625" style="108"/>
    <col min="1282" max="1282" width="12.7109375" style="108" customWidth="1"/>
    <col min="1283" max="1297" width="9.140625" style="108"/>
    <col min="1298" max="1298" width="19.140625" style="108" customWidth="1"/>
    <col min="1299" max="1301" width="9.140625" style="108"/>
    <col min="1302" max="1302" width="17.28515625" style="108" customWidth="1"/>
    <col min="1303" max="1537" width="9.140625" style="108"/>
    <col min="1538" max="1538" width="12.7109375" style="108" customWidth="1"/>
    <col min="1539" max="1553" width="9.140625" style="108"/>
    <col min="1554" max="1554" width="19.140625" style="108" customWidth="1"/>
    <col min="1555" max="1557" width="9.140625" style="108"/>
    <col min="1558" max="1558" width="17.28515625" style="108" customWidth="1"/>
    <col min="1559" max="1793" width="9.140625" style="108"/>
    <col min="1794" max="1794" width="12.7109375" style="108" customWidth="1"/>
    <col min="1795" max="1809" width="9.140625" style="108"/>
    <col min="1810" max="1810" width="19.140625" style="108" customWidth="1"/>
    <col min="1811" max="1813" width="9.140625" style="108"/>
    <col min="1814" max="1814" width="17.28515625" style="108" customWidth="1"/>
    <col min="1815" max="2049" width="9.140625" style="108"/>
    <col min="2050" max="2050" width="12.7109375" style="108" customWidth="1"/>
    <col min="2051" max="2065" width="9.140625" style="108"/>
    <col min="2066" max="2066" width="19.140625" style="108" customWidth="1"/>
    <col min="2067" max="2069" width="9.140625" style="108"/>
    <col min="2070" max="2070" width="17.28515625" style="108" customWidth="1"/>
    <col min="2071" max="2305" width="9.140625" style="108"/>
    <col min="2306" max="2306" width="12.7109375" style="108" customWidth="1"/>
    <col min="2307" max="2321" width="9.140625" style="108"/>
    <col min="2322" max="2322" width="19.140625" style="108" customWidth="1"/>
    <col min="2323" max="2325" width="9.140625" style="108"/>
    <col min="2326" max="2326" width="17.28515625" style="108" customWidth="1"/>
    <col min="2327" max="2561" width="9.140625" style="108"/>
    <col min="2562" max="2562" width="12.7109375" style="108" customWidth="1"/>
    <col min="2563" max="2577" width="9.140625" style="108"/>
    <col min="2578" max="2578" width="19.140625" style="108" customWidth="1"/>
    <col min="2579" max="2581" width="9.140625" style="108"/>
    <col min="2582" max="2582" width="17.28515625" style="108" customWidth="1"/>
    <col min="2583" max="2817" width="9.140625" style="108"/>
    <col min="2818" max="2818" width="12.7109375" style="108" customWidth="1"/>
    <col min="2819" max="2833" width="9.140625" style="108"/>
    <col min="2834" max="2834" width="19.140625" style="108" customWidth="1"/>
    <col min="2835" max="2837" width="9.140625" style="108"/>
    <col min="2838" max="2838" width="17.28515625" style="108" customWidth="1"/>
    <col min="2839" max="3073" width="9.140625" style="108"/>
    <col min="3074" max="3074" width="12.7109375" style="108" customWidth="1"/>
    <col min="3075" max="3089" width="9.140625" style="108"/>
    <col min="3090" max="3090" width="19.140625" style="108" customWidth="1"/>
    <col min="3091" max="3093" width="9.140625" style="108"/>
    <col min="3094" max="3094" width="17.28515625" style="108" customWidth="1"/>
    <col min="3095" max="3329" width="9.140625" style="108"/>
    <col min="3330" max="3330" width="12.7109375" style="108" customWidth="1"/>
    <col min="3331" max="3345" width="9.140625" style="108"/>
    <col min="3346" max="3346" width="19.140625" style="108" customWidth="1"/>
    <col min="3347" max="3349" width="9.140625" style="108"/>
    <col min="3350" max="3350" width="17.28515625" style="108" customWidth="1"/>
    <col min="3351" max="3585" width="9.140625" style="108"/>
    <col min="3586" max="3586" width="12.7109375" style="108" customWidth="1"/>
    <col min="3587" max="3601" width="9.140625" style="108"/>
    <col min="3602" max="3602" width="19.140625" style="108" customWidth="1"/>
    <col min="3603" max="3605" width="9.140625" style="108"/>
    <col min="3606" max="3606" width="17.28515625" style="108" customWidth="1"/>
    <col min="3607" max="3841" width="9.140625" style="108"/>
    <col min="3842" max="3842" width="12.7109375" style="108" customWidth="1"/>
    <col min="3843" max="3857" width="9.140625" style="108"/>
    <col min="3858" max="3858" width="19.140625" style="108" customWidth="1"/>
    <col min="3859" max="3861" width="9.140625" style="108"/>
    <col min="3862" max="3862" width="17.28515625" style="108" customWidth="1"/>
    <col min="3863" max="4097" width="9.140625" style="108"/>
    <col min="4098" max="4098" width="12.7109375" style="108" customWidth="1"/>
    <col min="4099" max="4113" width="9.140625" style="108"/>
    <col min="4114" max="4114" width="19.140625" style="108" customWidth="1"/>
    <col min="4115" max="4117" width="9.140625" style="108"/>
    <col min="4118" max="4118" width="17.28515625" style="108" customWidth="1"/>
    <col min="4119" max="4353" width="9.140625" style="108"/>
    <col min="4354" max="4354" width="12.7109375" style="108" customWidth="1"/>
    <col min="4355" max="4369" width="9.140625" style="108"/>
    <col min="4370" max="4370" width="19.140625" style="108" customWidth="1"/>
    <col min="4371" max="4373" width="9.140625" style="108"/>
    <col min="4374" max="4374" width="17.28515625" style="108" customWidth="1"/>
    <col min="4375" max="4609" width="9.140625" style="108"/>
    <col min="4610" max="4610" width="12.7109375" style="108" customWidth="1"/>
    <col min="4611" max="4625" width="9.140625" style="108"/>
    <col min="4626" max="4626" width="19.140625" style="108" customWidth="1"/>
    <col min="4627" max="4629" width="9.140625" style="108"/>
    <col min="4630" max="4630" width="17.28515625" style="108" customWidth="1"/>
    <col min="4631" max="4865" width="9.140625" style="108"/>
    <col min="4866" max="4866" width="12.7109375" style="108" customWidth="1"/>
    <col min="4867" max="4881" width="9.140625" style="108"/>
    <col min="4882" max="4882" width="19.140625" style="108" customWidth="1"/>
    <col min="4883" max="4885" width="9.140625" style="108"/>
    <col min="4886" max="4886" width="17.28515625" style="108" customWidth="1"/>
    <col min="4887" max="5121" width="9.140625" style="108"/>
    <col min="5122" max="5122" width="12.7109375" style="108" customWidth="1"/>
    <col min="5123" max="5137" width="9.140625" style="108"/>
    <col min="5138" max="5138" width="19.140625" style="108" customWidth="1"/>
    <col min="5139" max="5141" width="9.140625" style="108"/>
    <col min="5142" max="5142" width="17.28515625" style="108" customWidth="1"/>
    <col min="5143" max="5377" width="9.140625" style="108"/>
    <col min="5378" max="5378" width="12.7109375" style="108" customWidth="1"/>
    <col min="5379" max="5393" width="9.140625" style="108"/>
    <col min="5394" max="5394" width="19.140625" style="108" customWidth="1"/>
    <col min="5395" max="5397" width="9.140625" style="108"/>
    <col min="5398" max="5398" width="17.28515625" style="108" customWidth="1"/>
    <col min="5399" max="5633" width="9.140625" style="108"/>
    <col min="5634" max="5634" width="12.7109375" style="108" customWidth="1"/>
    <col min="5635" max="5649" width="9.140625" style="108"/>
    <col min="5650" max="5650" width="19.140625" style="108" customWidth="1"/>
    <col min="5651" max="5653" width="9.140625" style="108"/>
    <col min="5654" max="5654" width="17.28515625" style="108" customWidth="1"/>
    <col min="5655" max="5889" width="9.140625" style="108"/>
    <col min="5890" max="5890" width="12.7109375" style="108" customWidth="1"/>
    <col min="5891" max="5905" width="9.140625" style="108"/>
    <col min="5906" max="5906" width="19.140625" style="108" customWidth="1"/>
    <col min="5907" max="5909" width="9.140625" style="108"/>
    <col min="5910" max="5910" width="17.28515625" style="108" customWidth="1"/>
    <col min="5911" max="6145" width="9.140625" style="108"/>
    <col min="6146" max="6146" width="12.7109375" style="108" customWidth="1"/>
    <col min="6147" max="6161" width="9.140625" style="108"/>
    <col min="6162" max="6162" width="19.140625" style="108" customWidth="1"/>
    <col min="6163" max="6165" width="9.140625" style="108"/>
    <col min="6166" max="6166" width="17.28515625" style="108" customWidth="1"/>
    <col min="6167" max="6401" width="9.140625" style="108"/>
    <col min="6402" max="6402" width="12.7109375" style="108" customWidth="1"/>
    <col min="6403" max="6417" width="9.140625" style="108"/>
    <col min="6418" max="6418" width="19.140625" style="108" customWidth="1"/>
    <col min="6419" max="6421" width="9.140625" style="108"/>
    <col min="6422" max="6422" width="17.28515625" style="108" customWidth="1"/>
    <col min="6423" max="6657" width="9.140625" style="108"/>
    <col min="6658" max="6658" width="12.7109375" style="108" customWidth="1"/>
    <col min="6659" max="6673" width="9.140625" style="108"/>
    <col min="6674" max="6674" width="19.140625" style="108" customWidth="1"/>
    <col min="6675" max="6677" width="9.140625" style="108"/>
    <col min="6678" max="6678" width="17.28515625" style="108" customWidth="1"/>
    <col min="6679" max="6913" width="9.140625" style="108"/>
    <col min="6914" max="6914" width="12.7109375" style="108" customWidth="1"/>
    <col min="6915" max="6929" width="9.140625" style="108"/>
    <col min="6930" max="6930" width="19.140625" style="108" customWidth="1"/>
    <col min="6931" max="6933" width="9.140625" style="108"/>
    <col min="6934" max="6934" width="17.28515625" style="108" customWidth="1"/>
    <col min="6935" max="7169" width="9.140625" style="108"/>
    <col min="7170" max="7170" width="12.7109375" style="108" customWidth="1"/>
    <col min="7171" max="7185" width="9.140625" style="108"/>
    <col min="7186" max="7186" width="19.140625" style="108" customWidth="1"/>
    <col min="7187" max="7189" width="9.140625" style="108"/>
    <col min="7190" max="7190" width="17.28515625" style="108" customWidth="1"/>
    <col min="7191" max="7425" width="9.140625" style="108"/>
    <col min="7426" max="7426" width="12.7109375" style="108" customWidth="1"/>
    <col min="7427" max="7441" width="9.140625" style="108"/>
    <col min="7442" max="7442" width="19.140625" style="108" customWidth="1"/>
    <col min="7443" max="7445" width="9.140625" style="108"/>
    <col min="7446" max="7446" width="17.28515625" style="108" customWidth="1"/>
    <col min="7447" max="7681" width="9.140625" style="108"/>
    <col min="7682" max="7682" width="12.7109375" style="108" customWidth="1"/>
    <col min="7683" max="7697" width="9.140625" style="108"/>
    <col min="7698" max="7698" width="19.140625" style="108" customWidth="1"/>
    <col min="7699" max="7701" width="9.140625" style="108"/>
    <col min="7702" max="7702" width="17.28515625" style="108" customWidth="1"/>
    <col min="7703" max="7937" width="9.140625" style="108"/>
    <col min="7938" max="7938" width="12.7109375" style="108" customWidth="1"/>
    <col min="7939" max="7953" width="9.140625" style="108"/>
    <col min="7954" max="7954" width="19.140625" style="108" customWidth="1"/>
    <col min="7955" max="7957" width="9.140625" style="108"/>
    <col min="7958" max="7958" width="17.28515625" style="108" customWidth="1"/>
    <col min="7959" max="8193" width="9.140625" style="108"/>
    <col min="8194" max="8194" width="12.7109375" style="108" customWidth="1"/>
    <col min="8195" max="8209" width="9.140625" style="108"/>
    <col min="8210" max="8210" width="19.140625" style="108" customWidth="1"/>
    <col min="8211" max="8213" width="9.140625" style="108"/>
    <col min="8214" max="8214" width="17.28515625" style="108" customWidth="1"/>
    <col min="8215" max="8449" width="9.140625" style="108"/>
    <col min="8450" max="8450" width="12.7109375" style="108" customWidth="1"/>
    <col min="8451" max="8465" width="9.140625" style="108"/>
    <col min="8466" max="8466" width="19.140625" style="108" customWidth="1"/>
    <col min="8467" max="8469" width="9.140625" style="108"/>
    <col min="8470" max="8470" width="17.28515625" style="108" customWidth="1"/>
    <col min="8471" max="8705" width="9.140625" style="108"/>
    <col min="8706" max="8706" width="12.7109375" style="108" customWidth="1"/>
    <col min="8707" max="8721" width="9.140625" style="108"/>
    <col min="8722" max="8722" width="19.140625" style="108" customWidth="1"/>
    <col min="8723" max="8725" width="9.140625" style="108"/>
    <col min="8726" max="8726" width="17.28515625" style="108" customWidth="1"/>
    <col min="8727" max="8961" width="9.140625" style="108"/>
    <col min="8962" max="8962" width="12.7109375" style="108" customWidth="1"/>
    <col min="8963" max="8977" width="9.140625" style="108"/>
    <col min="8978" max="8978" width="19.140625" style="108" customWidth="1"/>
    <col min="8979" max="8981" width="9.140625" style="108"/>
    <col min="8982" max="8982" width="17.28515625" style="108" customWidth="1"/>
    <col min="8983" max="9217" width="9.140625" style="108"/>
    <col min="9218" max="9218" width="12.7109375" style="108" customWidth="1"/>
    <col min="9219" max="9233" width="9.140625" style="108"/>
    <col min="9234" max="9234" width="19.140625" style="108" customWidth="1"/>
    <col min="9235" max="9237" width="9.140625" style="108"/>
    <col min="9238" max="9238" width="17.28515625" style="108" customWidth="1"/>
    <col min="9239" max="9473" width="9.140625" style="108"/>
    <col min="9474" max="9474" width="12.7109375" style="108" customWidth="1"/>
    <col min="9475" max="9489" width="9.140625" style="108"/>
    <col min="9490" max="9490" width="19.140625" style="108" customWidth="1"/>
    <col min="9491" max="9493" width="9.140625" style="108"/>
    <col min="9494" max="9494" width="17.28515625" style="108" customWidth="1"/>
    <col min="9495" max="9729" width="9.140625" style="108"/>
    <col min="9730" max="9730" width="12.7109375" style="108" customWidth="1"/>
    <col min="9731" max="9745" width="9.140625" style="108"/>
    <col min="9746" max="9746" width="19.140625" style="108" customWidth="1"/>
    <col min="9747" max="9749" width="9.140625" style="108"/>
    <col min="9750" max="9750" width="17.28515625" style="108" customWidth="1"/>
    <col min="9751" max="9985" width="9.140625" style="108"/>
    <col min="9986" max="9986" width="12.7109375" style="108" customWidth="1"/>
    <col min="9987" max="10001" width="9.140625" style="108"/>
    <col min="10002" max="10002" width="19.140625" style="108" customWidth="1"/>
    <col min="10003" max="10005" width="9.140625" style="108"/>
    <col min="10006" max="10006" width="17.28515625" style="108" customWidth="1"/>
    <col min="10007" max="10241" width="9.140625" style="108"/>
    <col min="10242" max="10242" width="12.7109375" style="108" customWidth="1"/>
    <col min="10243" max="10257" width="9.140625" style="108"/>
    <col min="10258" max="10258" width="19.140625" style="108" customWidth="1"/>
    <col min="10259" max="10261" width="9.140625" style="108"/>
    <col min="10262" max="10262" width="17.28515625" style="108" customWidth="1"/>
    <col min="10263" max="10497" width="9.140625" style="108"/>
    <col min="10498" max="10498" width="12.7109375" style="108" customWidth="1"/>
    <col min="10499" max="10513" width="9.140625" style="108"/>
    <col min="10514" max="10514" width="19.140625" style="108" customWidth="1"/>
    <col min="10515" max="10517" width="9.140625" style="108"/>
    <col min="10518" max="10518" width="17.28515625" style="108" customWidth="1"/>
    <col min="10519" max="10753" width="9.140625" style="108"/>
    <col min="10754" max="10754" width="12.7109375" style="108" customWidth="1"/>
    <col min="10755" max="10769" width="9.140625" style="108"/>
    <col min="10770" max="10770" width="19.140625" style="108" customWidth="1"/>
    <col min="10771" max="10773" width="9.140625" style="108"/>
    <col min="10774" max="10774" width="17.28515625" style="108" customWidth="1"/>
    <col min="10775" max="11009" width="9.140625" style="108"/>
    <col min="11010" max="11010" width="12.7109375" style="108" customWidth="1"/>
    <col min="11011" max="11025" width="9.140625" style="108"/>
    <col min="11026" max="11026" width="19.140625" style="108" customWidth="1"/>
    <col min="11027" max="11029" width="9.140625" style="108"/>
    <col min="11030" max="11030" width="17.28515625" style="108" customWidth="1"/>
    <col min="11031" max="11265" width="9.140625" style="108"/>
    <col min="11266" max="11266" width="12.7109375" style="108" customWidth="1"/>
    <col min="11267" max="11281" width="9.140625" style="108"/>
    <col min="11282" max="11282" width="19.140625" style="108" customWidth="1"/>
    <col min="11283" max="11285" width="9.140625" style="108"/>
    <col min="11286" max="11286" width="17.28515625" style="108" customWidth="1"/>
    <col min="11287" max="11521" width="9.140625" style="108"/>
    <col min="11522" max="11522" width="12.7109375" style="108" customWidth="1"/>
    <col min="11523" max="11537" width="9.140625" style="108"/>
    <col min="11538" max="11538" width="19.140625" style="108" customWidth="1"/>
    <col min="11539" max="11541" width="9.140625" style="108"/>
    <col min="11542" max="11542" width="17.28515625" style="108" customWidth="1"/>
    <col min="11543" max="11777" width="9.140625" style="108"/>
    <col min="11778" max="11778" width="12.7109375" style="108" customWidth="1"/>
    <col min="11779" max="11793" width="9.140625" style="108"/>
    <col min="11794" max="11794" width="19.140625" style="108" customWidth="1"/>
    <col min="11795" max="11797" width="9.140625" style="108"/>
    <col min="11798" max="11798" width="17.28515625" style="108" customWidth="1"/>
    <col min="11799" max="12033" width="9.140625" style="108"/>
    <col min="12034" max="12034" width="12.7109375" style="108" customWidth="1"/>
    <col min="12035" max="12049" width="9.140625" style="108"/>
    <col min="12050" max="12050" width="19.140625" style="108" customWidth="1"/>
    <col min="12051" max="12053" width="9.140625" style="108"/>
    <col min="12054" max="12054" width="17.28515625" style="108" customWidth="1"/>
    <col min="12055" max="12289" width="9.140625" style="108"/>
    <col min="12290" max="12290" width="12.7109375" style="108" customWidth="1"/>
    <col min="12291" max="12305" width="9.140625" style="108"/>
    <col min="12306" max="12306" width="19.140625" style="108" customWidth="1"/>
    <col min="12307" max="12309" width="9.140625" style="108"/>
    <col min="12310" max="12310" width="17.28515625" style="108" customWidth="1"/>
    <col min="12311" max="12545" width="9.140625" style="108"/>
    <col min="12546" max="12546" width="12.7109375" style="108" customWidth="1"/>
    <col min="12547" max="12561" width="9.140625" style="108"/>
    <col min="12562" max="12562" width="19.140625" style="108" customWidth="1"/>
    <col min="12563" max="12565" width="9.140625" style="108"/>
    <col min="12566" max="12566" width="17.28515625" style="108" customWidth="1"/>
    <col min="12567" max="12801" width="9.140625" style="108"/>
    <col min="12802" max="12802" width="12.7109375" style="108" customWidth="1"/>
    <col min="12803" max="12817" width="9.140625" style="108"/>
    <col min="12818" max="12818" width="19.140625" style="108" customWidth="1"/>
    <col min="12819" max="12821" width="9.140625" style="108"/>
    <col min="12822" max="12822" width="17.28515625" style="108" customWidth="1"/>
    <col min="12823" max="13057" width="9.140625" style="108"/>
    <col min="13058" max="13058" width="12.7109375" style="108" customWidth="1"/>
    <col min="13059" max="13073" width="9.140625" style="108"/>
    <col min="13074" max="13074" width="19.140625" style="108" customWidth="1"/>
    <col min="13075" max="13077" width="9.140625" style="108"/>
    <col min="13078" max="13078" width="17.28515625" style="108" customWidth="1"/>
    <col min="13079" max="13313" width="9.140625" style="108"/>
    <col min="13314" max="13314" width="12.7109375" style="108" customWidth="1"/>
    <col min="13315" max="13329" width="9.140625" style="108"/>
    <col min="13330" max="13330" width="19.140625" style="108" customWidth="1"/>
    <col min="13331" max="13333" width="9.140625" style="108"/>
    <col min="13334" max="13334" width="17.28515625" style="108" customWidth="1"/>
    <col min="13335" max="13569" width="9.140625" style="108"/>
    <col min="13570" max="13570" width="12.7109375" style="108" customWidth="1"/>
    <col min="13571" max="13585" width="9.140625" style="108"/>
    <col min="13586" max="13586" width="19.140625" style="108" customWidth="1"/>
    <col min="13587" max="13589" width="9.140625" style="108"/>
    <col min="13590" max="13590" width="17.28515625" style="108" customWidth="1"/>
    <col min="13591" max="13825" width="9.140625" style="108"/>
    <col min="13826" max="13826" width="12.7109375" style="108" customWidth="1"/>
    <col min="13827" max="13841" width="9.140625" style="108"/>
    <col min="13842" max="13842" width="19.140625" style="108" customWidth="1"/>
    <col min="13843" max="13845" width="9.140625" style="108"/>
    <col min="13846" max="13846" width="17.28515625" style="108" customWidth="1"/>
    <col min="13847" max="14081" width="9.140625" style="108"/>
    <col min="14082" max="14082" width="12.7109375" style="108" customWidth="1"/>
    <col min="14083" max="14097" width="9.140625" style="108"/>
    <col min="14098" max="14098" width="19.140625" style="108" customWidth="1"/>
    <col min="14099" max="14101" width="9.140625" style="108"/>
    <col min="14102" max="14102" width="17.28515625" style="108" customWidth="1"/>
    <col min="14103" max="14337" width="9.140625" style="108"/>
    <col min="14338" max="14338" width="12.7109375" style="108" customWidth="1"/>
    <col min="14339" max="14353" width="9.140625" style="108"/>
    <col min="14354" max="14354" width="19.140625" style="108" customWidth="1"/>
    <col min="14355" max="14357" width="9.140625" style="108"/>
    <col min="14358" max="14358" width="17.28515625" style="108" customWidth="1"/>
    <col min="14359" max="14593" width="9.140625" style="108"/>
    <col min="14594" max="14594" width="12.7109375" style="108" customWidth="1"/>
    <col min="14595" max="14609" width="9.140625" style="108"/>
    <col min="14610" max="14610" width="19.140625" style="108" customWidth="1"/>
    <col min="14611" max="14613" width="9.140625" style="108"/>
    <col min="14614" max="14614" width="17.28515625" style="108" customWidth="1"/>
    <col min="14615" max="14849" width="9.140625" style="108"/>
    <col min="14850" max="14850" width="12.7109375" style="108" customWidth="1"/>
    <col min="14851" max="14865" width="9.140625" style="108"/>
    <col min="14866" max="14866" width="19.140625" style="108" customWidth="1"/>
    <col min="14867" max="14869" width="9.140625" style="108"/>
    <col min="14870" max="14870" width="17.28515625" style="108" customWidth="1"/>
    <col min="14871" max="15105" width="9.140625" style="108"/>
    <col min="15106" max="15106" width="12.7109375" style="108" customWidth="1"/>
    <col min="15107" max="15121" width="9.140625" style="108"/>
    <col min="15122" max="15122" width="19.140625" style="108" customWidth="1"/>
    <col min="15123" max="15125" width="9.140625" style="108"/>
    <col min="15126" max="15126" width="17.28515625" style="108" customWidth="1"/>
    <col min="15127" max="15361" width="9.140625" style="108"/>
    <col min="15362" max="15362" width="12.7109375" style="108" customWidth="1"/>
    <col min="15363" max="15377" width="9.140625" style="108"/>
    <col min="15378" max="15378" width="19.140625" style="108" customWidth="1"/>
    <col min="15379" max="15381" width="9.140625" style="108"/>
    <col min="15382" max="15382" width="17.28515625" style="108" customWidth="1"/>
    <col min="15383" max="15617" width="9.140625" style="108"/>
    <col min="15618" max="15618" width="12.7109375" style="108" customWidth="1"/>
    <col min="15619" max="15633" width="9.140625" style="108"/>
    <col min="15634" max="15634" width="19.140625" style="108" customWidth="1"/>
    <col min="15635" max="15637" width="9.140625" style="108"/>
    <col min="15638" max="15638" width="17.28515625" style="108" customWidth="1"/>
    <col min="15639" max="15873" width="9.140625" style="108"/>
    <col min="15874" max="15874" width="12.7109375" style="108" customWidth="1"/>
    <col min="15875" max="15889" width="9.140625" style="108"/>
    <col min="15890" max="15890" width="19.140625" style="108" customWidth="1"/>
    <col min="15891" max="15893" width="9.140625" style="108"/>
    <col min="15894" max="15894" width="17.28515625" style="108" customWidth="1"/>
    <col min="15895" max="16129" width="9.140625" style="108"/>
    <col min="16130" max="16130" width="12.7109375" style="108" customWidth="1"/>
    <col min="16131" max="16145" width="9.140625" style="108"/>
    <col min="16146" max="16146" width="19.140625" style="108" customWidth="1"/>
    <col min="16147" max="16149" width="9.140625" style="108"/>
    <col min="16150" max="16150" width="17.28515625" style="108" customWidth="1"/>
    <col min="16151" max="16384" width="9.140625" style="108"/>
  </cols>
  <sheetData>
    <row r="3" spans="2:42">
      <c r="B3" s="107" t="s">
        <v>228</v>
      </c>
      <c r="C3" s="107" t="s">
        <v>227</v>
      </c>
    </row>
    <row r="5" spans="2:42">
      <c r="B5" s="109" t="s">
        <v>229</v>
      </c>
      <c r="C5" s="109" t="s">
        <v>230</v>
      </c>
      <c r="D5" s="110"/>
      <c r="E5" s="110"/>
      <c r="F5" s="110"/>
      <c r="G5" s="110"/>
      <c r="H5" s="110"/>
      <c r="I5" s="110"/>
      <c r="J5" s="110"/>
      <c r="K5" s="110"/>
      <c r="L5" s="110"/>
      <c r="M5" s="110"/>
      <c r="N5" s="110"/>
      <c r="O5" s="111"/>
      <c r="Q5" s="108" t="s">
        <v>231</v>
      </c>
    </row>
    <row r="6" spans="2:42">
      <c r="B6" s="109" t="s">
        <v>232</v>
      </c>
      <c r="C6" s="109" t="s">
        <v>233</v>
      </c>
      <c r="D6" s="112" t="s">
        <v>234</v>
      </c>
      <c r="E6" s="112" t="s">
        <v>235</v>
      </c>
      <c r="F6" s="112" t="s">
        <v>236</v>
      </c>
      <c r="G6" s="112" t="s">
        <v>237</v>
      </c>
      <c r="H6" s="112" t="s">
        <v>238</v>
      </c>
      <c r="I6" s="112" t="s">
        <v>239</v>
      </c>
      <c r="J6" s="112" t="s">
        <v>240</v>
      </c>
      <c r="K6" s="112" t="s">
        <v>241</v>
      </c>
      <c r="L6" s="112" t="s">
        <v>242</v>
      </c>
      <c r="M6" s="112" t="s">
        <v>243</v>
      </c>
      <c r="N6" s="112" t="s">
        <v>244</v>
      </c>
      <c r="O6" s="113" t="s">
        <v>28</v>
      </c>
      <c r="Q6" s="108" t="s">
        <v>245</v>
      </c>
      <c r="R6" s="114" t="s">
        <v>246</v>
      </c>
      <c r="V6" s="115" t="s">
        <v>247</v>
      </c>
      <c r="W6" s="115"/>
      <c r="X6" s="115"/>
      <c r="Y6" s="115"/>
      <c r="Z6" s="115"/>
      <c r="AA6" s="115"/>
      <c r="AB6" s="115"/>
      <c r="AC6" s="115"/>
      <c r="AD6" s="115"/>
      <c r="AE6" s="115"/>
      <c r="AF6" s="115"/>
      <c r="AG6" s="115"/>
      <c r="AH6" s="115"/>
      <c r="AI6" s="115"/>
      <c r="AJ6" s="115"/>
      <c r="AK6" s="115"/>
      <c r="AL6" s="116" t="s">
        <v>248</v>
      </c>
      <c r="AM6" s="115"/>
      <c r="AN6" s="115"/>
      <c r="AO6" s="115"/>
      <c r="AP6" s="115"/>
    </row>
    <row r="7" spans="2:42">
      <c r="B7" s="117" t="s">
        <v>245</v>
      </c>
      <c r="C7" s="118">
        <v>8.717467468377875E-2</v>
      </c>
      <c r="D7" s="119">
        <v>0.50353801001962928</v>
      </c>
      <c r="E7" s="119">
        <v>0.12442093187277266</v>
      </c>
      <c r="F7" s="119">
        <v>0</v>
      </c>
      <c r="G7" s="119">
        <v>6.8347066780041028E-3</v>
      </c>
      <c r="H7" s="119">
        <v>0.22658067588288064</v>
      </c>
      <c r="I7" s="119">
        <v>0</v>
      </c>
      <c r="J7" s="119">
        <v>0</v>
      </c>
      <c r="K7" s="119">
        <v>0</v>
      </c>
      <c r="L7" s="119">
        <v>0.23734788953247418</v>
      </c>
      <c r="M7" s="119">
        <v>0.3343226320998528</v>
      </c>
      <c r="N7" s="119">
        <v>0.10427377860559435</v>
      </c>
      <c r="O7" s="120">
        <v>0.13198562968704003</v>
      </c>
      <c r="Q7" s="108" t="s">
        <v>249</v>
      </c>
      <c r="R7" s="114" t="s">
        <v>250</v>
      </c>
      <c r="S7" s="121"/>
      <c r="V7" s="115"/>
      <c r="W7" s="115"/>
      <c r="X7" s="115"/>
      <c r="Y7" s="115"/>
      <c r="Z7" s="115"/>
      <c r="AA7" s="115"/>
      <c r="AB7" s="115"/>
      <c r="AC7" s="115"/>
      <c r="AD7" s="115"/>
      <c r="AE7" s="115"/>
      <c r="AF7" s="115"/>
      <c r="AG7" s="115"/>
      <c r="AH7" s="115"/>
      <c r="AI7" s="115"/>
      <c r="AJ7" s="115"/>
      <c r="AK7" s="115"/>
      <c r="AL7" s="116"/>
      <c r="AM7" s="115"/>
      <c r="AN7" s="115"/>
      <c r="AO7" s="115"/>
      <c r="AP7" s="115"/>
    </row>
    <row r="8" spans="2:42">
      <c r="B8" s="122" t="s">
        <v>249</v>
      </c>
      <c r="C8" s="123">
        <v>6.8103584567859006E-3</v>
      </c>
      <c r="D8" s="124">
        <v>7.805352300928961E-2</v>
      </c>
      <c r="E8" s="124">
        <v>4.327214987286037E-3</v>
      </c>
      <c r="F8" s="124">
        <v>0</v>
      </c>
      <c r="G8" s="124">
        <v>6.5336919154118878E-2</v>
      </c>
      <c r="H8" s="124">
        <v>9.148049376676444E-2</v>
      </c>
      <c r="I8" s="124">
        <v>0</v>
      </c>
      <c r="J8" s="124">
        <v>2.490443085505932E-2</v>
      </c>
      <c r="K8" s="124">
        <v>0</v>
      </c>
      <c r="L8" s="124">
        <v>4.5318795143628396E-2</v>
      </c>
      <c r="M8" s="124">
        <v>0</v>
      </c>
      <c r="N8" s="124">
        <v>3.3786587855375375E-2</v>
      </c>
      <c r="O8" s="125">
        <v>3.3597945185917619E-2</v>
      </c>
      <c r="Q8" s="108" t="s">
        <v>251</v>
      </c>
      <c r="R8" s="114" t="s">
        <v>252</v>
      </c>
      <c r="V8" s="126" t="s">
        <v>253</v>
      </c>
      <c r="W8" s="127"/>
      <c r="X8" s="458" t="s">
        <v>6</v>
      </c>
      <c r="Y8" s="458"/>
      <c r="Z8" s="458"/>
      <c r="AA8" s="458" t="s">
        <v>8</v>
      </c>
      <c r="AB8" s="458"/>
      <c r="AC8" s="458"/>
      <c r="AD8" s="458"/>
      <c r="AE8" s="459" t="s">
        <v>9</v>
      </c>
      <c r="AF8" s="460"/>
      <c r="AG8" s="127" t="s">
        <v>10</v>
      </c>
      <c r="AH8" s="459" t="s">
        <v>4</v>
      </c>
      <c r="AI8" s="460"/>
      <c r="AJ8" s="127" t="s">
        <v>161</v>
      </c>
      <c r="AK8" s="127" t="s">
        <v>5</v>
      </c>
      <c r="AL8" s="458" t="s">
        <v>254</v>
      </c>
      <c r="AM8" s="458"/>
      <c r="AN8" s="128" t="s">
        <v>3</v>
      </c>
      <c r="AO8" s="127" t="s">
        <v>11</v>
      </c>
      <c r="AP8" s="115"/>
    </row>
    <row r="9" spans="2:42">
      <c r="B9" s="122" t="s">
        <v>251</v>
      </c>
      <c r="C9" s="123">
        <v>4.1342954859551917E-2</v>
      </c>
      <c r="D9" s="124">
        <v>0</v>
      </c>
      <c r="E9" s="124">
        <v>1.1096572785378392E-2</v>
      </c>
      <c r="F9" s="124">
        <v>0</v>
      </c>
      <c r="G9" s="124">
        <v>0</v>
      </c>
      <c r="H9" s="124">
        <v>7.8125809455556861E-2</v>
      </c>
      <c r="I9" s="124">
        <v>0</v>
      </c>
      <c r="J9" s="124">
        <v>0</v>
      </c>
      <c r="K9" s="124">
        <v>0</v>
      </c>
      <c r="L9" s="124">
        <v>2.6089854286804878E-2</v>
      </c>
      <c r="M9" s="124">
        <v>0</v>
      </c>
      <c r="N9" s="124">
        <v>6.3808168792729922E-2</v>
      </c>
      <c r="O9" s="125">
        <v>3.5762174170300864E-2</v>
      </c>
      <c r="Q9" s="108" t="s">
        <v>255</v>
      </c>
      <c r="R9" s="114" t="s">
        <v>256</v>
      </c>
      <c r="V9" s="129" t="s">
        <v>921</v>
      </c>
      <c r="W9" s="130" t="s">
        <v>257</v>
      </c>
      <c r="X9" s="455"/>
      <c r="Y9" s="456"/>
      <c r="Z9" s="457"/>
      <c r="AA9" s="455"/>
      <c r="AB9" s="456"/>
      <c r="AC9" s="456"/>
      <c r="AD9" s="457"/>
      <c r="AE9" s="455"/>
      <c r="AF9" s="457"/>
      <c r="AG9" s="131"/>
      <c r="AH9" s="455"/>
      <c r="AI9" s="457"/>
      <c r="AJ9" s="131"/>
      <c r="AK9" s="131"/>
      <c r="AL9" s="455"/>
      <c r="AM9" s="457"/>
      <c r="AN9" s="132"/>
      <c r="AO9" s="131"/>
      <c r="AP9" s="115"/>
    </row>
    <row r="10" spans="2:42">
      <c r="B10" s="122" t="s">
        <v>255</v>
      </c>
      <c r="C10" s="123">
        <v>8.4043890263524653E-3</v>
      </c>
      <c r="D10" s="124">
        <v>0.14022217875091034</v>
      </c>
      <c r="E10" s="124">
        <v>7.7552759993067558E-2</v>
      </c>
      <c r="F10" s="124">
        <v>0</v>
      </c>
      <c r="G10" s="124">
        <v>0</v>
      </c>
      <c r="H10" s="124">
        <v>4.7507824183418118E-2</v>
      </c>
      <c r="I10" s="124">
        <v>0</v>
      </c>
      <c r="J10" s="124">
        <v>6.7535676320336652E-3</v>
      </c>
      <c r="K10" s="124">
        <v>0</v>
      </c>
      <c r="L10" s="124">
        <v>3.9503827021327202E-2</v>
      </c>
      <c r="M10" s="124">
        <v>9.1076901386785036E-2</v>
      </c>
      <c r="N10" s="124">
        <v>0.53546494404003275</v>
      </c>
      <c r="O10" s="125">
        <v>9.8610923516620763E-2</v>
      </c>
      <c r="Q10" s="108" t="s">
        <v>258</v>
      </c>
      <c r="R10" s="114" t="s">
        <v>259</v>
      </c>
      <c r="V10" s="133" t="s">
        <v>260</v>
      </c>
      <c r="W10" s="133">
        <f>V7</f>
        <v>0</v>
      </c>
      <c r="X10" s="133" t="s">
        <v>148</v>
      </c>
      <c r="Y10" s="134" t="s">
        <v>149</v>
      </c>
      <c r="Z10" s="134" t="s">
        <v>150</v>
      </c>
      <c r="AA10" s="134" t="s">
        <v>261</v>
      </c>
      <c r="AB10" s="134" t="s">
        <v>262</v>
      </c>
      <c r="AC10" s="134" t="s">
        <v>263</v>
      </c>
      <c r="AD10" s="134" t="s">
        <v>264</v>
      </c>
      <c r="AE10" s="134" t="s">
        <v>153</v>
      </c>
      <c r="AF10" s="134" t="s">
        <v>155</v>
      </c>
      <c r="AG10" s="134" t="s">
        <v>10</v>
      </c>
      <c r="AH10" s="134" t="s">
        <v>158</v>
      </c>
      <c r="AI10" s="134" t="s">
        <v>265</v>
      </c>
      <c r="AJ10" s="134" t="s">
        <v>161</v>
      </c>
      <c r="AK10" s="134" t="s">
        <v>5</v>
      </c>
      <c r="AL10" s="134" t="s">
        <v>164</v>
      </c>
      <c r="AM10" s="134" t="s">
        <v>266</v>
      </c>
      <c r="AN10" s="135" t="s">
        <v>3</v>
      </c>
      <c r="AO10" s="135" t="s">
        <v>11</v>
      </c>
      <c r="AP10" s="135" t="s">
        <v>27</v>
      </c>
    </row>
    <row r="11" spans="2:42">
      <c r="B11" s="136" t="s">
        <v>267</v>
      </c>
      <c r="C11" s="137">
        <v>0.4689293433763238</v>
      </c>
      <c r="D11" s="138">
        <v>7.8450304025831311E-3</v>
      </c>
      <c r="E11" s="138">
        <v>0.22178803204154379</v>
      </c>
      <c r="F11" s="138">
        <v>0.67747873569560391</v>
      </c>
      <c r="G11" s="138">
        <v>0.5889529838985692</v>
      </c>
      <c r="H11" s="138">
        <v>0.27529172631323895</v>
      </c>
      <c r="I11" s="138">
        <v>0.61233537694913764</v>
      </c>
      <c r="J11" s="138">
        <v>0.250415329367984</v>
      </c>
      <c r="K11" s="138">
        <v>0.57717977258309294</v>
      </c>
      <c r="L11" s="138">
        <v>0.4809847801407714</v>
      </c>
      <c r="M11" s="138">
        <v>7.6009541292292288E-2</v>
      </c>
      <c r="N11" s="138">
        <v>0.16552967733787963</v>
      </c>
      <c r="O11" s="139">
        <v>0.30549375728390543</v>
      </c>
      <c r="Q11" s="108" t="s">
        <v>267</v>
      </c>
      <c r="R11" s="108" t="s">
        <v>268</v>
      </c>
      <c r="V11" s="115" t="s">
        <v>269</v>
      </c>
      <c r="W11" s="115"/>
      <c r="X11" s="115">
        <v>48.29</v>
      </c>
      <c r="Y11" s="115"/>
      <c r="Z11" s="115"/>
      <c r="AA11" s="115">
        <v>96.33</v>
      </c>
      <c r="AB11" s="115">
        <v>94.2</v>
      </c>
      <c r="AC11" s="115"/>
      <c r="AD11" s="115"/>
      <c r="AE11" s="115">
        <v>22.35</v>
      </c>
      <c r="AF11" s="115">
        <v>28.06</v>
      </c>
      <c r="AG11" s="115">
        <v>89.69</v>
      </c>
      <c r="AH11" s="115">
        <v>88.44</v>
      </c>
      <c r="AI11" s="115"/>
      <c r="AJ11" s="115">
        <v>100</v>
      </c>
      <c r="AK11" s="115">
        <v>67.62</v>
      </c>
      <c r="AL11" s="115">
        <v>2.68</v>
      </c>
      <c r="AM11" s="115">
        <v>22.18</v>
      </c>
      <c r="AN11" s="115"/>
      <c r="AO11" s="115">
        <v>52.87</v>
      </c>
      <c r="AP11" s="115">
        <v>61.61</v>
      </c>
    </row>
    <row r="12" spans="2:42">
      <c r="B12" s="122" t="s">
        <v>270</v>
      </c>
      <c r="C12" s="123">
        <v>2.7807249683339832E-2</v>
      </c>
      <c r="D12" s="124">
        <v>0.21950585903805653</v>
      </c>
      <c r="E12" s="124">
        <v>7.8986153069193682E-2</v>
      </c>
      <c r="F12" s="124">
        <v>0</v>
      </c>
      <c r="G12" s="124">
        <v>1.156011280857871E-2</v>
      </c>
      <c r="H12" s="124">
        <v>0.1217423412156993</v>
      </c>
      <c r="I12" s="124">
        <v>0</v>
      </c>
      <c r="J12" s="124">
        <v>1.2355935957607015E-2</v>
      </c>
      <c r="K12" s="124">
        <v>0.2400316092462933</v>
      </c>
      <c r="L12" s="124">
        <v>4.7006470280659414E-2</v>
      </c>
      <c r="M12" s="124">
        <v>0</v>
      </c>
      <c r="N12" s="124">
        <v>2.3373869207286187E-2</v>
      </c>
      <c r="O12" s="125">
        <v>5.5483929170146905E-2</v>
      </c>
      <c r="Q12" s="108" t="s">
        <v>270</v>
      </c>
      <c r="R12" s="114" t="s">
        <v>271</v>
      </c>
      <c r="S12" s="121"/>
      <c r="V12" s="140" t="s">
        <v>272</v>
      </c>
      <c r="W12" s="140"/>
      <c r="X12" s="140">
        <v>51.71</v>
      </c>
      <c r="Y12" s="140"/>
      <c r="Z12" s="140"/>
      <c r="AA12" s="140">
        <v>3.67</v>
      </c>
      <c r="AB12" s="140">
        <v>5.8</v>
      </c>
      <c r="AC12" s="140"/>
      <c r="AD12" s="140"/>
      <c r="AE12" s="140">
        <v>77.650000000000006</v>
      </c>
      <c r="AF12" s="140">
        <v>71.94</v>
      </c>
      <c r="AG12" s="140">
        <v>10.31</v>
      </c>
      <c r="AH12" s="140">
        <v>11.56</v>
      </c>
      <c r="AI12" s="140"/>
      <c r="AJ12" s="140">
        <v>0</v>
      </c>
      <c r="AK12" s="140">
        <v>32.380000000000003</v>
      </c>
      <c r="AL12" s="140">
        <v>97.32</v>
      </c>
      <c r="AM12" s="140">
        <v>77.819999999999993</v>
      </c>
      <c r="AN12" s="140">
        <v>30</v>
      </c>
      <c r="AO12" s="140">
        <v>47.13</v>
      </c>
      <c r="AP12" s="140">
        <v>38.39</v>
      </c>
    </row>
    <row r="13" spans="2:42">
      <c r="B13" s="136" t="s">
        <v>273</v>
      </c>
      <c r="C13" s="137">
        <v>5.098561273908523E-2</v>
      </c>
      <c r="D13" s="138">
        <v>5.0835398779531089E-2</v>
      </c>
      <c r="E13" s="138">
        <v>6.4815404305873389E-2</v>
      </c>
      <c r="F13" s="138">
        <v>0</v>
      </c>
      <c r="G13" s="138">
        <v>0.10296433109781257</v>
      </c>
      <c r="H13" s="138">
        <v>9.6120613281238804E-2</v>
      </c>
      <c r="I13" s="138">
        <v>0.14408219482812729</v>
      </c>
      <c r="J13" s="138">
        <v>3.8429124795466597E-2</v>
      </c>
      <c r="K13" s="138">
        <v>3.758535902615729E-2</v>
      </c>
      <c r="L13" s="138">
        <v>5.0666387225186293E-2</v>
      </c>
      <c r="M13" s="138">
        <v>0.19839532005329474</v>
      </c>
      <c r="N13" s="138">
        <v>3.3248774350512877E-2</v>
      </c>
      <c r="O13" s="139">
        <v>7.043812734048846E-2</v>
      </c>
      <c r="Q13" s="108" t="s">
        <v>273</v>
      </c>
      <c r="R13" s="108" t="s">
        <v>274</v>
      </c>
      <c r="V13" s="115" t="s">
        <v>275</v>
      </c>
      <c r="W13" s="115"/>
      <c r="X13" s="115">
        <v>31.22</v>
      </c>
      <c r="Y13" s="115"/>
      <c r="Z13" s="115"/>
      <c r="AA13" s="115">
        <v>1.82</v>
      </c>
      <c r="AB13" s="115">
        <v>0.1</v>
      </c>
      <c r="AC13" s="115"/>
      <c r="AD13" s="115"/>
      <c r="AE13" s="115">
        <v>22.44</v>
      </c>
      <c r="AF13" s="115">
        <v>40.950000000000003</v>
      </c>
      <c r="AG13" s="115">
        <v>0.39</v>
      </c>
      <c r="AH13" s="115">
        <v>0.54</v>
      </c>
      <c r="AI13" s="115"/>
      <c r="AJ13" s="115">
        <v>0</v>
      </c>
      <c r="AK13" s="115">
        <v>0.82</v>
      </c>
      <c r="AL13" s="115">
        <v>48.45</v>
      </c>
      <c r="AM13" s="115">
        <v>38.6</v>
      </c>
      <c r="AN13" s="115"/>
      <c r="AO13" s="115">
        <v>28.43</v>
      </c>
      <c r="AP13" s="115">
        <v>15.89</v>
      </c>
    </row>
    <row r="14" spans="2:42">
      <c r="B14" s="136" t="s">
        <v>276</v>
      </c>
      <c r="C14" s="137">
        <v>7.5933070687739121E-2</v>
      </c>
      <c r="D14" s="138">
        <v>0</v>
      </c>
      <c r="E14" s="138">
        <v>0.14415581051906082</v>
      </c>
      <c r="F14" s="138">
        <v>0</v>
      </c>
      <c r="G14" s="138">
        <v>5.1931051900824934E-2</v>
      </c>
      <c r="H14" s="138">
        <v>1.0575783815990024E-2</v>
      </c>
      <c r="I14" s="138">
        <v>2.7991865421399847E-2</v>
      </c>
      <c r="J14" s="138">
        <v>5.4150681951766463E-2</v>
      </c>
      <c r="K14" s="138">
        <v>0</v>
      </c>
      <c r="L14" s="138">
        <v>0</v>
      </c>
      <c r="M14" s="138">
        <v>5.59246346953369E-2</v>
      </c>
      <c r="N14" s="138">
        <v>1.5236321702991698E-2</v>
      </c>
      <c r="O14" s="139">
        <v>5.8551255616415408E-2</v>
      </c>
      <c r="Q14" s="108" t="s">
        <v>276</v>
      </c>
      <c r="R14" s="108" t="s">
        <v>277</v>
      </c>
      <c r="V14" s="115" t="s">
        <v>278</v>
      </c>
      <c r="W14" s="115"/>
      <c r="X14" s="115">
        <v>87.09</v>
      </c>
      <c r="Y14" s="115"/>
      <c r="Z14" s="115"/>
      <c r="AA14" s="115">
        <v>70.34</v>
      </c>
      <c r="AB14" s="115">
        <v>0</v>
      </c>
      <c r="AC14" s="115"/>
      <c r="AD14" s="115"/>
      <c r="AE14" s="115">
        <v>2.1</v>
      </c>
      <c r="AF14" s="115">
        <v>31.48</v>
      </c>
      <c r="AG14" s="115">
        <v>100</v>
      </c>
      <c r="AH14" s="115">
        <v>100</v>
      </c>
      <c r="AI14" s="115"/>
      <c r="AJ14" s="115">
        <v>0</v>
      </c>
      <c r="AK14" s="115">
        <v>29.96</v>
      </c>
      <c r="AL14" s="115">
        <v>13.43</v>
      </c>
      <c r="AM14" s="115">
        <v>64.52</v>
      </c>
      <c r="AN14" s="115"/>
      <c r="AO14" s="115">
        <v>49.19</v>
      </c>
      <c r="AP14" s="115">
        <v>41.81</v>
      </c>
    </row>
    <row r="15" spans="2:42">
      <c r="B15" s="136" t="s">
        <v>279</v>
      </c>
      <c r="C15" s="137">
        <v>6.3370959938567808E-3</v>
      </c>
      <c r="D15" s="138">
        <v>0</v>
      </c>
      <c r="E15" s="138">
        <v>0</v>
      </c>
      <c r="F15" s="138">
        <v>0</v>
      </c>
      <c r="G15" s="138">
        <v>9.0037276055779433E-3</v>
      </c>
      <c r="H15" s="138">
        <v>1.253095276615067E-2</v>
      </c>
      <c r="I15" s="138">
        <v>0</v>
      </c>
      <c r="J15" s="138">
        <v>0</v>
      </c>
      <c r="K15" s="138">
        <v>0</v>
      </c>
      <c r="L15" s="138">
        <v>1.8428456659353538E-3</v>
      </c>
      <c r="M15" s="138">
        <v>0</v>
      </c>
      <c r="N15" s="138">
        <v>0</v>
      </c>
      <c r="O15" s="139">
        <v>4.3456568344317648E-3</v>
      </c>
      <c r="Q15" s="108" t="s">
        <v>279</v>
      </c>
      <c r="R15" s="108" t="s">
        <v>280</v>
      </c>
      <c r="V15" s="115" t="s">
        <v>281</v>
      </c>
      <c r="W15" s="115"/>
      <c r="X15" s="115">
        <v>12.91</v>
      </c>
      <c r="Y15" s="115"/>
      <c r="Z15" s="115"/>
      <c r="AA15" s="115">
        <v>29.66</v>
      </c>
      <c r="AB15" s="115">
        <v>100</v>
      </c>
      <c r="AC15" s="115"/>
      <c r="AD15" s="115"/>
      <c r="AE15" s="115">
        <v>97.9</v>
      </c>
      <c r="AF15" s="115">
        <v>68.52</v>
      </c>
      <c r="AG15" s="115">
        <v>0</v>
      </c>
      <c r="AH15" s="115">
        <v>0</v>
      </c>
      <c r="AI15" s="115"/>
      <c r="AJ15" s="115">
        <v>0</v>
      </c>
      <c r="AK15" s="115">
        <v>70.040000000000006</v>
      </c>
      <c r="AL15" s="115">
        <v>86.56</v>
      </c>
      <c r="AM15" s="115">
        <v>35.479999999999997</v>
      </c>
      <c r="AN15" s="115"/>
      <c r="AO15" s="115">
        <v>50.81</v>
      </c>
      <c r="AP15" s="115">
        <v>58.19</v>
      </c>
    </row>
    <row r="16" spans="2:42">
      <c r="B16" s="136" t="s">
        <v>282</v>
      </c>
      <c r="C16" s="137">
        <v>0</v>
      </c>
      <c r="D16" s="138">
        <v>0</v>
      </c>
      <c r="E16" s="138">
        <v>0</v>
      </c>
      <c r="F16" s="138">
        <v>0</v>
      </c>
      <c r="G16" s="138">
        <v>1.5871202469506668E-3</v>
      </c>
      <c r="H16" s="138">
        <v>0</v>
      </c>
      <c r="I16" s="138">
        <v>2.2327921562901011E-2</v>
      </c>
      <c r="J16" s="138">
        <v>0</v>
      </c>
      <c r="K16" s="138">
        <v>0</v>
      </c>
      <c r="L16" s="138">
        <v>0</v>
      </c>
      <c r="M16" s="138">
        <v>0</v>
      </c>
      <c r="N16" s="138">
        <v>0</v>
      </c>
      <c r="O16" s="139">
        <v>4.3484521800730714E-4</v>
      </c>
      <c r="Q16" s="108" t="s">
        <v>282</v>
      </c>
      <c r="R16" s="108" t="s">
        <v>283</v>
      </c>
      <c r="V16" s="115" t="s">
        <v>284</v>
      </c>
      <c r="W16" s="115"/>
      <c r="X16" s="115">
        <v>3.06</v>
      </c>
      <c r="Y16" s="115"/>
      <c r="Z16" s="115"/>
      <c r="AA16" s="115">
        <v>2.5299999999999998</v>
      </c>
      <c r="AB16" s="115">
        <v>2.4700000000000002</v>
      </c>
      <c r="AC16" s="115"/>
      <c r="AD16" s="115"/>
      <c r="AE16" s="115">
        <v>2.41</v>
      </c>
      <c r="AF16" s="115">
        <v>18.96</v>
      </c>
      <c r="AG16" s="115">
        <v>10.130000000000001</v>
      </c>
      <c r="AH16" s="115">
        <v>1.03</v>
      </c>
      <c r="AI16" s="115"/>
      <c r="AJ16" s="115">
        <v>0</v>
      </c>
      <c r="AK16" s="115">
        <v>37.49</v>
      </c>
      <c r="AL16" s="115">
        <v>18.149999999999999</v>
      </c>
      <c r="AM16" s="115">
        <v>0.56999999999999995</v>
      </c>
      <c r="AN16" s="115">
        <v>10</v>
      </c>
      <c r="AO16" s="115">
        <v>8.34</v>
      </c>
      <c r="AP16" s="115">
        <v>8.4</v>
      </c>
    </row>
    <row r="17" spans="2:42">
      <c r="B17" s="136" t="s">
        <v>285</v>
      </c>
      <c r="C17" s="137">
        <v>4.2617555663769791E-3</v>
      </c>
      <c r="D17" s="138">
        <v>0</v>
      </c>
      <c r="E17" s="138">
        <v>3.1771188314813725E-3</v>
      </c>
      <c r="F17" s="138">
        <v>0</v>
      </c>
      <c r="G17" s="138">
        <v>0</v>
      </c>
      <c r="H17" s="138">
        <v>0</v>
      </c>
      <c r="I17" s="138">
        <v>0</v>
      </c>
      <c r="J17" s="138">
        <v>0</v>
      </c>
      <c r="K17" s="138">
        <v>0</v>
      </c>
      <c r="L17" s="138">
        <v>0</v>
      </c>
      <c r="M17" s="138">
        <v>0</v>
      </c>
      <c r="N17" s="138">
        <v>0</v>
      </c>
      <c r="O17" s="139">
        <v>1.4458663807217428E-3</v>
      </c>
      <c r="Q17" s="108" t="s">
        <v>285</v>
      </c>
      <c r="R17" s="108" t="s">
        <v>286</v>
      </c>
      <c r="V17" s="115" t="s">
        <v>287</v>
      </c>
      <c r="W17" s="115"/>
      <c r="X17" s="115">
        <v>61.61</v>
      </c>
      <c r="Y17" s="115"/>
      <c r="Z17" s="115"/>
      <c r="AA17" s="115">
        <v>87.83</v>
      </c>
      <c r="AB17" s="115">
        <v>80.069999999999993</v>
      </c>
      <c r="AC17" s="115"/>
      <c r="AD17" s="115"/>
      <c r="AE17" s="115">
        <v>61.24</v>
      </c>
      <c r="AF17" s="115">
        <v>70.62</v>
      </c>
      <c r="AG17" s="115">
        <v>81.47</v>
      </c>
      <c r="AH17" s="115">
        <v>95.04</v>
      </c>
      <c r="AI17" s="115"/>
      <c r="AJ17" s="115">
        <v>92.12</v>
      </c>
      <c r="AK17" s="115">
        <v>32.409999999999997</v>
      </c>
      <c r="AL17" s="115">
        <v>4.5999999999999996</v>
      </c>
      <c r="AM17" s="115">
        <v>97.98</v>
      </c>
      <c r="AN17" s="115">
        <v>75</v>
      </c>
      <c r="AO17" s="115">
        <v>72.88</v>
      </c>
      <c r="AP17" s="115">
        <v>76.05</v>
      </c>
    </row>
    <row r="18" spans="2:42">
      <c r="B18" s="122" t="s">
        <v>288</v>
      </c>
      <c r="C18" s="123">
        <v>0</v>
      </c>
      <c r="D18" s="124">
        <v>0</v>
      </c>
      <c r="E18" s="124">
        <v>0</v>
      </c>
      <c r="F18" s="124">
        <v>0</v>
      </c>
      <c r="G18" s="124">
        <v>7.0170760269828006E-2</v>
      </c>
      <c r="H18" s="124">
        <v>0</v>
      </c>
      <c r="I18" s="124">
        <v>2.2236799127596969E-2</v>
      </c>
      <c r="J18" s="124">
        <v>0</v>
      </c>
      <c r="K18" s="124">
        <v>0</v>
      </c>
      <c r="L18" s="124">
        <v>0</v>
      </c>
      <c r="M18" s="124">
        <v>0</v>
      </c>
      <c r="N18" s="124">
        <v>0</v>
      </c>
      <c r="O18" s="125">
        <v>3.0920890934343116E-3</v>
      </c>
      <c r="Q18" s="108" t="s">
        <v>288</v>
      </c>
      <c r="R18" s="114" t="s">
        <v>289</v>
      </c>
      <c r="V18" s="115" t="s">
        <v>290</v>
      </c>
      <c r="W18" s="115"/>
      <c r="X18" s="115">
        <v>29.1</v>
      </c>
      <c r="Y18" s="115"/>
      <c r="Z18" s="115"/>
      <c r="AA18" s="115">
        <v>0.78</v>
      </c>
      <c r="AB18" s="115">
        <v>14.27</v>
      </c>
      <c r="AC18" s="115"/>
      <c r="AD18" s="115"/>
      <c r="AE18" s="115">
        <v>4.62</v>
      </c>
      <c r="AF18" s="115">
        <v>7.42</v>
      </c>
      <c r="AG18" s="115">
        <v>3.81</v>
      </c>
      <c r="AH18" s="115">
        <v>0.25</v>
      </c>
      <c r="AI18" s="115"/>
      <c r="AJ18" s="115">
        <v>7.88</v>
      </c>
      <c r="AK18" s="115">
        <v>24.66</v>
      </c>
      <c r="AL18" s="115">
        <v>3.54</v>
      </c>
      <c r="AM18" s="115">
        <v>0</v>
      </c>
      <c r="AN18" s="115">
        <v>10</v>
      </c>
      <c r="AO18" s="115">
        <v>6.32</v>
      </c>
      <c r="AP18" s="115">
        <v>7.87</v>
      </c>
    </row>
    <row r="19" spans="2:42">
      <c r="B19" s="136" t="s">
        <v>291</v>
      </c>
      <c r="C19" s="137">
        <v>0</v>
      </c>
      <c r="D19" s="138">
        <v>0</v>
      </c>
      <c r="E19" s="138">
        <v>2.3841627071266757E-2</v>
      </c>
      <c r="F19" s="138">
        <v>0.31761086735836053</v>
      </c>
      <c r="G19" s="138">
        <v>0</v>
      </c>
      <c r="H19" s="138">
        <v>0</v>
      </c>
      <c r="I19" s="138">
        <v>0</v>
      </c>
      <c r="J19" s="138">
        <v>1.1031277173161068E-2</v>
      </c>
      <c r="K19" s="138">
        <v>0</v>
      </c>
      <c r="L19" s="138">
        <v>5.1778212701200005E-2</v>
      </c>
      <c r="M19" s="138">
        <v>0.24125918692115497</v>
      </c>
      <c r="N19" s="138">
        <v>0</v>
      </c>
      <c r="O19" s="139">
        <v>2.1703172265085582E-2</v>
      </c>
      <c r="Q19" s="108" t="s">
        <v>292</v>
      </c>
      <c r="R19" s="108" t="s">
        <v>293</v>
      </c>
      <c r="V19" s="115" t="s">
        <v>294</v>
      </c>
      <c r="W19" s="115"/>
      <c r="X19" s="115">
        <v>6.23</v>
      </c>
      <c r="Y19" s="115"/>
      <c r="Z19" s="115"/>
      <c r="AA19" s="115">
        <v>8.86</v>
      </c>
      <c r="AB19" s="115">
        <v>3.19</v>
      </c>
      <c r="AC19" s="115"/>
      <c r="AD19" s="115"/>
      <c r="AE19" s="115">
        <v>31.73</v>
      </c>
      <c r="AF19" s="115">
        <v>3</v>
      </c>
      <c r="AG19" s="115">
        <v>4.59</v>
      </c>
      <c r="AH19" s="115">
        <v>3.68</v>
      </c>
      <c r="AI19" s="115"/>
      <c r="AJ19" s="115">
        <v>0</v>
      </c>
      <c r="AK19" s="115">
        <v>5.45</v>
      </c>
      <c r="AL19" s="115">
        <v>73.7</v>
      </c>
      <c r="AM19" s="115">
        <v>1.45</v>
      </c>
      <c r="AN19" s="115">
        <v>5</v>
      </c>
      <c r="AO19" s="115">
        <v>12.45</v>
      </c>
      <c r="AP19" s="115">
        <v>7.68</v>
      </c>
    </row>
    <row r="20" spans="2:42">
      <c r="B20" s="136" t="s">
        <v>295</v>
      </c>
      <c r="C20" s="137">
        <v>0.21078851985908953</v>
      </c>
      <c r="D20" s="138">
        <v>0</v>
      </c>
      <c r="E20" s="138">
        <v>0.22124942333255052</v>
      </c>
      <c r="F20" s="138">
        <v>4.91039694603567E-3</v>
      </c>
      <c r="G20" s="138">
        <v>9.1658286339735065E-2</v>
      </c>
      <c r="H20" s="138">
        <v>2.0375835173724308E-2</v>
      </c>
      <c r="I20" s="138">
        <v>0.16954576362554824</v>
      </c>
      <c r="J20" s="138">
        <v>0.46523874293886225</v>
      </c>
      <c r="K20" s="138">
        <v>0</v>
      </c>
      <c r="L20" s="138">
        <v>1.9460938002012765E-2</v>
      </c>
      <c r="M20" s="138">
        <v>3.0117835512833099E-3</v>
      </c>
      <c r="N20" s="138">
        <v>2.2442662867864102E-2</v>
      </c>
      <c r="O20" s="139">
        <v>0.15146357030840546</v>
      </c>
      <c r="Q20" s="108" t="s">
        <v>291</v>
      </c>
      <c r="R20" s="108" t="s">
        <v>296</v>
      </c>
      <c r="V20" s="140" t="s">
        <v>297</v>
      </c>
      <c r="W20" s="140"/>
      <c r="X20" s="140">
        <v>61.68</v>
      </c>
      <c r="Y20" s="140"/>
      <c r="Z20" s="140"/>
      <c r="AA20" s="140">
        <v>84.28</v>
      </c>
      <c r="AB20" s="140">
        <v>3.79</v>
      </c>
      <c r="AC20" s="140"/>
      <c r="AD20" s="140"/>
      <c r="AE20" s="140">
        <v>0.61</v>
      </c>
      <c r="AF20" s="140">
        <v>17.940000000000001</v>
      </c>
      <c r="AG20" s="140">
        <v>37.840000000000003</v>
      </c>
      <c r="AH20" s="140">
        <v>5.34</v>
      </c>
      <c r="AI20" s="140"/>
      <c r="AJ20" s="140"/>
      <c r="AK20" s="140">
        <v>0.77</v>
      </c>
      <c r="AL20" s="140">
        <v>8.11</v>
      </c>
      <c r="AM20" s="140">
        <v>35.409999999999997</v>
      </c>
      <c r="AN20" s="140">
        <v>5</v>
      </c>
      <c r="AO20" s="140">
        <v>31.14</v>
      </c>
      <c r="AP20" s="140">
        <v>21.16</v>
      </c>
    </row>
    <row r="21" spans="2:42">
      <c r="B21" s="136" t="s">
        <v>298</v>
      </c>
      <c r="C21" s="137">
        <v>0</v>
      </c>
      <c r="D21" s="138">
        <v>0</v>
      </c>
      <c r="E21" s="138">
        <v>0</v>
      </c>
      <c r="F21" s="138">
        <v>0</v>
      </c>
      <c r="G21" s="138">
        <v>0</v>
      </c>
      <c r="H21" s="138">
        <v>0</v>
      </c>
      <c r="I21" s="138">
        <v>1.4800784852889203E-3</v>
      </c>
      <c r="J21" s="138">
        <v>0</v>
      </c>
      <c r="K21" s="138">
        <v>0</v>
      </c>
      <c r="L21" s="138">
        <v>0</v>
      </c>
      <c r="M21" s="138">
        <v>0</v>
      </c>
      <c r="N21" s="138">
        <v>0</v>
      </c>
      <c r="O21" s="139">
        <v>2.4746568609384759E-5</v>
      </c>
      <c r="Q21" s="108" t="s">
        <v>299</v>
      </c>
      <c r="R21" s="108" t="s">
        <v>300</v>
      </c>
      <c r="V21" s="140" t="s">
        <v>301</v>
      </c>
      <c r="W21" s="140"/>
      <c r="X21" s="140">
        <v>12.29</v>
      </c>
      <c r="Y21" s="140"/>
      <c r="Z21" s="140"/>
      <c r="AA21" s="140">
        <v>15.72</v>
      </c>
      <c r="AB21" s="140">
        <v>31.93</v>
      </c>
      <c r="AC21" s="140"/>
      <c r="AD21" s="140"/>
      <c r="AE21" s="140">
        <v>82.72</v>
      </c>
      <c r="AF21" s="140">
        <v>62.77</v>
      </c>
      <c r="AG21" s="140">
        <v>62.16</v>
      </c>
      <c r="AH21" s="140">
        <v>94.66</v>
      </c>
      <c r="AI21" s="140"/>
      <c r="AJ21" s="140"/>
      <c r="AK21" s="140">
        <v>56.86</v>
      </c>
      <c r="AL21" s="140">
        <v>88.87</v>
      </c>
      <c r="AM21" s="140">
        <v>24.46</v>
      </c>
      <c r="AN21" s="140">
        <v>50</v>
      </c>
      <c r="AO21" s="140">
        <v>49.88</v>
      </c>
      <c r="AP21" s="140">
        <v>58.21</v>
      </c>
    </row>
    <row r="22" spans="2:42">
      <c r="B22" s="122" t="s">
        <v>302</v>
      </c>
      <c r="C22" s="123">
        <v>2.5761762251996006E-3</v>
      </c>
      <c r="D22" s="124">
        <v>0</v>
      </c>
      <c r="E22" s="124">
        <v>1.1522815855044093E-2</v>
      </c>
      <c r="F22" s="124">
        <v>0</v>
      </c>
      <c r="G22" s="124">
        <v>0</v>
      </c>
      <c r="H22" s="124">
        <v>1.9667944145337849E-2</v>
      </c>
      <c r="I22" s="124">
        <v>0</v>
      </c>
      <c r="J22" s="124">
        <v>0</v>
      </c>
      <c r="K22" s="124">
        <v>0.14520325914445656</v>
      </c>
      <c r="L22" s="124">
        <v>0</v>
      </c>
      <c r="M22" s="124">
        <v>0</v>
      </c>
      <c r="N22" s="124">
        <v>2.8352152397332626E-3</v>
      </c>
      <c r="O22" s="125">
        <v>7.8252000756801263E-3</v>
      </c>
      <c r="Q22" s="108" t="s">
        <v>295</v>
      </c>
      <c r="R22" s="108" t="s">
        <v>303</v>
      </c>
      <c r="V22" s="140" t="s">
        <v>304</v>
      </c>
      <c r="W22" s="140"/>
      <c r="X22" s="140">
        <v>13.01</v>
      </c>
      <c r="Y22" s="140"/>
      <c r="Z22" s="140"/>
      <c r="AA22" s="140">
        <v>0</v>
      </c>
      <c r="AB22" s="140">
        <v>64.28</v>
      </c>
      <c r="AC22" s="140"/>
      <c r="AD22" s="140"/>
      <c r="AE22" s="140">
        <v>16.05</v>
      </c>
      <c r="AF22" s="140">
        <v>0</v>
      </c>
      <c r="AG22" s="140">
        <v>0</v>
      </c>
      <c r="AH22" s="140">
        <v>0</v>
      </c>
      <c r="AI22" s="140"/>
      <c r="AJ22" s="140"/>
      <c r="AK22" s="140">
        <v>42.38</v>
      </c>
      <c r="AL22" s="140">
        <v>0</v>
      </c>
      <c r="AM22" s="140">
        <v>7.27</v>
      </c>
      <c r="AN22" s="140">
        <v>40</v>
      </c>
      <c r="AO22" s="140">
        <v>1.42</v>
      </c>
      <c r="AP22" s="140">
        <v>10.28</v>
      </c>
    </row>
    <row r="23" spans="2:42">
      <c r="B23" s="136" t="s">
        <v>305</v>
      </c>
      <c r="C23" s="137">
        <v>0</v>
      </c>
      <c r="D23" s="138">
        <v>0</v>
      </c>
      <c r="E23" s="138">
        <v>6.4616305120296369E-3</v>
      </c>
      <c r="F23" s="138">
        <v>0</v>
      </c>
      <c r="G23" s="138">
        <v>0</v>
      </c>
      <c r="H23" s="138">
        <v>0</v>
      </c>
      <c r="I23" s="138">
        <v>0</v>
      </c>
      <c r="J23" s="138">
        <v>0</v>
      </c>
      <c r="K23" s="138">
        <v>0</v>
      </c>
      <c r="L23" s="138">
        <v>0</v>
      </c>
      <c r="M23" s="138">
        <v>0</v>
      </c>
      <c r="N23" s="138">
        <v>0</v>
      </c>
      <c r="O23" s="139">
        <v>1.2785050282419766E-3</v>
      </c>
      <c r="Q23" s="108" t="s">
        <v>298</v>
      </c>
      <c r="R23" s="108" t="s">
        <v>306</v>
      </c>
      <c r="V23" s="140" t="s">
        <v>307</v>
      </c>
      <c r="W23" s="140"/>
      <c r="X23" s="140">
        <v>13.03</v>
      </c>
      <c r="Y23" s="140"/>
      <c r="Z23" s="140"/>
      <c r="AA23" s="140">
        <v>0</v>
      </c>
      <c r="AB23" s="140">
        <v>0</v>
      </c>
      <c r="AC23" s="140"/>
      <c r="AD23" s="140"/>
      <c r="AE23" s="140">
        <v>0.61</v>
      </c>
      <c r="AF23" s="140">
        <v>19.3</v>
      </c>
      <c r="AG23" s="140">
        <v>0</v>
      </c>
      <c r="AH23" s="140">
        <v>0</v>
      </c>
      <c r="AI23" s="140"/>
      <c r="AJ23" s="140"/>
      <c r="AK23" s="140">
        <v>0</v>
      </c>
      <c r="AL23" s="140">
        <v>3.02</v>
      </c>
      <c r="AM23" s="140">
        <v>32.869999999999997</v>
      </c>
      <c r="AN23" s="140">
        <v>5</v>
      </c>
      <c r="AO23" s="140">
        <v>17.55</v>
      </c>
      <c r="AP23" s="140">
        <v>10.35</v>
      </c>
    </row>
    <row r="24" spans="2:42">
      <c r="B24" s="136" t="s">
        <v>308</v>
      </c>
      <c r="C24" s="137">
        <v>8.6487988425200651E-3</v>
      </c>
      <c r="D24" s="138">
        <v>0</v>
      </c>
      <c r="E24" s="138">
        <v>6.6045048234513936E-3</v>
      </c>
      <c r="F24" s="138">
        <v>0</v>
      </c>
      <c r="G24" s="138">
        <v>0</v>
      </c>
      <c r="H24" s="138">
        <v>0</v>
      </c>
      <c r="I24" s="138">
        <v>0</v>
      </c>
      <c r="J24" s="138">
        <v>0.13672090932805972</v>
      </c>
      <c r="K24" s="138">
        <v>0</v>
      </c>
      <c r="L24" s="138">
        <v>0</v>
      </c>
      <c r="M24" s="138">
        <v>0</v>
      </c>
      <c r="N24" s="138">
        <v>0</v>
      </c>
      <c r="O24" s="139">
        <v>1.8462606256546915E-2</v>
      </c>
      <c r="Q24" s="108" t="s">
        <v>302</v>
      </c>
      <c r="R24" s="114" t="s">
        <v>309</v>
      </c>
      <c r="V24" s="140"/>
      <c r="W24" s="140"/>
      <c r="X24" s="140"/>
      <c r="Y24" s="140"/>
      <c r="Z24" s="140"/>
      <c r="AA24" s="140"/>
      <c r="AB24" s="140"/>
      <c r="AC24" s="140"/>
      <c r="AD24" s="140"/>
      <c r="AE24" s="140"/>
      <c r="AF24" s="140"/>
      <c r="AG24" s="140"/>
      <c r="AH24" s="140"/>
      <c r="AI24" s="140"/>
      <c r="AJ24" s="140"/>
      <c r="AK24" s="140"/>
      <c r="AL24" s="140"/>
      <c r="AM24" s="140"/>
      <c r="AN24" s="140"/>
      <c r="AO24" s="140"/>
      <c r="AP24" s="140"/>
    </row>
    <row r="25" spans="2:42">
      <c r="B25" s="141" t="s">
        <v>28</v>
      </c>
      <c r="C25" s="142">
        <v>1</v>
      </c>
      <c r="D25" s="143">
        <v>1</v>
      </c>
      <c r="E25" s="143">
        <v>1</v>
      </c>
      <c r="F25" s="143">
        <v>1</v>
      </c>
      <c r="G25" s="143">
        <v>1</v>
      </c>
      <c r="H25" s="143">
        <v>1</v>
      </c>
      <c r="I25" s="143">
        <v>1</v>
      </c>
      <c r="J25" s="143">
        <v>1</v>
      </c>
      <c r="K25" s="143">
        <v>1</v>
      </c>
      <c r="L25" s="143">
        <v>1</v>
      </c>
      <c r="M25" s="143">
        <v>1</v>
      </c>
      <c r="N25" s="143">
        <v>1</v>
      </c>
      <c r="O25" s="144">
        <v>1</v>
      </c>
      <c r="Q25" s="108" t="s">
        <v>305</v>
      </c>
      <c r="R25" s="108" t="s">
        <v>310</v>
      </c>
      <c r="V25" s="140"/>
      <c r="W25" s="140"/>
      <c r="X25" s="140"/>
      <c r="Y25" s="140"/>
      <c r="Z25" s="140"/>
      <c r="AA25" s="140"/>
      <c r="AB25" s="140"/>
      <c r="AC25" s="140"/>
      <c r="AD25" s="140"/>
      <c r="AE25" s="140"/>
      <c r="AF25" s="140"/>
      <c r="AG25" s="140"/>
      <c r="AH25" s="140"/>
      <c r="AI25" s="140"/>
      <c r="AJ25" s="140"/>
      <c r="AK25" s="140"/>
      <c r="AL25" s="140"/>
      <c r="AM25" s="140"/>
      <c r="AN25" s="140"/>
      <c r="AO25" s="140"/>
      <c r="AP25" s="140"/>
    </row>
    <row r="26" spans="2:42">
      <c r="Q26" s="108" t="s">
        <v>311</v>
      </c>
      <c r="R26" s="108" t="s">
        <v>312</v>
      </c>
    </row>
    <row r="27" spans="2:42">
      <c r="B27" s="108" t="s">
        <v>313</v>
      </c>
      <c r="C27" s="145">
        <f>SUM(C7:C10,C12,C18,C22)</f>
        <v>0.17411580293500847</v>
      </c>
      <c r="D27" s="138">
        <f t="shared" ref="D27:O27" si="0">SUM(D7:D10,D12,D18,D22)</f>
        <v>0.94131957081788575</v>
      </c>
      <c r="E27" s="138">
        <f t="shared" si="0"/>
        <v>0.30790644856274241</v>
      </c>
      <c r="F27" s="138">
        <f t="shared" si="0"/>
        <v>0</v>
      </c>
      <c r="G27" s="138">
        <f t="shared" si="0"/>
        <v>0.15390249891052971</v>
      </c>
      <c r="H27" s="145">
        <f t="shared" si="0"/>
        <v>0.58510508864965727</v>
      </c>
      <c r="I27" s="138">
        <f t="shared" si="0"/>
        <v>2.2236799127596969E-2</v>
      </c>
      <c r="J27" s="138">
        <f t="shared" si="0"/>
        <v>4.4013934444699997E-2</v>
      </c>
      <c r="K27" s="138">
        <f t="shared" si="0"/>
        <v>0.38523486839074983</v>
      </c>
      <c r="L27" s="138">
        <f t="shared" si="0"/>
        <v>0.39526683626489406</v>
      </c>
      <c r="M27" s="138">
        <f t="shared" si="0"/>
        <v>0.42539953348663784</v>
      </c>
      <c r="N27" s="145">
        <f t="shared" si="0"/>
        <v>0.76354256374075191</v>
      </c>
      <c r="O27" s="138">
        <f t="shared" si="0"/>
        <v>0.36635789089914061</v>
      </c>
      <c r="Q27" s="108" t="s">
        <v>314</v>
      </c>
      <c r="R27" s="108" t="s">
        <v>315</v>
      </c>
    </row>
    <row r="28" spans="2:42">
      <c r="B28" s="146" t="s">
        <v>316</v>
      </c>
      <c r="C28" s="147">
        <f t="shared" ref="C28:O28" si="1">(C8+C12+(50%*C9))/C27</f>
        <v>0.31754203029198463</v>
      </c>
      <c r="D28" s="148">
        <f t="shared" si="1"/>
        <v>0.31610878098370487</v>
      </c>
      <c r="E28" s="148">
        <f t="shared" si="1"/>
        <v>0.28859952386174692</v>
      </c>
      <c r="F28" s="148" t="e">
        <f t="shared" si="1"/>
        <v>#DIV/0!</v>
      </c>
      <c r="G28" s="148">
        <f t="shared" si="1"/>
        <v>0.49964771532008212</v>
      </c>
      <c r="H28" s="147">
        <f t="shared" si="1"/>
        <v>0.43118021805703866</v>
      </c>
      <c r="I28" s="148">
        <f t="shared" si="1"/>
        <v>0</v>
      </c>
      <c r="J28" s="148">
        <f t="shared" si="1"/>
        <v>0.84655842025395422</v>
      </c>
      <c r="K28" s="148">
        <f t="shared" si="1"/>
        <v>0.62307861759498218</v>
      </c>
      <c r="L28" s="148">
        <f t="shared" si="1"/>
        <v>0.26657989717375336</v>
      </c>
      <c r="M28" s="148">
        <f t="shared" si="1"/>
        <v>0</v>
      </c>
      <c r="N28" s="147">
        <f t="shared" si="1"/>
        <v>0.11664646568317165</v>
      </c>
      <c r="O28" s="148">
        <f t="shared" si="1"/>
        <v>0.29196303423054198</v>
      </c>
      <c r="Q28" s="108" t="s">
        <v>308</v>
      </c>
      <c r="R28" s="108" t="s">
        <v>317</v>
      </c>
      <c r="V28" s="140" t="s">
        <v>318</v>
      </c>
      <c r="X28" s="148">
        <f>X$12*X20/10000</f>
        <v>0.31894728</v>
      </c>
      <c r="Y28" s="149">
        <f>X28</f>
        <v>0.31894728</v>
      </c>
      <c r="Z28" s="149">
        <f>Y28</f>
        <v>0.31894728</v>
      </c>
      <c r="AA28" s="148">
        <f>AA$12*AA20/10000</f>
        <v>3.0930759999999998E-2</v>
      </c>
      <c r="AB28" s="148">
        <f>AB$12*AB20/10000</f>
        <v>2.1982E-3</v>
      </c>
      <c r="AC28" s="149">
        <f>AB28</f>
        <v>2.1982E-3</v>
      </c>
      <c r="AD28" s="149">
        <f>AC28</f>
        <v>2.1982E-3</v>
      </c>
      <c r="AE28" s="148">
        <f>AE$12*AE20/10000</f>
        <v>4.7366500000000002E-3</v>
      </c>
      <c r="AF28" s="148">
        <f>AF$12*AF20/10000</f>
        <v>0.12906036000000001</v>
      </c>
      <c r="AG28" s="148">
        <f>AG$12*AG20/10000</f>
        <v>3.9013040000000006E-2</v>
      </c>
      <c r="AH28" s="148">
        <f>AH$12*AH20/10000</f>
        <v>6.1730400000000003E-3</v>
      </c>
      <c r="AI28" s="149">
        <f>AH28</f>
        <v>6.1730400000000003E-3</v>
      </c>
      <c r="AJ28" s="148">
        <f t="shared" ref="AJ28:AO28" si="2">AJ$12*AJ20/10000</f>
        <v>0</v>
      </c>
      <c r="AK28" s="148">
        <f t="shared" si="2"/>
        <v>2.4932600000000006E-3</v>
      </c>
      <c r="AL28" s="148">
        <f t="shared" si="2"/>
        <v>7.892652E-2</v>
      </c>
      <c r="AM28" s="148">
        <f t="shared" si="2"/>
        <v>0.27556061999999998</v>
      </c>
      <c r="AN28" s="148">
        <f t="shared" si="2"/>
        <v>1.4999999999999999E-2</v>
      </c>
      <c r="AO28" s="148">
        <f t="shared" si="2"/>
        <v>0.14676282000000002</v>
      </c>
    </row>
    <row r="29" spans="2:42">
      <c r="B29" s="146" t="s">
        <v>319</v>
      </c>
      <c r="C29" s="147">
        <f t="shared" ref="C29:O29" si="3">100%-C30-C28</f>
        <v>0.27090951195195317</v>
      </c>
      <c r="D29" s="148">
        <f t="shared" si="3"/>
        <v>0.62988681885773723</v>
      </c>
      <c r="E29" s="148">
        <f t="shared" si="3"/>
        <v>0.48287752370575632</v>
      </c>
      <c r="F29" s="148" t="e">
        <f t="shared" si="3"/>
        <v>#DIV/0!</v>
      </c>
      <c r="G29" s="148">
        <f t="shared" si="3"/>
        <v>-0.16867084247326936</v>
      </c>
      <c r="H29" s="147">
        <f t="shared" si="3"/>
        <v>0.33777834916205296</v>
      </c>
      <c r="I29" s="148">
        <f t="shared" si="3"/>
        <v>-5.479448503418558</v>
      </c>
      <c r="J29" s="148">
        <f t="shared" si="3"/>
        <v>-0.71967111241170101</v>
      </c>
      <c r="K29" s="148">
        <f t="shared" si="3"/>
        <v>0.27935659242854594</v>
      </c>
      <c r="L29" s="148">
        <f t="shared" si="3"/>
        <v>0.57223452254677287</v>
      </c>
      <c r="M29" s="148">
        <f t="shared" si="3"/>
        <v>0.53362591061814957</v>
      </c>
      <c r="N29" s="147">
        <f t="shared" si="3"/>
        <v>0.79802383320929537</v>
      </c>
      <c r="O29" s="148">
        <f t="shared" si="3"/>
        <v>0.46696336910451425</v>
      </c>
      <c r="V29" s="140"/>
      <c r="X29" s="148"/>
      <c r="Y29" s="149"/>
      <c r="Z29" s="149"/>
      <c r="AA29" s="148"/>
      <c r="AB29" s="148"/>
      <c r="AC29" s="149"/>
      <c r="AD29" s="149"/>
      <c r="AE29" s="148"/>
      <c r="AF29" s="148"/>
      <c r="AG29" s="148"/>
      <c r="AH29" s="148"/>
      <c r="AI29" s="149"/>
      <c r="AJ29" s="148"/>
      <c r="AK29" s="148"/>
      <c r="AL29" s="148"/>
      <c r="AM29" s="148"/>
      <c r="AN29" s="148"/>
      <c r="AO29" s="148"/>
    </row>
    <row r="30" spans="2:42">
      <c r="B30" s="146" t="s">
        <v>320</v>
      </c>
      <c r="C30" s="147">
        <f t="shared" ref="C30:O30" si="4">((50%*C9)+C13)/C27</f>
        <v>0.41154845775606219</v>
      </c>
      <c r="D30" s="148">
        <f t="shared" si="4"/>
        <v>5.4004400158557904E-2</v>
      </c>
      <c r="E30" s="148">
        <f t="shared" si="4"/>
        <v>0.22852295243249673</v>
      </c>
      <c r="F30" s="148" t="e">
        <f t="shared" si="4"/>
        <v>#DIV/0!</v>
      </c>
      <c r="G30" s="148">
        <f t="shared" si="4"/>
        <v>0.66902312715318724</v>
      </c>
      <c r="H30" s="147">
        <f t="shared" si="4"/>
        <v>0.23104143278090838</v>
      </c>
      <c r="I30" s="148">
        <f t="shared" si="4"/>
        <v>6.479448503418558</v>
      </c>
      <c r="J30" s="148">
        <f t="shared" si="4"/>
        <v>0.87311269215774678</v>
      </c>
      <c r="K30" s="148">
        <f t="shared" si="4"/>
        <v>9.7564789976471875E-2</v>
      </c>
      <c r="L30" s="148">
        <f t="shared" si="4"/>
        <v>0.16118558027947386</v>
      </c>
      <c r="M30" s="148">
        <f t="shared" si="4"/>
        <v>0.46637408938185049</v>
      </c>
      <c r="N30" s="147">
        <f t="shared" si="4"/>
        <v>8.5329701107533032E-2</v>
      </c>
      <c r="O30" s="148">
        <f t="shared" si="4"/>
        <v>0.24107359666494374</v>
      </c>
      <c r="V30" s="140"/>
      <c r="X30" s="148"/>
      <c r="Y30" s="149"/>
      <c r="Z30" s="149"/>
      <c r="AA30" s="148"/>
      <c r="AB30" s="148"/>
      <c r="AC30" s="149"/>
      <c r="AD30" s="149"/>
      <c r="AE30" s="148"/>
      <c r="AF30" s="148"/>
      <c r="AG30" s="148"/>
      <c r="AH30" s="148"/>
      <c r="AI30" s="149"/>
      <c r="AJ30" s="148"/>
      <c r="AK30" s="148"/>
      <c r="AL30" s="148"/>
      <c r="AM30" s="148"/>
      <c r="AN30" s="148"/>
      <c r="AO30" s="148"/>
    </row>
    <row r="31" spans="2:42">
      <c r="V31" s="140"/>
      <c r="X31" s="148"/>
      <c r="Y31" s="149"/>
      <c r="Z31" s="149"/>
      <c r="AA31" s="148"/>
      <c r="AB31" s="148"/>
      <c r="AC31" s="149"/>
      <c r="AD31" s="149"/>
      <c r="AE31" s="148"/>
      <c r="AF31" s="148"/>
      <c r="AG31" s="148"/>
      <c r="AH31" s="148"/>
      <c r="AI31" s="149"/>
      <c r="AJ31" s="148"/>
      <c r="AK31" s="148"/>
      <c r="AL31" s="148"/>
      <c r="AM31" s="148"/>
      <c r="AN31" s="148"/>
      <c r="AO31" s="148"/>
    </row>
    <row r="32" spans="2:42">
      <c r="B32" s="146"/>
      <c r="H32" s="148"/>
      <c r="V32" s="140"/>
      <c r="X32" s="148"/>
      <c r="Y32" s="149"/>
      <c r="Z32" s="149"/>
      <c r="AA32" s="148"/>
      <c r="AB32" s="148"/>
      <c r="AC32" s="149"/>
      <c r="AD32" s="149"/>
      <c r="AE32" s="148"/>
      <c r="AF32" s="148"/>
      <c r="AG32" s="148"/>
      <c r="AH32" s="148"/>
      <c r="AI32" s="149"/>
      <c r="AJ32" s="148"/>
      <c r="AK32" s="148"/>
      <c r="AL32" s="148"/>
      <c r="AM32" s="148"/>
      <c r="AN32" s="148"/>
      <c r="AO32" s="148"/>
    </row>
    <row r="33" spans="2:41">
      <c r="B33" s="146"/>
      <c r="H33" s="148"/>
      <c r="V33" s="140"/>
      <c r="X33" s="148"/>
      <c r="Y33" s="149"/>
      <c r="Z33" s="149"/>
      <c r="AA33" s="148"/>
      <c r="AB33" s="148"/>
      <c r="AC33" s="149"/>
      <c r="AD33" s="149"/>
      <c r="AE33" s="148"/>
      <c r="AF33" s="148"/>
      <c r="AG33" s="148"/>
      <c r="AH33" s="148"/>
      <c r="AI33" s="149"/>
      <c r="AJ33" s="148"/>
      <c r="AK33" s="148"/>
      <c r="AL33" s="148"/>
      <c r="AM33" s="148"/>
      <c r="AN33" s="148"/>
      <c r="AO33" s="148"/>
    </row>
    <row r="34" spans="2:41">
      <c r="B34" s="146"/>
      <c r="H34" s="148"/>
      <c r="V34" s="140" t="s">
        <v>321</v>
      </c>
      <c r="X34" s="148">
        <f>X$12*X22/10000</f>
        <v>6.7274710000000001E-2</v>
      </c>
      <c r="Y34" s="149">
        <f>X34</f>
        <v>6.7274710000000001E-2</v>
      </c>
      <c r="Z34" s="149">
        <f>Y34</f>
        <v>6.7274710000000001E-2</v>
      </c>
      <c r="AA34" s="148">
        <f>AA$12*AA22/10000</f>
        <v>0</v>
      </c>
      <c r="AB34" s="148">
        <f>AB$12*AB22/10000</f>
        <v>3.72824E-2</v>
      </c>
      <c r="AC34" s="149">
        <f>AB34</f>
        <v>3.72824E-2</v>
      </c>
      <c r="AD34" s="149">
        <f>AC34</f>
        <v>3.72824E-2</v>
      </c>
      <c r="AE34" s="148">
        <f>AE$12*AE22/10000</f>
        <v>0.12462825000000002</v>
      </c>
      <c r="AF34" s="148">
        <f>AF$12*AF22/10000</f>
        <v>0</v>
      </c>
      <c r="AG34" s="148">
        <f>AG$12*AG22/10000</f>
        <v>0</v>
      </c>
      <c r="AH34" s="148">
        <f>AH$12*AH22/10000</f>
        <v>0</v>
      </c>
      <c r="AI34" s="149">
        <f>AH34</f>
        <v>0</v>
      </c>
      <c r="AJ34" s="148">
        <f t="shared" ref="AJ34:AO34" si="5">AJ$12*AJ22/10000</f>
        <v>0</v>
      </c>
      <c r="AK34" s="148">
        <f t="shared" si="5"/>
        <v>0.13722644000000003</v>
      </c>
      <c r="AL34" s="148">
        <f t="shared" si="5"/>
        <v>0</v>
      </c>
      <c r="AM34" s="148">
        <f t="shared" si="5"/>
        <v>5.6575139999999989E-2</v>
      </c>
      <c r="AN34" s="148">
        <f t="shared" si="5"/>
        <v>0.12</v>
      </c>
      <c r="AO34" s="148">
        <f t="shared" si="5"/>
        <v>6.6924599999999999E-3</v>
      </c>
    </row>
    <row r="35" spans="2:41">
      <c r="V35" s="140" t="s">
        <v>322</v>
      </c>
      <c r="X35" s="148">
        <f>(X$12*X21/10000)+(X$12*X23/10000)</f>
        <v>0.13092972</v>
      </c>
      <c r="Y35" s="149">
        <f>X35</f>
        <v>0.13092972</v>
      </c>
      <c r="Z35" s="149">
        <f>Y35</f>
        <v>0.13092972</v>
      </c>
      <c r="AA35" s="148">
        <f>AA$12*AA21/10000</f>
        <v>5.7692400000000001E-3</v>
      </c>
      <c r="AB35" s="148">
        <f>AB$12*AB21/10000</f>
        <v>1.8519399999999998E-2</v>
      </c>
      <c r="AC35" s="149">
        <f>AB35</f>
        <v>1.8519399999999998E-2</v>
      </c>
      <c r="AD35" s="149">
        <f>AC35</f>
        <v>1.8519399999999998E-2</v>
      </c>
      <c r="AE35" s="148">
        <f>AE$12*AE21/10000</f>
        <v>0.64232080000000003</v>
      </c>
      <c r="AF35" s="148">
        <f>AF$12*AF21/10000</f>
        <v>0.45156738000000007</v>
      </c>
      <c r="AG35" s="148">
        <f>AG$12*AG21/10000</f>
        <v>6.4086959999999998E-2</v>
      </c>
      <c r="AH35" s="148">
        <f>AH$12*AH21/10000</f>
        <v>0.10942696</v>
      </c>
      <c r="AI35" s="149">
        <f>AH35</f>
        <v>0.10942696</v>
      </c>
      <c r="AJ35" s="148">
        <f t="shared" ref="AJ35:AO35" si="6">(AJ$12*AJ21/10000)+(AJ$12*AJ23/10000)</f>
        <v>0</v>
      </c>
      <c r="AK35" s="148">
        <f t="shared" si="6"/>
        <v>0.18411268000000003</v>
      </c>
      <c r="AL35" s="148">
        <f t="shared" si="6"/>
        <v>0.89427348000000007</v>
      </c>
      <c r="AM35" s="148">
        <f t="shared" si="6"/>
        <v>0.4461420599999999</v>
      </c>
      <c r="AN35" s="148">
        <f t="shared" si="6"/>
        <v>0.16499999999999998</v>
      </c>
      <c r="AO35" s="148">
        <f t="shared" si="6"/>
        <v>0.31779759000000007</v>
      </c>
    </row>
    <row r="37" spans="2:41">
      <c r="B37" s="107" t="s">
        <v>228</v>
      </c>
      <c r="C37" s="107" t="s">
        <v>323</v>
      </c>
      <c r="V37" s="140" t="s">
        <v>324</v>
      </c>
      <c r="X37" s="148">
        <f>X$12*X23/10000</f>
        <v>6.7378129999999994E-2</v>
      </c>
      <c r="Y37" s="149">
        <f>X37</f>
        <v>6.7378129999999994E-2</v>
      </c>
      <c r="Z37" s="149">
        <f>Y37</f>
        <v>6.7378129999999994E-2</v>
      </c>
      <c r="AA37" s="148">
        <f>AA$12*AA23/10000</f>
        <v>0</v>
      </c>
      <c r="AB37" s="148">
        <f>AB$12*AB23/10000</f>
        <v>0</v>
      </c>
      <c r="AC37" s="149">
        <f>AB37</f>
        <v>0</v>
      </c>
      <c r="AD37" s="149">
        <f>AC37</f>
        <v>0</v>
      </c>
      <c r="AE37" s="148">
        <f>AE$12*AE23/10000</f>
        <v>4.7366500000000002E-3</v>
      </c>
      <c r="AF37" s="148">
        <f>AF$12*AF23/10000</f>
        <v>0.1388442</v>
      </c>
      <c r="AG37" s="148">
        <f>AG$12*AG23/10000</f>
        <v>0</v>
      </c>
      <c r="AH37" s="148">
        <f>AH$12*AH23/10000</f>
        <v>0</v>
      </c>
      <c r="AI37" s="149">
        <f>AH37</f>
        <v>0</v>
      </c>
      <c r="AJ37" s="148">
        <f t="shared" ref="AJ37:AO37" si="7">AJ$12*AJ23/10000</f>
        <v>0</v>
      </c>
      <c r="AK37" s="148">
        <f t="shared" si="7"/>
        <v>0</v>
      </c>
      <c r="AL37" s="148">
        <f t="shared" si="7"/>
        <v>2.9390639999999996E-2</v>
      </c>
      <c r="AM37" s="148">
        <f t="shared" si="7"/>
        <v>0.25579433999999995</v>
      </c>
      <c r="AN37" s="148">
        <f t="shared" si="7"/>
        <v>1.4999999999999999E-2</v>
      </c>
      <c r="AO37" s="148">
        <f t="shared" si="7"/>
        <v>8.2713150000000013E-2</v>
      </c>
    </row>
    <row r="39" spans="2:41">
      <c r="B39" s="109" t="s">
        <v>229</v>
      </c>
      <c r="C39" s="109" t="s">
        <v>230</v>
      </c>
      <c r="D39" s="110"/>
      <c r="E39" s="110"/>
      <c r="F39" s="110"/>
      <c r="G39" s="110"/>
      <c r="H39" s="110"/>
      <c r="I39" s="110"/>
      <c r="J39" s="110"/>
      <c r="K39" s="110"/>
      <c r="L39" s="110"/>
      <c r="M39" s="110"/>
      <c r="N39" s="110"/>
      <c r="O39" s="111"/>
    </row>
    <row r="40" spans="2:41">
      <c r="B40" s="109" t="s">
        <v>232</v>
      </c>
      <c r="C40" s="109" t="s">
        <v>233</v>
      </c>
      <c r="D40" s="112" t="s">
        <v>234</v>
      </c>
      <c r="E40" s="112" t="s">
        <v>235</v>
      </c>
      <c r="F40" s="112" t="s">
        <v>236</v>
      </c>
      <c r="G40" s="112" t="s">
        <v>237</v>
      </c>
      <c r="H40" s="112" t="s">
        <v>238</v>
      </c>
      <c r="I40" s="112" t="s">
        <v>239</v>
      </c>
      <c r="J40" s="112" t="s">
        <v>240</v>
      </c>
      <c r="K40" s="112" t="s">
        <v>241</v>
      </c>
      <c r="L40" s="112" t="s">
        <v>242</v>
      </c>
      <c r="M40" s="112" t="s">
        <v>243</v>
      </c>
      <c r="N40" s="112" t="s">
        <v>244</v>
      </c>
      <c r="O40" s="113" t="s">
        <v>28</v>
      </c>
      <c r="V40" s="106" t="s">
        <v>325</v>
      </c>
      <c r="X40" s="148">
        <f>X20/100</f>
        <v>0.61680000000000001</v>
      </c>
      <c r="Y40" s="148">
        <f t="shared" ref="Y40:Z45" si="8">X40</f>
        <v>0.61680000000000001</v>
      </c>
      <c r="Z40" s="148">
        <f t="shared" si="8"/>
        <v>0.61680000000000001</v>
      </c>
      <c r="AA40" s="148">
        <f t="shared" ref="AA40:AO40" si="9">AA20/100</f>
        <v>0.84279999999999999</v>
      </c>
      <c r="AB40" s="148">
        <f t="shared" si="9"/>
        <v>3.7900000000000003E-2</v>
      </c>
      <c r="AC40" s="148">
        <f t="shared" ref="AC40:AD45" si="10">AB40</f>
        <v>3.7900000000000003E-2</v>
      </c>
      <c r="AD40" s="148">
        <f t="shared" si="10"/>
        <v>3.7900000000000003E-2</v>
      </c>
      <c r="AE40" s="148">
        <f t="shared" si="9"/>
        <v>6.0999999999999995E-3</v>
      </c>
      <c r="AF40" s="148">
        <f t="shared" si="9"/>
        <v>0.1794</v>
      </c>
      <c r="AG40" s="148">
        <f t="shared" si="9"/>
        <v>0.37840000000000001</v>
      </c>
      <c r="AH40" s="148">
        <f t="shared" si="9"/>
        <v>5.3399999999999996E-2</v>
      </c>
      <c r="AI40" s="148">
        <f t="shared" ref="AI40:AJ45" si="11">AH40</f>
        <v>5.3399999999999996E-2</v>
      </c>
      <c r="AJ40" s="148">
        <f t="shared" si="11"/>
        <v>5.3399999999999996E-2</v>
      </c>
      <c r="AK40" s="148">
        <f t="shared" si="9"/>
        <v>7.7000000000000002E-3</v>
      </c>
      <c r="AL40" s="148">
        <f t="shared" si="9"/>
        <v>8.1099999999999992E-2</v>
      </c>
      <c r="AM40" s="148">
        <f t="shared" si="9"/>
        <v>0.35409999999999997</v>
      </c>
      <c r="AN40" s="148">
        <f t="shared" si="9"/>
        <v>0.05</v>
      </c>
      <c r="AO40" s="148">
        <f t="shared" si="9"/>
        <v>0.31140000000000001</v>
      </c>
    </row>
    <row r="41" spans="2:41">
      <c r="B41" s="117" t="s">
        <v>245</v>
      </c>
      <c r="C41" s="118">
        <v>0.11734212954742379</v>
      </c>
      <c r="D41" s="119">
        <v>0</v>
      </c>
      <c r="E41" s="119">
        <v>3.3431544287580155E-2</v>
      </c>
      <c r="F41" s="119">
        <v>0</v>
      </c>
      <c r="G41" s="119">
        <v>0</v>
      </c>
      <c r="H41" s="119">
        <v>0.26709131513102152</v>
      </c>
      <c r="I41" s="119">
        <v>0</v>
      </c>
      <c r="J41" s="119">
        <v>0</v>
      </c>
      <c r="K41" s="119">
        <v>0</v>
      </c>
      <c r="L41" s="119">
        <v>0.19608646207425343</v>
      </c>
      <c r="M41" s="119">
        <v>0.36144205746407448</v>
      </c>
      <c r="N41" s="119">
        <v>6.411696350997434E-2</v>
      </c>
      <c r="O41" s="120">
        <v>0.129966225719093</v>
      </c>
      <c r="V41" s="106" t="s">
        <v>326</v>
      </c>
      <c r="X41" s="148">
        <f>X21/100+X23/100</f>
        <v>0.25319999999999998</v>
      </c>
      <c r="Y41" s="148">
        <f t="shared" si="8"/>
        <v>0.25319999999999998</v>
      </c>
      <c r="Z41" s="148">
        <f t="shared" si="8"/>
        <v>0.25319999999999998</v>
      </c>
      <c r="AA41" s="148">
        <f t="shared" ref="AA41:AO41" si="12">AA21/100+AA23/100</f>
        <v>0.15720000000000001</v>
      </c>
      <c r="AB41" s="148">
        <f t="shared" si="12"/>
        <v>0.31929999999999997</v>
      </c>
      <c r="AC41" s="148">
        <f t="shared" si="10"/>
        <v>0.31929999999999997</v>
      </c>
      <c r="AD41" s="148">
        <f t="shared" si="10"/>
        <v>0.31929999999999997</v>
      </c>
      <c r="AE41" s="148">
        <f t="shared" si="12"/>
        <v>0.83329999999999993</v>
      </c>
      <c r="AF41" s="148">
        <f t="shared" si="12"/>
        <v>0.82069999999999999</v>
      </c>
      <c r="AG41" s="148">
        <f t="shared" si="12"/>
        <v>0.62159999999999993</v>
      </c>
      <c r="AH41" s="148">
        <f t="shared" si="12"/>
        <v>0.9466</v>
      </c>
      <c r="AI41" s="148">
        <f t="shared" si="11"/>
        <v>0.9466</v>
      </c>
      <c r="AJ41" s="148">
        <f t="shared" si="11"/>
        <v>0.9466</v>
      </c>
      <c r="AK41" s="148">
        <f t="shared" si="12"/>
        <v>0.56859999999999999</v>
      </c>
      <c r="AL41" s="148">
        <f t="shared" si="12"/>
        <v>0.91890000000000005</v>
      </c>
      <c r="AM41" s="148">
        <f t="shared" si="12"/>
        <v>0.57330000000000003</v>
      </c>
      <c r="AN41" s="148">
        <f t="shared" si="12"/>
        <v>0.55000000000000004</v>
      </c>
      <c r="AO41" s="148">
        <f t="shared" si="12"/>
        <v>0.67430000000000001</v>
      </c>
    </row>
    <row r="42" spans="2:41">
      <c r="B42" s="122" t="s">
        <v>249</v>
      </c>
      <c r="C42" s="123">
        <v>0</v>
      </c>
      <c r="D42" s="124">
        <v>0</v>
      </c>
      <c r="E42" s="124">
        <v>0</v>
      </c>
      <c r="F42" s="124">
        <v>0</v>
      </c>
      <c r="G42" s="124">
        <v>0</v>
      </c>
      <c r="H42" s="124">
        <v>0.10538264965655914</v>
      </c>
      <c r="I42" s="124">
        <v>0</v>
      </c>
      <c r="J42" s="124">
        <v>0</v>
      </c>
      <c r="K42" s="124">
        <v>0</v>
      </c>
      <c r="L42" s="124">
        <v>8.4276927095231963E-2</v>
      </c>
      <c r="M42" s="124">
        <v>0</v>
      </c>
      <c r="N42" s="124">
        <v>4.831756998852945E-2</v>
      </c>
      <c r="O42" s="125">
        <v>3.3996594260205931E-2</v>
      </c>
      <c r="V42" s="106" t="s">
        <v>327</v>
      </c>
      <c r="X42" s="148">
        <f>X22/100</f>
        <v>0.13009999999999999</v>
      </c>
      <c r="Y42" s="148">
        <f t="shared" si="8"/>
        <v>0.13009999999999999</v>
      </c>
      <c r="Z42" s="148">
        <f t="shared" si="8"/>
        <v>0.13009999999999999</v>
      </c>
      <c r="AA42" s="148">
        <f>AA22/100</f>
        <v>0</v>
      </c>
      <c r="AB42" s="148">
        <f>AB22/100</f>
        <v>0.64280000000000004</v>
      </c>
      <c r="AC42" s="148">
        <f t="shared" si="10"/>
        <v>0.64280000000000004</v>
      </c>
      <c r="AD42" s="148">
        <f t="shared" si="10"/>
        <v>0.64280000000000004</v>
      </c>
      <c r="AE42" s="148">
        <f>AE22/100</f>
        <v>0.1605</v>
      </c>
      <c r="AF42" s="148">
        <f>AF22/100</f>
        <v>0</v>
      </c>
      <c r="AG42" s="148">
        <f>AG22/100</f>
        <v>0</v>
      </c>
      <c r="AH42" s="148">
        <f>AH22/100</f>
        <v>0</v>
      </c>
      <c r="AI42" s="148">
        <f t="shared" si="11"/>
        <v>0</v>
      </c>
      <c r="AJ42" s="148">
        <f t="shared" si="11"/>
        <v>0</v>
      </c>
      <c r="AK42" s="148">
        <f>AK22/100</f>
        <v>0.42380000000000001</v>
      </c>
      <c r="AL42" s="148">
        <f>AL22/100</f>
        <v>0</v>
      </c>
      <c r="AM42" s="148">
        <f>AM22/100</f>
        <v>7.2700000000000001E-2</v>
      </c>
      <c r="AN42" s="148">
        <f>AN22/100</f>
        <v>0.4</v>
      </c>
      <c r="AO42" s="148">
        <f>AO22/100</f>
        <v>1.4199999999999999E-2</v>
      </c>
    </row>
    <row r="43" spans="2:41">
      <c r="B43" s="122" t="s">
        <v>251</v>
      </c>
      <c r="C43" s="123">
        <v>5.5649996774872368E-2</v>
      </c>
      <c r="D43" s="124">
        <v>0</v>
      </c>
      <c r="E43" s="124">
        <v>2.0487180260102128E-2</v>
      </c>
      <c r="F43" s="124">
        <v>0</v>
      </c>
      <c r="G43" s="124">
        <v>0</v>
      </c>
      <c r="H43" s="124">
        <v>8.9155411927162267E-2</v>
      </c>
      <c r="I43" s="124">
        <v>0</v>
      </c>
      <c r="J43" s="124">
        <v>0</v>
      </c>
      <c r="K43" s="124">
        <v>0</v>
      </c>
      <c r="L43" s="124">
        <v>0</v>
      </c>
      <c r="M43" s="124">
        <v>0</v>
      </c>
      <c r="N43" s="124">
        <v>0</v>
      </c>
      <c r="O43" s="125">
        <v>3.6302743909530123E-2</v>
      </c>
      <c r="V43" s="106" t="s">
        <v>328</v>
      </c>
      <c r="X43" s="148">
        <f>X16/100</f>
        <v>3.0600000000000002E-2</v>
      </c>
      <c r="Y43" s="148">
        <f t="shared" si="8"/>
        <v>3.0600000000000002E-2</v>
      </c>
      <c r="Z43" s="148">
        <f t="shared" si="8"/>
        <v>3.0600000000000002E-2</v>
      </c>
      <c r="AA43" s="148">
        <f t="shared" ref="AA43:AO43" si="13">AA16/100</f>
        <v>2.53E-2</v>
      </c>
      <c r="AB43" s="148">
        <f t="shared" si="13"/>
        <v>2.4700000000000003E-2</v>
      </c>
      <c r="AC43" s="148">
        <f t="shared" si="10"/>
        <v>2.4700000000000003E-2</v>
      </c>
      <c r="AD43" s="148">
        <f t="shared" si="10"/>
        <v>2.4700000000000003E-2</v>
      </c>
      <c r="AE43" s="148">
        <f t="shared" si="13"/>
        <v>2.41E-2</v>
      </c>
      <c r="AF43" s="148">
        <f t="shared" si="13"/>
        <v>0.18960000000000002</v>
      </c>
      <c r="AG43" s="148">
        <f t="shared" si="13"/>
        <v>0.1013</v>
      </c>
      <c r="AH43" s="148">
        <f t="shared" si="13"/>
        <v>1.03E-2</v>
      </c>
      <c r="AI43" s="148">
        <f t="shared" si="11"/>
        <v>1.03E-2</v>
      </c>
      <c r="AJ43" s="148">
        <f t="shared" si="11"/>
        <v>1.03E-2</v>
      </c>
      <c r="AK43" s="148">
        <f t="shared" si="13"/>
        <v>0.37490000000000001</v>
      </c>
      <c r="AL43" s="148">
        <f t="shared" si="13"/>
        <v>0.18149999999999999</v>
      </c>
      <c r="AM43" s="148">
        <f t="shared" si="13"/>
        <v>5.6999999999999993E-3</v>
      </c>
      <c r="AN43" s="148">
        <f t="shared" si="13"/>
        <v>0.1</v>
      </c>
      <c r="AO43" s="148">
        <f t="shared" si="13"/>
        <v>8.3400000000000002E-2</v>
      </c>
    </row>
    <row r="44" spans="2:41">
      <c r="B44" s="122" t="s">
        <v>255</v>
      </c>
      <c r="C44" s="123">
        <v>1.1312791352242415E-2</v>
      </c>
      <c r="D44" s="124">
        <v>0</v>
      </c>
      <c r="E44" s="124">
        <v>0.13177610734183814</v>
      </c>
      <c r="F44" s="124">
        <v>0</v>
      </c>
      <c r="G44" s="124">
        <v>0</v>
      </c>
      <c r="H44" s="124">
        <v>6.6109071876527675E-2</v>
      </c>
      <c r="I44" s="124">
        <v>0</v>
      </c>
      <c r="J44" s="124">
        <v>0</v>
      </c>
      <c r="K44" s="124">
        <v>0</v>
      </c>
      <c r="L44" s="124">
        <v>0</v>
      </c>
      <c r="M44" s="124">
        <v>0.11967976275437658</v>
      </c>
      <c r="N44" s="124">
        <v>0.6570544012147933</v>
      </c>
      <c r="O44" s="125">
        <v>0.13054141315757833</v>
      </c>
      <c r="V44" s="106" t="s">
        <v>329</v>
      </c>
      <c r="X44" s="148">
        <f>X17/100+X19/100</f>
        <v>0.6784</v>
      </c>
      <c r="Y44" s="148">
        <f t="shared" si="8"/>
        <v>0.6784</v>
      </c>
      <c r="Z44" s="148">
        <f t="shared" si="8"/>
        <v>0.6784</v>
      </c>
      <c r="AA44" s="148">
        <f t="shared" ref="AA44:AO44" si="14">AA17/100+AA19/100</f>
        <v>0.96689999999999998</v>
      </c>
      <c r="AB44" s="148">
        <f t="shared" si="14"/>
        <v>0.83260000000000001</v>
      </c>
      <c r="AC44" s="148">
        <f t="shared" si="10"/>
        <v>0.83260000000000001</v>
      </c>
      <c r="AD44" s="148">
        <f t="shared" si="10"/>
        <v>0.83260000000000001</v>
      </c>
      <c r="AE44" s="148">
        <f t="shared" si="14"/>
        <v>0.92970000000000008</v>
      </c>
      <c r="AF44" s="148">
        <f t="shared" si="14"/>
        <v>0.73620000000000008</v>
      </c>
      <c r="AG44" s="148">
        <f t="shared" si="14"/>
        <v>0.86060000000000003</v>
      </c>
      <c r="AH44" s="148">
        <f t="shared" si="14"/>
        <v>0.98720000000000008</v>
      </c>
      <c r="AI44" s="148">
        <f t="shared" si="11"/>
        <v>0.98720000000000008</v>
      </c>
      <c r="AJ44" s="148">
        <f t="shared" si="11"/>
        <v>0.98720000000000008</v>
      </c>
      <c r="AK44" s="148">
        <f t="shared" si="14"/>
        <v>0.37859999999999994</v>
      </c>
      <c r="AL44" s="148">
        <f t="shared" si="14"/>
        <v>0.78300000000000003</v>
      </c>
      <c r="AM44" s="148">
        <f t="shared" si="14"/>
        <v>0.99429999999999996</v>
      </c>
      <c r="AN44" s="148">
        <f t="shared" si="14"/>
        <v>0.8</v>
      </c>
      <c r="AO44" s="148">
        <f t="shared" si="14"/>
        <v>0.85329999999999995</v>
      </c>
    </row>
    <row r="45" spans="2:41">
      <c r="B45" s="136" t="s">
        <v>267</v>
      </c>
      <c r="C45" s="137">
        <v>0.37887640444707427</v>
      </c>
      <c r="D45" s="138">
        <v>1</v>
      </c>
      <c r="E45" s="138">
        <v>0.17272460469060269</v>
      </c>
      <c r="F45" s="138">
        <v>0.67037300448526171</v>
      </c>
      <c r="G45" s="138">
        <v>0.57647957176739084</v>
      </c>
      <c r="H45" s="138">
        <v>0.25312263070566526</v>
      </c>
      <c r="I45" s="138">
        <v>0.54636780118172368</v>
      </c>
      <c r="J45" s="138">
        <v>0.19084720032298944</v>
      </c>
      <c r="K45" s="138">
        <v>1</v>
      </c>
      <c r="L45" s="138">
        <v>0.50182151358618099</v>
      </c>
      <c r="M45" s="138">
        <v>6.3412045966831074E-2</v>
      </c>
      <c r="N45" s="138">
        <v>0.19805684564149181</v>
      </c>
      <c r="O45" s="139">
        <v>0.27453453170682257</v>
      </c>
      <c r="V45" s="106" t="s">
        <v>330</v>
      </c>
      <c r="X45" s="148">
        <f>X18/100</f>
        <v>0.29100000000000004</v>
      </c>
      <c r="Y45" s="148">
        <f t="shared" si="8"/>
        <v>0.29100000000000004</v>
      </c>
      <c r="Z45" s="148">
        <f t="shared" si="8"/>
        <v>0.29100000000000004</v>
      </c>
      <c r="AA45" s="148">
        <f t="shared" ref="AA45:AO45" si="15">AA18/100</f>
        <v>7.8000000000000005E-3</v>
      </c>
      <c r="AB45" s="148">
        <f t="shared" si="15"/>
        <v>0.14269999999999999</v>
      </c>
      <c r="AC45" s="148">
        <f t="shared" si="10"/>
        <v>0.14269999999999999</v>
      </c>
      <c r="AD45" s="148">
        <f t="shared" si="10"/>
        <v>0.14269999999999999</v>
      </c>
      <c r="AE45" s="148">
        <f t="shared" si="15"/>
        <v>4.6199999999999998E-2</v>
      </c>
      <c r="AF45" s="148">
        <f t="shared" si="15"/>
        <v>7.4200000000000002E-2</v>
      </c>
      <c r="AG45" s="148">
        <f t="shared" si="15"/>
        <v>3.8100000000000002E-2</v>
      </c>
      <c r="AH45" s="148">
        <f t="shared" si="15"/>
        <v>2.5000000000000001E-3</v>
      </c>
      <c r="AI45" s="148">
        <f t="shared" si="11"/>
        <v>2.5000000000000001E-3</v>
      </c>
      <c r="AJ45" s="148">
        <f t="shared" si="11"/>
        <v>2.5000000000000001E-3</v>
      </c>
      <c r="AK45" s="148">
        <f t="shared" si="15"/>
        <v>0.24660000000000001</v>
      </c>
      <c r="AL45" s="148">
        <f t="shared" si="15"/>
        <v>3.5400000000000001E-2</v>
      </c>
      <c r="AM45" s="148">
        <f t="shared" si="15"/>
        <v>0</v>
      </c>
      <c r="AN45" s="148">
        <f t="shared" si="15"/>
        <v>0.1</v>
      </c>
      <c r="AO45" s="148">
        <f t="shared" si="15"/>
        <v>6.3200000000000006E-2</v>
      </c>
    </row>
    <row r="46" spans="2:41">
      <c r="B46" s="122" t="s">
        <v>270</v>
      </c>
      <c r="C46" s="123">
        <v>0</v>
      </c>
      <c r="D46" s="124">
        <v>0</v>
      </c>
      <c r="E46" s="124">
        <v>9.5164802294537859E-2</v>
      </c>
      <c r="F46" s="124">
        <v>0</v>
      </c>
      <c r="G46" s="124">
        <v>0</v>
      </c>
      <c r="H46" s="124">
        <v>4.6800922171939374E-2</v>
      </c>
      <c r="I46" s="124">
        <v>0</v>
      </c>
      <c r="J46" s="124">
        <v>0</v>
      </c>
      <c r="K46" s="124">
        <v>0</v>
      </c>
      <c r="L46" s="124">
        <v>0</v>
      </c>
      <c r="M46" s="124">
        <v>0</v>
      </c>
      <c r="N46" s="124">
        <v>0</v>
      </c>
      <c r="O46" s="125">
        <v>2.6551651333541308E-2</v>
      </c>
    </row>
    <row r="47" spans="2:41">
      <c r="B47" s="136" t="s">
        <v>273</v>
      </c>
      <c r="C47" s="137">
        <v>6.6540096278724883E-2</v>
      </c>
      <c r="D47" s="138">
        <v>0</v>
      </c>
      <c r="E47" s="138">
        <v>7.5966120292558226E-2</v>
      </c>
      <c r="F47" s="138">
        <v>0</v>
      </c>
      <c r="G47" s="138">
        <v>0.14758000660881504</v>
      </c>
      <c r="H47" s="138">
        <v>0.12094424369794562</v>
      </c>
      <c r="I47" s="138">
        <v>0.17029135518009503</v>
      </c>
      <c r="J47" s="138">
        <v>4.5586302769301472E-2</v>
      </c>
      <c r="K47" s="138">
        <v>0</v>
      </c>
      <c r="L47" s="138">
        <v>8.5335478333171802E-2</v>
      </c>
      <c r="M47" s="138">
        <v>0.18493275691819963</v>
      </c>
      <c r="N47" s="138">
        <v>1.7909916265857088E-2</v>
      </c>
      <c r="O47" s="139">
        <v>8.4170972241343095E-2</v>
      </c>
      <c r="V47" s="108" t="s">
        <v>331</v>
      </c>
      <c r="X47" s="148">
        <f>X12/100</f>
        <v>0.5171</v>
      </c>
      <c r="Y47" s="148">
        <f>X47</f>
        <v>0.5171</v>
      </c>
      <c r="Z47" s="148">
        <f>Y47</f>
        <v>0.5171</v>
      </c>
      <c r="AA47" s="148">
        <f>AA12/100</f>
        <v>3.6699999999999997E-2</v>
      </c>
      <c r="AB47" s="148">
        <f>AB12/100</f>
        <v>5.7999999999999996E-2</v>
      </c>
      <c r="AC47" s="148">
        <f>AB47</f>
        <v>5.7999999999999996E-2</v>
      </c>
      <c r="AD47" s="148">
        <f>AC47</f>
        <v>5.7999999999999996E-2</v>
      </c>
      <c r="AE47" s="148">
        <f>AE12/100</f>
        <v>0.77650000000000008</v>
      </c>
      <c r="AF47" s="148">
        <f>AF12/100</f>
        <v>0.71939999999999993</v>
      </c>
      <c r="AG47" s="148">
        <f>AG12/100</f>
        <v>0.10310000000000001</v>
      </c>
      <c r="AH47" s="148">
        <f>AH12/100</f>
        <v>0.11560000000000001</v>
      </c>
      <c r="AI47" s="148">
        <f>AH47</f>
        <v>0.11560000000000001</v>
      </c>
      <c r="AJ47" s="148">
        <f>AI47</f>
        <v>0.11560000000000001</v>
      </c>
      <c r="AK47" s="148">
        <f>AK12/100</f>
        <v>0.32380000000000003</v>
      </c>
      <c r="AL47" s="148">
        <f>AL12/100</f>
        <v>0.97319999999999995</v>
      </c>
      <c r="AM47" s="148">
        <f>AM12/100</f>
        <v>0.77819999999999989</v>
      </c>
      <c r="AN47" s="148">
        <f>AN12/100</f>
        <v>0.3</v>
      </c>
      <c r="AO47" s="148">
        <f>AO12/100</f>
        <v>0.47130000000000005</v>
      </c>
    </row>
    <row r="48" spans="2:41">
      <c r="B48" s="136" t="s">
        <v>276</v>
      </c>
      <c r="C48" s="137">
        <v>0.10043578477661257</v>
      </c>
      <c r="D48" s="138">
        <v>0</v>
      </c>
      <c r="E48" s="138">
        <v>0.23392181666016387</v>
      </c>
      <c r="F48" s="138">
        <v>0</v>
      </c>
      <c r="G48" s="138">
        <v>4.0532284241845684E-2</v>
      </c>
      <c r="H48" s="138">
        <v>1.3616545285921489E-2</v>
      </c>
      <c r="I48" s="138">
        <v>3.0898693051171416E-2</v>
      </c>
      <c r="J48" s="138">
        <v>7.7918458125575296E-2</v>
      </c>
      <c r="K48" s="138">
        <v>0</v>
      </c>
      <c r="L48" s="138">
        <v>0</v>
      </c>
      <c r="M48" s="138">
        <v>7.3487864766491037E-2</v>
      </c>
      <c r="N48" s="138">
        <v>0</v>
      </c>
      <c r="O48" s="139">
        <v>7.7343061920286296E-2</v>
      </c>
      <c r="V48" s="146" t="s">
        <v>332</v>
      </c>
      <c r="X48" s="148">
        <f>X11/100</f>
        <v>0.4829</v>
      </c>
      <c r="Y48" s="148">
        <f>X48</f>
        <v>0.4829</v>
      </c>
      <c r="Z48" s="148">
        <f>Y48</f>
        <v>0.4829</v>
      </c>
      <c r="AA48" s="148">
        <f t="shared" ref="AA48:AO48" si="16">AA11/100</f>
        <v>0.96329999999999993</v>
      </c>
      <c r="AB48" s="148">
        <f t="shared" si="16"/>
        <v>0.94200000000000006</v>
      </c>
      <c r="AC48" s="148">
        <f>AB48</f>
        <v>0.94200000000000006</v>
      </c>
      <c r="AD48" s="148">
        <f>AC48</f>
        <v>0.94200000000000006</v>
      </c>
      <c r="AE48" s="148">
        <f t="shared" si="16"/>
        <v>0.2235</v>
      </c>
      <c r="AF48" s="148">
        <f t="shared" si="16"/>
        <v>0.28059999999999996</v>
      </c>
      <c r="AG48" s="148">
        <f t="shared" si="16"/>
        <v>0.89690000000000003</v>
      </c>
      <c r="AH48" s="148">
        <f t="shared" si="16"/>
        <v>0.88439999999999996</v>
      </c>
      <c r="AI48" s="148">
        <f>AH48</f>
        <v>0.88439999999999996</v>
      </c>
      <c r="AJ48" s="148">
        <f t="shared" si="16"/>
        <v>1</v>
      </c>
      <c r="AK48" s="148">
        <f t="shared" si="16"/>
        <v>0.67620000000000002</v>
      </c>
      <c r="AL48" s="148">
        <f t="shared" si="16"/>
        <v>2.6800000000000001E-2</v>
      </c>
      <c r="AM48" s="148">
        <f t="shared" si="16"/>
        <v>0.2218</v>
      </c>
      <c r="AN48" s="148">
        <f>AN13/100</f>
        <v>0</v>
      </c>
      <c r="AO48" s="148">
        <f t="shared" si="16"/>
        <v>0.52869999999999995</v>
      </c>
    </row>
    <row r="49" spans="2:15">
      <c r="B49" s="136" t="s">
        <v>279</v>
      </c>
      <c r="C49" s="137">
        <v>0</v>
      </c>
      <c r="D49" s="138">
        <v>0</v>
      </c>
      <c r="E49" s="138">
        <v>0</v>
      </c>
      <c r="F49" s="138">
        <v>0</v>
      </c>
      <c r="G49" s="138">
        <v>1.6390324041746292E-2</v>
      </c>
      <c r="H49" s="138">
        <v>0</v>
      </c>
      <c r="I49" s="138">
        <v>0</v>
      </c>
      <c r="J49" s="138">
        <v>0</v>
      </c>
      <c r="K49" s="138">
        <v>0</v>
      </c>
      <c r="L49" s="138">
        <v>0</v>
      </c>
      <c r="M49" s="138">
        <v>0</v>
      </c>
      <c r="N49" s="138">
        <v>0</v>
      </c>
      <c r="O49" s="139">
        <v>5.3559851443076608E-4</v>
      </c>
    </row>
    <row r="50" spans="2:15">
      <c r="B50" s="136" t="s">
        <v>282</v>
      </c>
      <c r="C50" s="137">
        <v>0</v>
      </c>
      <c r="D50" s="138">
        <v>0</v>
      </c>
      <c r="E50" s="138">
        <v>0</v>
      </c>
      <c r="F50" s="138">
        <v>0</v>
      </c>
      <c r="G50" s="138">
        <v>0</v>
      </c>
      <c r="H50" s="138">
        <v>0</v>
      </c>
      <c r="I50" s="138">
        <v>1.1126953176322117E-2</v>
      </c>
      <c r="J50" s="138">
        <v>0</v>
      </c>
      <c r="K50" s="138">
        <v>0</v>
      </c>
      <c r="L50" s="138">
        <v>0</v>
      </c>
      <c r="M50" s="138">
        <v>0</v>
      </c>
      <c r="N50" s="138">
        <v>0</v>
      </c>
      <c r="O50" s="139">
        <v>2.2687578518514585E-4</v>
      </c>
    </row>
    <row r="51" spans="2:15">
      <c r="B51" s="122" t="s">
        <v>288</v>
      </c>
      <c r="C51" s="123">
        <v>0</v>
      </c>
      <c r="D51" s="124">
        <v>0</v>
      </c>
      <c r="E51" s="124">
        <v>0</v>
      </c>
      <c r="F51" s="124">
        <v>0</v>
      </c>
      <c r="G51" s="124">
        <v>9.9167974389291341E-2</v>
      </c>
      <c r="H51" s="124">
        <v>0</v>
      </c>
      <c r="I51" s="124">
        <v>2.7980007641074611E-2</v>
      </c>
      <c r="J51" s="124">
        <v>0</v>
      </c>
      <c r="K51" s="124">
        <v>0</v>
      </c>
      <c r="L51" s="124">
        <v>0</v>
      </c>
      <c r="M51" s="124">
        <v>0</v>
      </c>
      <c r="N51" s="124">
        <v>0</v>
      </c>
      <c r="O51" s="125">
        <v>3.811089212767467E-3</v>
      </c>
    </row>
    <row r="52" spans="2:15">
      <c r="B52" s="136" t="s">
        <v>291</v>
      </c>
      <c r="C52" s="137">
        <v>0</v>
      </c>
      <c r="D52" s="138">
        <v>0</v>
      </c>
      <c r="E52" s="138">
        <v>2.8542166024169393E-2</v>
      </c>
      <c r="F52" s="138">
        <v>0.32962699551473823</v>
      </c>
      <c r="G52" s="138">
        <v>0</v>
      </c>
      <c r="H52" s="138">
        <v>0</v>
      </c>
      <c r="I52" s="138">
        <v>0</v>
      </c>
      <c r="J52" s="138">
        <v>1.9763405523839199E-2</v>
      </c>
      <c r="K52" s="138">
        <v>0</v>
      </c>
      <c r="L52" s="138">
        <v>9.6289158683733514E-2</v>
      </c>
      <c r="M52" s="138">
        <v>0.19308787264738425</v>
      </c>
      <c r="N52" s="138">
        <v>0</v>
      </c>
      <c r="O52" s="139">
        <v>2.3625498655677452E-2</v>
      </c>
    </row>
    <row r="53" spans="2:15">
      <c r="B53" s="136" t="s">
        <v>295</v>
      </c>
      <c r="C53" s="137">
        <v>0.25820101579100135</v>
      </c>
      <c r="D53" s="138">
        <v>0</v>
      </c>
      <c r="E53" s="138">
        <v>0.19579201210441372</v>
      </c>
      <c r="F53" s="138">
        <v>0</v>
      </c>
      <c r="G53" s="138">
        <v>0.11984983895091077</v>
      </c>
      <c r="H53" s="138">
        <v>2.6018404621813897E-2</v>
      </c>
      <c r="I53" s="138">
        <v>0.21333518976961321</v>
      </c>
      <c r="J53" s="138">
        <v>0.43439588611072577</v>
      </c>
      <c r="K53" s="138">
        <v>0</v>
      </c>
      <c r="L53" s="138">
        <v>3.6190460227428403E-2</v>
      </c>
      <c r="M53" s="138">
        <v>3.9576394826429653E-3</v>
      </c>
      <c r="N53" s="138">
        <v>1.4544303379354008E-2</v>
      </c>
      <c r="O53" s="139">
        <v>0.14863082647876166</v>
      </c>
    </row>
    <row r="54" spans="2:15">
      <c r="B54" s="122" t="s">
        <v>302</v>
      </c>
      <c r="C54" s="123">
        <v>0</v>
      </c>
      <c r="D54" s="124">
        <v>0</v>
      </c>
      <c r="E54" s="124">
        <v>0</v>
      </c>
      <c r="F54" s="124">
        <v>0</v>
      </c>
      <c r="G54" s="124">
        <v>0</v>
      </c>
      <c r="H54" s="124">
        <v>1.1758804925443874E-2</v>
      </c>
      <c r="I54" s="124">
        <v>0</v>
      </c>
      <c r="J54" s="124">
        <v>0</v>
      </c>
      <c r="K54" s="124">
        <v>0</v>
      </c>
      <c r="L54" s="124">
        <v>0</v>
      </c>
      <c r="M54" s="124">
        <v>0</v>
      </c>
      <c r="N54" s="124">
        <v>0</v>
      </c>
      <c r="O54" s="125">
        <v>2.7391818633013955E-3</v>
      </c>
    </row>
    <row r="55" spans="2:15">
      <c r="B55" s="136" t="s">
        <v>308</v>
      </c>
      <c r="C55" s="137">
        <v>1.1641781032048321E-2</v>
      </c>
      <c r="D55" s="138">
        <v>0</v>
      </c>
      <c r="E55" s="138">
        <v>1.2193646044033829E-2</v>
      </c>
      <c r="F55" s="138">
        <v>0</v>
      </c>
      <c r="G55" s="138">
        <v>0</v>
      </c>
      <c r="H55" s="138">
        <v>0</v>
      </c>
      <c r="I55" s="138">
        <v>0</v>
      </c>
      <c r="J55" s="138">
        <v>0.23148874714756892</v>
      </c>
      <c r="K55" s="138">
        <v>0</v>
      </c>
      <c r="L55" s="138">
        <v>0</v>
      </c>
      <c r="M55" s="138">
        <v>0</v>
      </c>
      <c r="N55" s="138">
        <v>0</v>
      </c>
      <c r="O55" s="139">
        <v>2.7023735241475253E-2</v>
      </c>
    </row>
    <row r="56" spans="2:15">
      <c r="B56" s="141" t="s">
        <v>28</v>
      </c>
      <c r="C56" s="142">
        <v>1</v>
      </c>
      <c r="D56" s="143">
        <v>1</v>
      </c>
      <c r="E56" s="143">
        <v>1</v>
      </c>
      <c r="F56" s="143">
        <v>1</v>
      </c>
      <c r="G56" s="143">
        <v>1</v>
      </c>
      <c r="H56" s="143">
        <v>1</v>
      </c>
      <c r="I56" s="143">
        <v>1</v>
      </c>
      <c r="J56" s="143">
        <v>1</v>
      </c>
      <c r="K56" s="143">
        <v>1</v>
      </c>
      <c r="L56" s="143">
        <v>1</v>
      </c>
      <c r="M56" s="143">
        <v>1</v>
      </c>
      <c r="N56" s="143">
        <v>1</v>
      </c>
      <c r="O56" s="144">
        <v>1</v>
      </c>
    </row>
    <row r="58" spans="2:15">
      <c r="B58" s="108" t="s">
        <v>313</v>
      </c>
      <c r="C58" s="145">
        <f t="shared" ref="C58:O58" si="17">SUM(C41:C44,C46,C51,C54)</f>
        <v>0.18430491767453858</v>
      </c>
      <c r="D58" s="138">
        <f t="shared" si="17"/>
        <v>0</v>
      </c>
      <c r="E58" s="138">
        <f t="shared" si="17"/>
        <v>0.28085963418405829</v>
      </c>
      <c r="F58" s="138">
        <f t="shared" si="17"/>
        <v>0</v>
      </c>
      <c r="G58" s="138">
        <f t="shared" si="17"/>
        <v>9.9167974389291341E-2</v>
      </c>
      <c r="H58" s="145">
        <f t="shared" si="17"/>
        <v>0.58629817568865394</v>
      </c>
      <c r="I58" s="138">
        <f t="shared" si="17"/>
        <v>2.7980007641074611E-2</v>
      </c>
      <c r="J58" s="138">
        <f t="shared" si="17"/>
        <v>0</v>
      </c>
      <c r="K58" s="138">
        <f t="shared" si="17"/>
        <v>0</v>
      </c>
      <c r="L58" s="138">
        <f t="shared" si="17"/>
        <v>0.28036338916948539</v>
      </c>
      <c r="M58" s="138">
        <f t="shared" si="17"/>
        <v>0.48112182021845107</v>
      </c>
      <c r="N58" s="145">
        <f t="shared" si="17"/>
        <v>0.76948893471329716</v>
      </c>
      <c r="O58" s="138">
        <f t="shared" si="17"/>
        <v>0.36390889945601756</v>
      </c>
    </row>
    <row r="63" spans="2:15">
      <c r="B63" s="107" t="s">
        <v>228</v>
      </c>
      <c r="C63" s="107" t="s">
        <v>333</v>
      </c>
    </row>
    <row r="65" spans="2:14">
      <c r="B65" s="109" t="s">
        <v>229</v>
      </c>
      <c r="C65" s="109" t="s">
        <v>230</v>
      </c>
      <c r="D65" s="110"/>
      <c r="E65" s="110"/>
      <c r="F65" s="110"/>
      <c r="G65" s="110"/>
      <c r="H65" s="110"/>
      <c r="I65" s="110"/>
      <c r="J65" s="110"/>
      <c r="K65" s="110"/>
      <c r="L65" s="110"/>
      <c r="M65" s="110"/>
      <c r="N65" s="111"/>
    </row>
    <row r="66" spans="2:14">
      <c r="B66" s="109" t="s">
        <v>232</v>
      </c>
      <c r="C66" s="109" t="s">
        <v>233</v>
      </c>
      <c r="D66" s="112" t="s">
        <v>234</v>
      </c>
      <c r="E66" s="112" t="s">
        <v>235</v>
      </c>
      <c r="F66" s="112" t="s">
        <v>236</v>
      </c>
      <c r="G66" s="112" t="s">
        <v>237</v>
      </c>
      <c r="H66" s="112" t="s">
        <v>238</v>
      </c>
      <c r="I66" s="112" t="s">
        <v>239</v>
      </c>
      <c r="J66" s="112" t="s">
        <v>240</v>
      </c>
      <c r="K66" s="112" t="s">
        <v>242</v>
      </c>
      <c r="L66" s="112" t="s">
        <v>243</v>
      </c>
      <c r="M66" s="112" t="s">
        <v>244</v>
      </c>
      <c r="N66" s="113" t="s">
        <v>28</v>
      </c>
    </row>
    <row r="67" spans="2:14">
      <c r="B67" s="117" t="s">
        <v>245</v>
      </c>
      <c r="C67" s="118">
        <v>0</v>
      </c>
      <c r="D67" s="119">
        <v>0</v>
      </c>
      <c r="E67" s="119">
        <v>0.20399588984736766</v>
      </c>
      <c r="F67" s="119">
        <v>0</v>
      </c>
      <c r="G67" s="119">
        <v>3.6347487150879286E-2</v>
      </c>
      <c r="H67" s="119">
        <v>0.21657846922405483</v>
      </c>
      <c r="I67" s="119">
        <v>0</v>
      </c>
      <c r="J67" s="119">
        <v>0</v>
      </c>
      <c r="K67" s="119">
        <v>0.28431312999318398</v>
      </c>
      <c r="L67" s="119">
        <v>0.39689566861750891</v>
      </c>
      <c r="M67" s="119">
        <v>3.1649737532376682E-2</v>
      </c>
      <c r="N67" s="120">
        <v>0.11807102822645113</v>
      </c>
    </row>
    <row r="68" spans="2:14">
      <c r="B68" s="122" t="s">
        <v>249</v>
      </c>
      <c r="C68" s="123">
        <v>6.5820274307211948E-2</v>
      </c>
      <c r="D68" s="124">
        <v>0</v>
      </c>
      <c r="E68" s="124">
        <v>0</v>
      </c>
      <c r="F68" s="124">
        <v>0</v>
      </c>
      <c r="G68" s="124">
        <v>0.34746667872012943</v>
      </c>
      <c r="H68" s="124">
        <v>0.10136676080903974</v>
      </c>
      <c r="I68" s="124">
        <v>0</v>
      </c>
      <c r="J68" s="124">
        <v>0.16499975855979915</v>
      </c>
      <c r="K68" s="124">
        <v>0</v>
      </c>
      <c r="L68" s="124">
        <v>0</v>
      </c>
      <c r="M68" s="124">
        <v>0</v>
      </c>
      <c r="N68" s="125">
        <v>7.0298200507172517E-2</v>
      </c>
    </row>
    <row r="69" spans="2:14">
      <c r="B69" s="122" t="s">
        <v>251</v>
      </c>
      <c r="C69" s="123">
        <v>0</v>
      </c>
      <c r="D69" s="124">
        <v>0</v>
      </c>
      <c r="E69" s="124">
        <v>0</v>
      </c>
      <c r="F69" s="124">
        <v>0</v>
      </c>
      <c r="G69" s="124">
        <v>0</v>
      </c>
      <c r="H69" s="124">
        <v>9.7432680724341813E-3</v>
      </c>
      <c r="I69" s="124">
        <v>0</v>
      </c>
      <c r="J69" s="124">
        <v>0</v>
      </c>
      <c r="K69" s="124">
        <v>6.5055601993173826E-2</v>
      </c>
      <c r="L69" s="124">
        <v>0</v>
      </c>
      <c r="M69" s="124">
        <v>0.316380400065292</v>
      </c>
      <c r="N69" s="125">
        <v>4.8384957134410336E-2</v>
      </c>
    </row>
    <row r="70" spans="2:14">
      <c r="B70" s="122" t="s">
        <v>255</v>
      </c>
      <c r="C70" s="123">
        <v>0</v>
      </c>
      <c r="D70" s="124">
        <v>0</v>
      </c>
      <c r="E70" s="124">
        <v>0</v>
      </c>
      <c r="F70" s="124">
        <v>0</v>
      </c>
      <c r="G70" s="124">
        <v>0</v>
      </c>
      <c r="H70" s="124">
        <v>0</v>
      </c>
      <c r="I70" s="124">
        <v>0</v>
      </c>
      <c r="J70" s="124">
        <v>0</v>
      </c>
      <c r="K70" s="124">
        <v>0.23998801705908668</v>
      </c>
      <c r="L70" s="124">
        <v>0</v>
      </c>
      <c r="M70" s="124">
        <v>0.21690779394396525</v>
      </c>
      <c r="N70" s="125">
        <v>4.4616192704559132E-2</v>
      </c>
    </row>
    <row r="71" spans="2:14">
      <c r="B71" s="136" t="s">
        <v>267</v>
      </c>
      <c r="C71" s="137">
        <v>0.70842651595699291</v>
      </c>
      <c r="D71" s="138">
        <v>0</v>
      </c>
      <c r="E71" s="138">
        <v>0.19337878196325434</v>
      </c>
      <c r="F71" s="138">
        <v>0.86529775889187821</v>
      </c>
      <c r="G71" s="138">
        <v>0.35400769442698476</v>
      </c>
      <c r="H71" s="138">
        <v>0.42889975182901696</v>
      </c>
      <c r="I71" s="138">
        <v>0.68433437140332964</v>
      </c>
      <c r="J71" s="138">
        <v>0.29395969218735923</v>
      </c>
      <c r="K71" s="138">
        <v>0.37041898413588614</v>
      </c>
      <c r="L71" s="138">
        <v>0</v>
      </c>
      <c r="M71" s="138">
        <v>0.11875941223934315</v>
      </c>
      <c r="N71" s="139">
        <v>0.33745352238074178</v>
      </c>
    </row>
    <row r="72" spans="2:14">
      <c r="B72" s="122" t="s">
        <v>270</v>
      </c>
      <c r="C72" s="123">
        <v>3.8039407039715853E-2</v>
      </c>
      <c r="D72" s="124">
        <v>1</v>
      </c>
      <c r="E72" s="124">
        <v>0.14070336187583204</v>
      </c>
      <c r="F72" s="124">
        <v>0</v>
      </c>
      <c r="G72" s="124">
        <v>0</v>
      </c>
      <c r="H72" s="124">
        <v>7.1467212525803792E-2</v>
      </c>
      <c r="I72" s="124">
        <v>0</v>
      </c>
      <c r="J72" s="124">
        <v>8.18619972345737E-2</v>
      </c>
      <c r="K72" s="124">
        <v>0</v>
      </c>
      <c r="L72" s="124">
        <v>0</v>
      </c>
      <c r="M72" s="124">
        <v>0</v>
      </c>
      <c r="N72" s="125">
        <v>6.7019376122500612E-2</v>
      </c>
    </row>
    <row r="73" spans="2:14">
      <c r="B73" s="136" t="s">
        <v>273</v>
      </c>
      <c r="C73" s="137">
        <v>1.5002472829830775E-2</v>
      </c>
      <c r="D73" s="138">
        <v>0</v>
      </c>
      <c r="E73" s="138">
        <v>3.7333887889787906E-2</v>
      </c>
      <c r="F73" s="138">
        <v>0</v>
      </c>
      <c r="G73" s="138">
        <v>5.2250457747525986E-2</v>
      </c>
      <c r="H73" s="138">
        <v>8.5680503358898694E-2</v>
      </c>
      <c r="I73" s="138">
        <v>0.101693067011111</v>
      </c>
      <c r="J73" s="138">
        <v>0</v>
      </c>
      <c r="K73" s="138">
        <v>2.902887360081758E-2</v>
      </c>
      <c r="L73" s="138">
        <v>0.10135956724347507</v>
      </c>
      <c r="M73" s="138">
        <v>0.12434433593484227</v>
      </c>
      <c r="N73" s="139">
        <v>5.0502607947889529E-2</v>
      </c>
    </row>
    <row r="74" spans="2:14">
      <c r="B74" s="136" t="s">
        <v>276</v>
      </c>
      <c r="C74" s="137">
        <v>1.2740949351198324E-2</v>
      </c>
      <c r="D74" s="138">
        <v>0</v>
      </c>
      <c r="E74" s="138">
        <v>8.8180100336536046E-2</v>
      </c>
      <c r="F74" s="138">
        <v>0</v>
      </c>
      <c r="G74" s="138">
        <v>0.1577627125747415</v>
      </c>
      <c r="H74" s="138">
        <v>1.1321062096574424E-2</v>
      </c>
      <c r="I74" s="138">
        <v>3.9949948000716093E-2</v>
      </c>
      <c r="J74" s="138">
        <v>7.0620477796847783E-2</v>
      </c>
      <c r="K74" s="138">
        <v>0</v>
      </c>
      <c r="L74" s="138">
        <v>0</v>
      </c>
      <c r="M74" s="138">
        <v>8.9649572401547431E-2</v>
      </c>
      <c r="N74" s="139">
        <v>5.6318413215491539E-2</v>
      </c>
    </row>
    <row r="75" spans="2:14">
      <c r="B75" s="136" t="s">
        <v>279</v>
      </c>
      <c r="C75" s="137">
        <v>6.1246320479823757E-2</v>
      </c>
      <c r="D75" s="138">
        <v>0</v>
      </c>
      <c r="E75" s="138">
        <v>0</v>
      </c>
      <c r="F75" s="138">
        <v>0</v>
      </c>
      <c r="G75" s="138">
        <v>0</v>
      </c>
      <c r="H75" s="138">
        <v>4.8541144137609647E-2</v>
      </c>
      <c r="I75" s="138">
        <v>0</v>
      </c>
      <c r="J75" s="138">
        <v>0</v>
      </c>
      <c r="K75" s="138">
        <v>1.1195393217851811E-2</v>
      </c>
      <c r="L75" s="138">
        <v>0</v>
      </c>
      <c r="M75" s="138">
        <v>0</v>
      </c>
      <c r="N75" s="139">
        <v>1.8078691095304307E-2</v>
      </c>
    </row>
    <row r="76" spans="2:14">
      <c r="B76" s="136" t="s">
        <v>282</v>
      </c>
      <c r="C76" s="137">
        <v>0</v>
      </c>
      <c r="D76" s="138">
        <v>0</v>
      </c>
      <c r="E76" s="138">
        <v>0</v>
      </c>
      <c r="F76" s="138">
        <v>0</v>
      </c>
      <c r="G76" s="138">
        <v>8.440425537001384E-3</v>
      </c>
      <c r="H76" s="138">
        <v>0</v>
      </c>
      <c r="I76" s="138">
        <v>0.15681128689817339</v>
      </c>
      <c r="J76" s="138">
        <v>0</v>
      </c>
      <c r="K76" s="138">
        <v>0</v>
      </c>
      <c r="L76" s="138">
        <v>0</v>
      </c>
      <c r="M76" s="138">
        <v>0</v>
      </c>
      <c r="N76" s="139">
        <v>2.3684719690575057E-3</v>
      </c>
    </row>
    <row r="77" spans="2:14">
      <c r="B77" s="136" t="s">
        <v>285</v>
      </c>
      <c r="C77" s="137">
        <v>0</v>
      </c>
      <c r="D77" s="138">
        <v>0</v>
      </c>
      <c r="E77" s="138">
        <v>6.4907212742815155E-3</v>
      </c>
      <c r="F77" s="138">
        <v>0</v>
      </c>
      <c r="G77" s="138">
        <v>0</v>
      </c>
      <c r="H77" s="138">
        <v>0</v>
      </c>
      <c r="I77" s="138">
        <v>0</v>
      </c>
      <c r="J77" s="138">
        <v>0</v>
      </c>
      <c r="K77" s="138">
        <v>0</v>
      </c>
      <c r="L77" s="138">
        <v>0</v>
      </c>
      <c r="M77" s="138">
        <v>0</v>
      </c>
      <c r="N77" s="139">
        <v>1.5065166724040663E-3</v>
      </c>
    </row>
    <row r="78" spans="2:14">
      <c r="B78" s="136" t="s">
        <v>291</v>
      </c>
      <c r="C78" s="137">
        <v>0</v>
      </c>
      <c r="D78" s="138">
        <v>0</v>
      </c>
      <c r="E78" s="138">
        <v>5.8970595233451606E-2</v>
      </c>
      <c r="F78" s="138">
        <v>0</v>
      </c>
      <c r="G78" s="138">
        <v>0</v>
      </c>
      <c r="H78" s="138">
        <v>0</v>
      </c>
      <c r="I78" s="138">
        <v>0</v>
      </c>
      <c r="J78" s="138">
        <v>0</v>
      </c>
      <c r="K78" s="138">
        <v>0</v>
      </c>
      <c r="L78" s="138">
        <v>0.50174476413901603</v>
      </c>
      <c r="M78" s="138">
        <v>0</v>
      </c>
      <c r="N78" s="139">
        <v>3.0632076683151512E-2</v>
      </c>
    </row>
    <row r="79" spans="2:14">
      <c r="B79" s="136" t="s">
        <v>295</v>
      </c>
      <c r="C79" s="137">
        <v>7.3826012908588021E-2</v>
      </c>
      <c r="D79" s="138">
        <v>0</v>
      </c>
      <c r="E79" s="138">
        <v>0.21871410014365689</v>
      </c>
      <c r="F79" s="138">
        <v>0.13470224110812171</v>
      </c>
      <c r="G79" s="138">
        <v>4.3724543842737759E-2</v>
      </c>
      <c r="H79" s="138">
        <v>1.2072306005669969E-2</v>
      </c>
      <c r="I79" s="138">
        <v>0</v>
      </c>
      <c r="J79" s="138">
        <v>0.38855807422142025</v>
      </c>
      <c r="K79" s="138">
        <v>0</v>
      </c>
      <c r="L79" s="138">
        <v>0</v>
      </c>
      <c r="M79" s="138">
        <v>8.1657219426663069E-2</v>
      </c>
      <c r="N79" s="139">
        <v>0.13338821056455491</v>
      </c>
    </row>
    <row r="80" spans="2:14">
      <c r="B80" s="136" t="s">
        <v>298</v>
      </c>
      <c r="C80" s="137">
        <v>0</v>
      </c>
      <c r="D80" s="138">
        <v>0</v>
      </c>
      <c r="E80" s="138">
        <v>0</v>
      </c>
      <c r="F80" s="138">
        <v>0</v>
      </c>
      <c r="G80" s="138">
        <v>0</v>
      </c>
      <c r="H80" s="138">
        <v>0</v>
      </c>
      <c r="I80" s="138">
        <v>1.7211326686669907E-2</v>
      </c>
      <c r="J80" s="138">
        <v>0</v>
      </c>
      <c r="K80" s="138">
        <v>0</v>
      </c>
      <c r="L80" s="138">
        <v>0</v>
      </c>
      <c r="M80" s="138">
        <v>0</v>
      </c>
      <c r="N80" s="139">
        <v>2.0422717558081041E-4</v>
      </c>
    </row>
    <row r="81" spans="2:15">
      <c r="B81" s="122" t="s">
        <v>302</v>
      </c>
      <c r="C81" s="123">
        <v>2.4898047126638373E-2</v>
      </c>
      <c r="D81" s="124">
        <v>0</v>
      </c>
      <c r="E81" s="124">
        <v>5.2232561435831985E-2</v>
      </c>
      <c r="F81" s="124">
        <v>0</v>
      </c>
      <c r="G81" s="124">
        <v>0</v>
      </c>
      <c r="H81" s="124">
        <v>1.4329521940898019E-2</v>
      </c>
      <c r="I81" s="124">
        <v>0</v>
      </c>
      <c r="J81" s="124">
        <v>0</v>
      </c>
      <c r="K81" s="124">
        <v>0</v>
      </c>
      <c r="L81" s="124">
        <v>0</v>
      </c>
      <c r="M81" s="124">
        <v>2.0651528455970052E-2</v>
      </c>
      <c r="N81" s="125">
        <v>2.1157507600730291E-2</v>
      </c>
    </row>
    <row r="82" spans="2:15">
      <c r="B82" s="141" t="s">
        <v>28</v>
      </c>
      <c r="C82" s="142">
        <v>1</v>
      </c>
      <c r="D82" s="143">
        <v>1</v>
      </c>
      <c r="E82" s="143">
        <v>1</v>
      </c>
      <c r="F82" s="143">
        <v>1</v>
      </c>
      <c r="G82" s="143">
        <v>1</v>
      </c>
      <c r="H82" s="143">
        <v>1</v>
      </c>
      <c r="I82" s="143">
        <v>1</v>
      </c>
      <c r="J82" s="143">
        <v>1</v>
      </c>
      <c r="K82" s="143">
        <v>1</v>
      </c>
      <c r="L82" s="143">
        <v>1</v>
      </c>
      <c r="M82" s="143">
        <v>1</v>
      </c>
      <c r="N82" s="144">
        <v>1</v>
      </c>
    </row>
    <row r="84" spans="2:15">
      <c r="B84" s="108" t="s">
        <v>313</v>
      </c>
      <c r="C84" s="145">
        <f t="shared" ref="C84:N84" si="18">SUM(C67:C70,C72,C81)</f>
        <v>0.12875772847356617</v>
      </c>
      <c r="D84" s="138">
        <f t="shared" si="18"/>
        <v>1</v>
      </c>
      <c r="E84" s="138">
        <f t="shared" si="18"/>
        <v>0.3969318131590317</v>
      </c>
      <c r="F84" s="138">
        <f t="shared" si="18"/>
        <v>0</v>
      </c>
      <c r="G84" s="138">
        <f t="shared" si="18"/>
        <v>0.38381416587100869</v>
      </c>
      <c r="H84" s="145">
        <f t="shared" si="18"/>
        <v>0.41348523257223058</v>
      </c>
      <c r="I84" s="138">
        <f t="shared" si="18"/>
        <v>0</v>
      </c>
      <c r="J84" s="138">
        <f t="shared" si="18"/>
        <v>0.24686175579437286</v>
      </c>
      <c r="K84" s="138">
        <f t="shared" si="18"/>
        <v>0.58935674904544455</v>
      </c>
      <c r="L84" s="138">
        <f t="shared" si="18"/>
        <v>0.39689566861750891</v>
      </c>
      <c r="M84" s="145">
        <f t="shared" si="18"/>
        <v>0.58558945999760392</v>
      </c>
      <c r="N84" s="138">
        <f t="shared" si="18"/>
        <v>0.36954726229582402</v>
      </c>
      <c r="O84" s="138"/>
    </row>
    <row r="89" spans="2:15">
      <c r="B89" s="107" t="s">
        <v>228</v>
      </c>
      <c r="C89" s="107" t="s">
        <v>334</v>
      </c>
    </row>
    <row r="91" spans="2:15">
      <c r="B91" s="109" t="s">
        <v>229</v>
      </c>
      <c r="C91" s="109" t="s">
        <v>230</v>
      </c>
      <c r="D91" s="110"/>
      <c r="E91" s="110"/>
      <c r="F91" s="110"/>
      <c r="G91" s="110"/>
      <c r="H91" s="110"/>
      <c r="I91" s="110"/>
      <c r="J91" s="110"/>
      <c r="K91" s="110"/>
      <c r="L91" s="110"/>
      <c r="M91" s="110"/>
      <c r="N91" s="111"/>
    </row>
    <row r="92" spans="2:15">
      <c r="B92" s="109" t="s">
        <v>232</v>
      </c>
      <c r="C92" s="109" t="s">
        <v>233</v>
      </c>
      <c r="D92" s="112" t="s">
        <v>234</v>
      </c>
      <c r="E92" s="112" t="s">
        <v>235</v>
      </c>
      <c r="F92" s="112" t="s">
        <v>237</v>
      </c>
      <c r="G92" s="112" t="s">
        <v>238</v>
      </c>
      <c r="H92" s="112" t="s">
        <v>239</v>
      </c>
      <c r="I92" s="112" t="s">
        <v>240</v>
      </c>
      <c r="J92" s="112" t="s">
        <v>241</v>
      </c>
      <c r="K92" s="112" t="s">
        <v>242</v>
      </c>
      <c r="L92" s="112" t="s">
        <v>243</v>
      </c>
      <c r="M92" s="112" t="s">
        <v>244</v>
      </c>
      <c r="N92" s="113" t="s">
        <v>28</v>
      </c>
    </row>
    <row r="93" spans="2:15">
      <c r="B93" s="117" t="s">
        <v>245</v>
      </c>
      <c r="C93" s="118">
        <v>0</v>
      </c>
      <c r="D93" s="119">
        <v>0.65170334520296325</v>
      </c>
      <c r="E93" s="119">
        <v>0.24450099554259563</v>
      </c>
      <c r="F93" s="119">
        <v>0</v>
      </c>
      <c r="G93" s="119">
        <v>9.3806758391375852E-2</v>
      </c>
      <c r="H93" s="119">
        <v>0</v>
      </c>
      <c r="I93" s="119">
        <v>0</v>
      </c>
      <c r="J93" s="119">
        <v>0</v>
      </c>
      <c r="K93" s="119">
        <v>0.28591724849484501</v>
      </c>
      <c r="L93" s="119">
        <v>0.16867482251747831</v>
      </c>
      <c r="M93" s="119">
        <v>0.33706892924116133</v>
      </c>
      <c r="N93" s="120">
        <v>0.14520278901466294</v>
      </c>
    </row>
    <row r="94" spans="2:15">
      <c r="B94" s="122" t="s">
        <v>249</v>
      </c>
      <c r="C94" s="123">
        <v>0</v>
      </c>
      <c r="D94" s="124">
        <v>0.10102065988632622</v>
      </c>
      <c r="E94" s="124">
        <v>1.3684054921855204E-2</v>
      </c>
      <c r="F94" s="124">
        <v>0</v>
      </c>
      <c r="G94" s="124">
        <v>4.0488464801553797E-2</v>
      </c>
      <c r="H94" s="124">
        <v>0</v>
      </c>
      <c r="I94" s="124">
        <v>0</v>
      </c>
      <c r="J94" s="124">
        <v>0</v>
      </c>
      <c r="K94" s="124">
        <v>0</v>
      </c>
      <c r="L94" s="124">
        <v>0</v>
      </c>
      <c r="M94" s="124">
        <v>0</v>
      </c>
      <c r="N94" s="125">
        <v>1.2875383998617592E-2</v>
      </c>
    </row>
    <row r="95" spans="2:15">
      <c r="B95" s="122" t="s">
        <v>251</v>
      </c>
      <c r="C95" s="123">
        <v>0</v>
      </c>
      <c r="D95" s="124">
        <v>0</v>
      </c>
      <c r="E95" s="124">
        <v>0</v>
      </c>
      <c r="F95" s="124">
        <v>0</v>
      </c>
      <c r="G95" s="124">
        <v>6.8733448567123503E-2</v>
      </c>
      <c r="H95" s="124">
        <v>0</v>
      </c>
      <c r="I95" s="124">
        <v>0</v>
      </c>
      <c r="J95" s="124">
        <v>0</v>
      </c>
      <c r="K95" s="124">
        <v>5.1674495770670889E-2</v>
      </c>
      <c r="L95" s="124">
        <v>0</v>
      </c>
      <c r="M95" s="124">
        <v>0.12464193428286319</v>
      </c>
      <c r="N95" s="125">
        <v>2.7477210540082012E-2</v>
      </c>
    </row>
    <row r="96" spans="2:15">
      <c r="B96" s="122" t="s">
        <v>255</v>
      </c>
      <c r="C96" s="123">
        <v>0</v>
      </c>
      <c r="D96" s="124">
        <v>0.18148235315950381</v>
      </c>
      <c r="E96" s="124">
        <v>1.9537516733756283E-2</v>
      </c>
      <c r="F96" s="124">
        <v>0</v>
      </c>
      <c r="G96" s="124">
        <v>4.0307132680838685E-3</v>
      </c>
      <c r="H96" s="124">
        <v>0</v>
      </c>
      <c r="I96" s="124">
        <v>2.3216352339204844E-2</v>
      </c>
      <c r="J96" s="124">
        <v>0</v>
      </c>
      <c r="K96" s="124">
        <v>0</v>
      </c>
      <c r="L96" s="124">
        <v>0</v>
      </c>
      <c r="M96" s="124">
        <v>0.28285938812889766</v>
      </c>
      <c r="N96" s="125">
        <v>3.5801630347881794E-2</v>
      </c>
    </row>
    <row r="97" spans="2:14">
      <c r="B97" s="136" t="s">
        <v>267</v>
      </c>
      <c r="C97" s="137">
        <v>0.74311581067980037</v>
      </c>
      <c r="D97" s="138">
        <v>0</v>
      </c>
      <c r="E97" s="138">
        <v>0.31859502233096104</v>
      </c>
      <c r="F97" s="138">
        <v>0.78325918698340646</v>
      </c>
      <c r="G97" s="138">
        <v>0.28758389658524608</v>
      </c>
      <c r="H97" s="138">
        <v>1</v>
      </c>
      <c r="I97" s="138">
        <v>0.34211972084309816</v>
      </c>
      <c r="J97" s="138">
        <v>0</v>
      </c>
      <c r="K97" s="138">
        <v>0.50448602775178042</v>
      </c>
      <c r="L97" s="138">
        <v>0.17795057946690884</v>
      </c>
      <c r="M97" s="138">
        <v>6.5658811040231968E-2</v>
      </c>
      <c r="N97" s="139">
        <v>0.3772714821064248</v>
      </c>
    </row>
    <row r="98" spans="2:14">
      <c r="B98" s="122" t="s">
        <v>270</v>
      </c>
      <c r="C98" s="123">
        <v>0.15539148392574792</v>
      </c>
      <c r="D98" s="124">
        <v>0</v>
      </c>
      <c r="E98" s="124">
        <v>2.3533150837894801E-2</v>
      </c>
      <c r="F98" s="124">
        <v>4.4016697258671536E-2</v>
      </c>
      <c r="G98" s="124">
        <v>0.3953917221499636</v>
      </c>
      <c r="H98" s="124">
        <v>0</v>
      </c>
      <c r="I98" s="124">
        <v>0</v>
      </c>
      <c r="J98" s="124">
        <v>0.56769187868019977</v>
      </c>
      <c r="K98" s="124">
        <v>0.15792222798270353</v>
      </c>
      <c r="L98" s="124">
        <v>0</v>
      </c>
      <c r="M98" s="124">
        <v>0.14300256846759726</v>
      </c>
      <c r="N98" s="125">
        <v>0.13234189624061751</v>
      </c>
    </row>
    <row r="99" spans="2:14">
      <c r="B99" s="136" t="s">
        <v>273</v>
      </c>
      <c r="C99" s="137">
        <v>0</v>
      </c>
      <c r="D99" s="138">
        <v>6.579364175120675E-2</v>
      </c>
      <c r="E99" s="138">
        <v>5.8069084632444909E-2</v>
      </c>
      <c r="F99" s="138">
        <v>4.5953818533888482E-2</v>
      </c>
      <c r="G99" s="138">
        <v>1.6517816674527633E-2</v>
      </c>
      <c r="H99" s="138">
        <v>0</v>
      </c>
      <c r="I99" s="138">
        <v>4.463560124404635E-2</v>
      </c>
      <c r="J99" s="138">
        <v>8.8892055273168291E-2</v>
      </c>
      <c r="K99" s="138">
        <v>0</v>
      </c>
      <c r="L99" s="138">
        <v>0.31575273218433436</v>
      </c>
      <c r="M99" s="138">
        <v>2.2355582343318716E-2</v>
      </c>
      <c r="N99" s="139">
        <v>4.1671297668416429E-2</v>
      </c>
    </row>
    <row r="100" spans="2:14">
      <c r="B100" s="136" t="s">
        <v>276</v>
      </c>
      <c r="C100" s="137">
        <v>0</v>
      </c>
      <c r="D100" s="138">
        <v>0</v>
      </c>
      <c r="E100" s="138">
        <v>1.5563353701039159E-2</v>
      </c>
      <c r="F100" s="138">
        <v>0</v>
      </c>
      <c r="G100" s="138">
        <v>0</v>
      </c>
      <c r="H100" s="138">
        <v>0</v>
      </c>
      <c r="I100" s="138">
        <v>0</v>
      </c>
      <c r="J100" s="138">
        <v>0</v>
      </c>
      <c r="K100" s="138">
        <v>0</v>
      </c>
      <c r="L100" s="138">
        <v>0</v>
      </c>
      <c r="M100" s="138">
        <v>1.7916568694990354E-2</v>
      </c>
      <c r="N100" s="139">
        <v>5.8253800897305223E-3</v>
      </c>
    </row>
    <row r="101" spans="2:14">
      <c r="B101" s="136" t="s">
        <v>279</v>
      </c>
      <c r="C101" s="137">
        <v>0</v>
      </c>
      <c r="D101" s="138">
        <v>0</v>
      </c>
      <c r="E101" s="138">
        <v>0</v>
      </c>
      <c r="F101" s="138">
        <v>0</v>
      </c>
      <c r="G101" s="138">
        <v>4.0187326197687778E-2</v>
      </c>
      <c r="H101" s="138">
        <v>0</v>
      </c>
      <c r="I101" s="138">
        <v>0</v>
      </c>
      <c r="J101" s="138">
        <v>0</v>
      </c>
      <c r="K101" s="138">
        <v>0</v>
      </c>
      <c r="L101" s="138">
        <v>0</v>
      </c>
      <c r="M101" s="138">
        <v>0</v>
      </c>
      <c r="N101" s="139">
        <v>7.9511275400823752E-3</v>
      </c>
    </row>
    <row r="102" spans="2:14">
      <c r="B102" s="136" t="s">
        <v>285</v>
      </c>
      <c r="C102" s="137">
        <v>2.7742064099845878E-2</v>
      </c>
      <c r="D102" s="138">
        <v>0</v>
      </c>
      <c r="E102" s="138">
        <v>7.129507606344729E-3</v>
      </c>
      <c r="F102" s="138">
        <v>0</v>
      </c>
      <c r="G102" s="138">
        <v>0</v>
      </c>
      <c r="H102" s="138">
        <v>0</v>
      </c>
      <c r="I102" s="138">
        <v>0</v>
      </c>
      <c r="J102" s="138">
        <v>0</v>
      </c>
      <c r="K102" s="138">
        <v>0</v>
      </c>
      <c r="L102" s="138">
        <v>0</v>
      </c>
      <c r="M102" s="138">
        <v>0</v>
      </c>
      <c r="N102" s="139">
        <v>5.5619595710060254E-3</v>
      </c>
    </row>
    <row r="103" spans="2:14">
      <c r="B103" s="122" t="s">
        <v>288</v>
      </c>
      <c r="C103" s="123">
        <v>0</v>
      </c>
      <c r="D103" s="124">
        <v>0</v>
      </c>
      <c r="E103" s="124">
        <v>0</v>
      </c>
      <c r="F103" s="124">
        <v>5.9759431955766044E-2</v>
      </c>
      <c r="G103" s="124">
        <v>0</v>
      </c>
      <c r="H103" s="124">
        <v>0</v>
      </c>
      <c r="I103" s="124">
        <v>0</v>
      </c>
      <c r="J103" s="124">
        <v>0</v>
      </c>
      <c r="K103" s="124">
        <v>0</v>
      </c>
      <c r="L103" s="124">
        <v>0</v>
      </c>
      <c r="M103" s="124">
        <v>0</v>
      </c>
      <c r="N103" s="125">
        <v>2.6787098053460997E-3</v>
      </c>
    </row>
    <row r="104" spans="2:14">
      <c r="B104" s="136" t="s">
        <v>291</v>
      </c>
      <c r="C104" s="137">
        <v>0</v>
      </c>
      <c r="D104" s="138">
        <v>0</v>
      </c>
      <c r="E104" s="138">
        <v>0</v>
      </c>
      <c r="F104" s="138">
        <v>0</v>
      </c>
      <c r="G104" s="138">
        <v>0</v>
      </c>
      <c r="H104" s="138">
        <v>0</v>
      </c>
      <c r="I104" s="138">
        <v>0</v>
      </c>
      <c r="J104" s="138">
        <v>0</v>
      </c>
      <c r="K104" s="138">
        <v>0</v>
      </c>
      <c r="L104" s="138">
        <v>0.33762186583127862</v>
      </c>
      <c r="M104" s="138">
        <v>0</v>
      </c>
      <c r="N104" s="139">
        <v>1.1424303760532568E-2</v>
      </c>
    </row>
    <row r="105" spans="2:14">
      <c r="B105" s="136" t="s">
        <v>295</v>
      </c>
      <c r="C105" s="137">
        <v>7.375064129460579E-2</v>
      </c>
      <c r="D105" s="138">
        <v>0</v>
      </c>
      <c r="E105" s="138">
        <v>0.26599314027008175</v>
      </c>
      <c r="F105" s="138">
        <v>6.7010865268267397E-2</v>
      </c>
      <c r="G105" s="138">
        <v>4.6983578851997054E-3</v>
      </c>
      <c r="H105" s="138">
        <v>0</v>
      </c>
      <c r="I105" s="138">
        <v>0.5642062252707275</v>
      </c>
      <c r="J105" s="138">
        <v>0</v>
      </c>
      <c r="K105" s="138">
        <v>0</v>
      </c>
      <c r="L105" s="138">
        <v>0</v>
      </c>
      <c r="M105" s="138">
        <v>6.4962178009392146E-3</v>
      </c>
      <c r="N105" s="139">
        <v>0.16923401843380198</v>
      </c>
    </row>
    <row r="106" spans="2:14">
      <c r="B106" s="122" t="s">
        <v>302</v>
      </c>
      <c r="C106" s="123">
        <v>0</v>
      </c>
      <c r="D106" s="124">
        <v>0</v>
      </c>
      <c r="E106" s="124">
        <v>1.2960405498127161E-2</v>
      </c>
      <c r="F106" s="124">
        <v>0</v>
      </c>
      <c r="G106" s="124">
        <v>4.8561495479238354E-2</v>
      </c>
      <c r="H106" s="124">
        <v>0</v>
      </c>
      <c r="I106" s="124">
        <v>0</v>
      </c>
      <c r="J106" s="124">
        <v>0.34341606604663205</v>
      </c>
      <c r="K106" s="124">
        <v>0</v>
      </c>
      <c r="L106" s="124">
        <v>0</v>
      </c>
      <c r="M106" s="124">
        <v>0</v>
      </c>
      <c r="N106" s="125">
        <v>1.5305406255190428E-2</v>
      </c>
    </row>
    <row r="107" spans="2:14">
      <c r="B107" s="136" t="s">
        <v>305</v>
      </c>
      <c r="C107" s="137">
        <v>0</v>
      </c>
      <c r="D107" s="138">
        <v>0</v>
      </c>
      <c r="E107" s="138">
        <v>2.0433767924899288E-2</v>
      </c>
      <c r="F107" s="138">
        <v>0</v>
      </c>
      <c r="G107" s="138">
        <v>0</v>
      </c>
      <c r="H107" s="138">
        <v>0</v>
      </c>
      <c r="I107" s="138">
        <v>0</v>
      </c>
      <c r="J107" s="138">
        <v>0</v>
      </c>
      <c r="K107" s="138">
        <v>0</v>
      </c>
      <c r="L107" s="138">
        <v>0</v>
      </c>
      <c r="M107" s="138">
        <v>0</v>
      </c>
      <c r="N107" s="139">
        <v>5.6288180486283416E-3</v>
      </c>
    </row>
    <row r="108" spans="2:14">
      <c r="B108" s="136" t="s">
        <v>308</v>
      </c>
      <c r="C108" s="137">
        <v>0</v>
      </c>
      <c r="D108" s="138">
        <v>0</v>
      </c>
      <c r="E108" s="138">
        <v>0</v>
      </c>
      <c r="F108" s="138">
        <v>0</v>
      </c>
      <c r="G108" s="138">
        <v>0</v>
      </c>
      <c r="H108" s="138">
        <v>0</v>
      </c>
      <c r="I108" s="138">
        <v>2.5822100302923118E-2</v>
      </c>
      <c r="J108" s="138">
        <v>0</v>
      </c>
      <c r="K108" s="138">
        <v>0</v>
      </c>
      <c r="L108" s="138">
        <v>0</v>
      </c>
      <c r="M108" s="138">
        <v>0</v>
      </c>
      <c r="N108" s="139">
        <v>3.7485865789786258E-3</v>
      </c>
    </row>
    <row r="109" spans="2:14">
      <c r="B109" s="141" t="s">
        <v>28</v>
      </c>
      <c r="C109" s="142">
        <v>1</v>
      </c>
      <c r="D109" s="143">
        <v>1</v>
      </c>
      <c r="E109" s="143">
        <v>1</v>
      </c>
      <c r="F109" s="143">
        <v>1</v>
      </c>
      <c r="G109" s="143">
        <v>1</v>
      </c>
      <c r="H109" s="143">
        <v>1</v>
      </c>
      <c r="I109" s="143">
        <v>1</v>
      </c>
      <c r="J109" s="143">
        <v>1</v>
      </c>
      <c r="K109" s="143">
        <v>1</v>
      </c>
      <c r="L109" s="143">
        <v>1</v>
      </c>
      <c r="M109" s="143">
        <v>1</v>
      </c>
      <c r="N109" s="144">
        <v>1</v>
      </c>
    </row>
    <row r="113" spans="2:15">
      <c r="B113" s="108" t="s">
        <v>313</v>
      </c>
      <c r="C113" s="145">
        <v>0.15539148392574792</v>
      </c>
      <c r="D113" s="138">
        <v>0.93420635824879328</v>
      </c>
      <c r="E113" s="138">
        <v>0.3012557180361019</v>
      </c>
      <c r="F113" s="138">
        <v>4.4016697258671536E-2</v>
      </c>
      <c r="G113" s="145">
        <v>0.60245110717810058</v>
      </c>
      <c r="H113" s="138">
        <v>0</v>
      </c>
      <c r="I113" s="138">
        <v>4.9038452642127958E-2</v>
      </c>
      <c r="J113" s="138">
        <v>0.56769187868019977</v>
      </c>
      <c r="K113" s="138">
        <v>0.49551397224821947</v>
      </c>
      <c r="L113" s="138">
        <v>0.50629668834875696</v>
      </c>
      <c r="M113" s="145">
        <v>0.88757282012051952</v>
      </c>
      <c r="N113" s="138">
        <v>0.36887180048137302</v>
      </c>
      <c r="O113" s="138">
        <v>0</v>
      </c>
    </row>
    <row r="118" spans="2:15">
      <c r="B118" s="107" t="s">
        <v>228</v>
      </c>
      <c r="C118" s="107" t="s">
        <v>227</v>
      </c>
      <c r="I118" s="107" t="s">
        <v>228</v>
      </c>
      <c r="J118" s="107" t="s">
        <v>227</v>
      </c>
    </row>
    <row r="120" spans="2:15">
      <c r="B120" s="109" t="s">
        <v>229</v>
      </c>
      <c r="C120" s="109" t="s">
        <v>335</v>
      </c>
      <c r="D120" s="110"/>
      <c r="E120" s="110"/>
      <c r="F120" s="110"/>
      <c r="G120" s="111"/>
      <c r="I120" s="109" t="s">
        <v>229</v>
      </c>
      <c r="J120" s="109" t="s">
        <v>335</v>
      </c>
      <c r="K120" s="110"/>
      <c r="L120" s="110"/>
      <c r="M120" s="111"/>
    </row>
    <row r="121" spans="2:15" ht="51">
      <c r="B121" s="150" t="s">
        <v>232</v>
      </c>
      <c r="C121" s="150" t="s">
        <v>336</v>
      </c>
      <c r="D121" s="151" t="s">
        <v>337</v>
      </c>
      <c r="E121" s="151" t="s">
        <v>338</v>
      </c>
      <c r="F121" s="151" t="s">
        <v>339</v>
      </c>
      <c r="G121" s="152" t="s">
        <v>28</v>
      </c>
      <c r="I121" s="150" t="s">
        <v>232</v>
      </c>
      <c r="J121" s="150" t="s">
        <v>340</v>
      </c>
      <c r="K121" s="151" t="s">
        <v>341</v>
      </c>
      <c r="L121" s="151" t="s">
        <v>342</v>
      </c>
      <c r="M121" s="152" t="s">
        <v>28</v>
      </c>
    </row>
    <row r="122" spans="2:15">
      <c r="B122" s="117" t="s">
        <v>245</v>
      </c>
      <c r="C122" s="118">
        <v>0</v>
      </c>
      <c r="D122" s="119">
        <v>0.28681009065510421</v>
      </c>
      <c r="E122" s="119">
        <v>0</v>
      </c>
      <c r="F122" s="119">
        <v>0</v>
      </c>
      <c r="G122" s="120">
        <v>8.717467468377875E-2</v>
      </c>
      <c r="I122" s="117" t="s">
        <v>245</v>
      </c>
      <c r="J122" s="118">
        <v>0.47744652809576044</v>
      </c>
      <c r="K122" s="119">
        <v>4.916747450203441E-2</v>
      </c>
      <c r="L122" s="119">
        <v>3.4989771354930772E-3</v>
      </c>
      <c r="M122" s="120">
        <v>0.22658067588288061</v>
      </c>
    </row>
    <row r="123" spans="2:15">
      <c r="B123" s="122" t="s">
        <v>249</v>
      </c>
      <c r="C123" s="123">
        <v>3.1524556950177085E-2</v>
      </c>
      <c r="D123" s="124">
        <v>5.8036722519108075E-3</v>
      </c>
      <c r="E123" s="124">
        <v>0</v>
      </c>
      <c r="F123" s="124">
        <v>0</v>
      </c>
      <c r="G123" s="125">
        <v>6.8103584567859006E-3</v>
      </c>
      <c r="I123" s="122" t="s">
        <v>249</v>
      </c>
      <c r="J123" s="123">
        <v>0.18720439711027501</v>
      </c>
      <c r="K123" s="124">
        <v>2.9954316582320221E-2</v>
      </c>
      <c r="L123" s="124">
        <v>0</v>
      </c>
      <c r="M123" s="125">
        <v>9.1480493766764426E-2</v>
      </c>
    </row>
    <row r="124" spans="2:15">
      <c r="B124" s="122" t="s">
        <v>251</v>
      </c>
      <c r="C124" s="123">
        <v>0</v>
      </c>
      <c r="D124" s="124">
        <v>0.13602088765149584</v>
      </c>
      <c r="E124" s="124">
        <v>0</v>
      </c>
      <c r="F124" s="124">
        <v>0</v>
      </c>
      <c r="G124" s="125">
        <v>4.1342954859551917E-2</v>
      </c>
      <c r="I124" s="122" t="s">
        <v>251</v>
      </c>
      <c r="J124" s="123">
        <v>9.4566123106342326E-2</v>
      </c>
      <c r="K124" s="124">
        <v>0.1167245764624394</v>
      </c>
      <c r="L124" s="124">
        <v>1.1748896721558186E-2</v>
      </c>
      <c r="M124" s="125">
        <v>7.8125809455556861E-2</v>
      </c>
    </row>
    <row r="125" spans="2:15">
      <c r="B125" s="122" t="s">
        <v>255</v>
      </c>
      <c r="C125" s="123">
        <v>0</v>
      </c>
      <c r="D125" s="124">
        <v>6.6413155298370892E-3</v>
      </c>
      <c r="E125" s="124">
        <v>5.3318411728693463E-2</v>
      </c>
      <c r="F125" s="124">
        <v>0</v>
      </c>
      <c r="G125" s="125">
        <v>8.4043890263524653E-3</v>
      </c>
      <c r="I125" s="122" t="s">
        <v>255</v>
      </c>
      <c r="J125" s="123">
        <v>3.6487387236009583E-2</v>
      </c>
      <c r="K125" s="124">
        <v>8.0002886036518672E-2</v>
      </c>
      <c r="L125" s="124">
        <v>3.1852890639187469E-2</v>
      </c>
      <c r="M125" s="125">
        <v>4.7507824183418111E-2</v>
      </c>
    </row>
    <row r="126" spans="2:15">
      <c r="B126" s="136" t="s">
        <v>267</v>
      </c>
      <c r="C126" s="137">
        <v>0.85797386636502382</v>
      </c>
      <c r="D126" s="138">
        <v>0.2922183629067609</v>
      </c>
      <c r="E126" s="138">
        <v>0.55533174454647594</v>
      </c>
      <c r="F126" s="138">
        <v>0.42348422174191258</v>
      </c>
      <c r="G126" s="139">
        <v>0.4689293433763238</v>
      </c>
      <c r="I126" s="136" t="s">
        <v>267</v>
      </c>
      <c r="J126" s="137">
        <v>3.2094505618511938E-2</v>
      </c>
      <c r="K126" s="138">
        <v>0.40010268691816953</v>
      </c>
      <c r="L126" s="138">
        <v>0.5401721509762808</v>
      </c>
      <c r="M126" s="139">
        <v>0.27529172631323895</v>
      </c>
    </row>
    <row r="127" spans="2:15">
      <c r="B127" s="122" t="s">
        <v>270</v>
      </c>
      <c r="C127" s="123">
        <v>1.2397162024233858E-2</v>
      </c>
      <c r="D127" s="124">
        <v>6.8841683933257375E-2</v>
      </c>
      <c r="E127" s="124">
        <v>2.4607938207160063E-2</v>
      </c>
      <c r="F127" s="124">
        <v>4.6884926931961297E-3</v>
      </c>
      <c r="G127" s="125">
        <v>2.7807249683339828E-2</v>
      </c>
      <c r="I127" s="122" t="s">
        <v>270</v>
      </c>
      <c r="J127" s="123">
        <v>0.15326533705943149</v>
      </c>
      <c r="K127" s="124">
        <v>0.17356304056703903</v>
      </c>
      <c r="L127" s="124">
        <v>1.733608427655552E-2</v>
      </c>
      <c r="M127" s="125">
        <v>0.1217423412156993</v>
      </c>
    </row>
    <row r="128" spans="2:15">
      <c r="B128" s="136" t="s">
        <v>273</v>
      </c>
      <c r="C128" s="137">
        <v>0</v>
      </c>
      <c r="D128" s="138">
        <v>0</v>
      </c>
      <c r="E128" s="138">
        <v>0.12579439337319415</v>
      </c>
      <c r="F128" s="138">
        <v>8.6301540371869809E-2</v>
      </c>
      <c r="G128" s="139">
        <v>5.098561273908523E-2</v>
      </c>
      <c r="I128" s="136" t="s">
        <v>273</v>
      </c>
      <c r="J128" s="137">
        <v>0</v>
      </c>
      <c r="K128" s="138">
        <v>6.3591376026763374E-2</v>
      </c>
      <c r="L128" s="138">
        <v>0.28516733041023934</v>
      </c>
      <c r="M128" s="139">
        <v>9.6120613281238776E-2</v>
      </c>
    </row>
    <row r="129" spans="2:14">
      <c r="B129" s="136" t="s">
        <v>276</v>
      </c>
      <c r="C129" s="137">
        <v>0</v>
      </c>
      <c r="D129" s="138">
        <v>0</v>
      </c>
      <c r="E129" s="138">
        <v>6.2705078317561724E-2</v>
      </c>
      <c r="F129" s="138">
        <v>0.1643954366003432</v>
      </c>
      <c r="G129" s="139">
        <v>7.5933070687739135E-2</v>
      </c>
      <c r="I129" s="136" t="s">
        <v>276</v>
      </c>
      <c r="J129" s="137">
        <v>0</v>
      </c>
      <c r="K129" s="138">
        <v>0</v>
      </c>
      <c r="L129" s="138">
        <v>3.8586005116885175E-2</v>
      </c>
      <c r="M129" s="139">
        <v>1.0575783815990024E-2</v>
      </c>
    </row>
    <row r="130" spans="2:14">
      <c r="B130" s="136" t="s">
        <v>279</v>
      </c>
      <c r="C130" s="137">
        <v>1.7708783985050984E-2</v>
      </c>
      <c r="D130" s="138">
        <v>9.6521839140055327E-3</v>
      </c>
      <c r="E130" s="138">
        <v>0</v>
      </c>
      <c r="F130" s="138">
        <v>1.3661056882762787E-3</v>
      </c>
      <c r="G130" s="139">
        <v>6.3370959938567808E-3</v>
      </c>
      <c r="I130" s="136" t="s">
        <v>279</v>
      </c>
      <c r="J130" s="137">
        <v>1.8935721773668993E-2</v>
      </c>
      <c r="K130" s="138">
        <v>1.4634680103747962E-2</v>
      </c>
      <c r="L130" s="138">
        <v>0</v>
      </c>
      <c r="M130" s="139">
        <v>1.2530952766150665E-2</v>
      </c>
    </row>
    <row r="131" spans="2:14">
      <c r="B131" s="136" t="s">
        <v>285</v>
      </c>
      <c r="C131" s="137">
        <v>2.6623154012079549E-2</v>
      </c>
      <c r="D131" s="138">
        <v>0</v>
      </c>
      <c r="E131" s="138">
        <v>0</v>
      </c>
      <c r="F131" s="138">
        <v>0</v>
      </c>
      <c r="G131" s="139">
        <v>4.2617555663769791E-3</v>
      </c>
      <c r="I131" s="136" t="s">
        <v>295</v>
      </c>
      <c r="J131" s="137">
        <v>0</v>
      </c>
      <c r="K131" s="138">
        <v>4.3839608287752671E-2</v>
      </c>
      <c r="L131" s="138">
        <v>2.9164906309121802E-2</v>
      </c>
      <c r="M131" s="139">
        <v>2.0375835173724304E-2</v>
      </c>
    </row>
    <row r="132" spans="2:14">
      <c r="B132" s="136" t="s">
        <v>295</v>
      </c>
      <c r="C132" s="137">
        <v>5.3772476663434612E-2</v>
      </c>
      <c r="D132" s="138">
        <v>0.18553602347306683</v>
      </c>
      <c r="E132" s="138">
        <v>0.17824243382691463</v>
      </c>
      <c r="F132" s="138">
        <v>0.29898432375385986</v>
      </c>
      <c r="G132" s="139">
        <v>0.21078851985908953</v>
      </c>
      <c r="I132" s="122" t="s">
        <v>302</v>
      </c>
      <c r="J132" s="123">
        <v>0</v>
      </c>
      <c r="K132" s="124">
        <v>2.8419354513214586E-2</v>
      </c>
      <c r="L132" s="124">
        <v>4.2472758414678617E-2</v>
      </c>
      <c r="M132" s="125">
        <v>1.9667944145337846E-2</v>
      </c>
    </row>
    <row r="133" spans="2:14">
      <c r="B133" s="122" t="s">
        <v>302</v>
      </c>
      <c r="C133" s="123">
        <v>0</v>
      </c>
      <c r="D133" s="124">
        <v>8.4757796845614086E-3</v>
      </c>
      <c r="E133" s="124">
        <v>0</v>
      </c>
      <c r="F133" s="124">
        <v>0</v>
      </c>
      <c r="G133" s="125">
        <v>2.5761762251996006E-3</v>
      </c>
      <c r="I133" s="141" t="s">
        <v>28</v>
      </c>
      <c r="J133" s="142">
        <v>1</v>
      </c>
      <c r="K133" s="143">
        <v>1</v>
      </c>
      <c r="L133" s="143">
        <v>1</v>
      </c>
      <c r="M133" s="144">
        <v>1</v>
      </c>
    </row>
    <row r="134" spans="2:14">
      <c r="B134" s="136" t="s">
        <v>308</v>
      </c>
      <c r="C134" s="137">
        <v>0</v>
      </c>
      <c r="D134" s="138">
        <v>0</v>
      </c>
      <c r="E134" s="138">
        <v>0</v>
      </c>
      <c r="F134" s="138">
        <v>2.0779879150541934E-2</v>
      </c>
      <c r="G134" s="139">
        <v>8.6487988425200651E-3</v>
      </c>
    </row>
    <row r="135" spans="2:14">
      <c r="B135" s="141" t="s">
        <v>28</v>
      </c>
      <c r="C135" s="142">
        <v>1</v>
      </c>
      <c r="D135" s="143">
        <v>1</v>
      </c>
      <c r="E135" s="143">
        <v>1</v>
      </c>
      <c r="F135" s="143">
        <v>1</v>
      </c>
      <c r="G135" s="144">
        <v>1</v>
      </c>
      <c r="I135" s="108" t="s">
        <v>313</v>
      </c>
      <c r="J135" s="138">
        <v>0.94896977260781878</v>
      </c>
      <c r="K135" s="138">
        <v>0.47783164866356631</v>
      </c>
      <c r="L135" s="138">
        <v>0.10690960718747286</v>
      </c>
      <c r="M135" s="138">
        <v>0.58510508864965716</v>
      </c>
      <c r="N135" s="138">
        <v>0</v>
      </c>
    </row>
    <row r="137" spans="2:14">
      <c r="B137" s="108" t="s">
        <v>313</v>
      </c>
      <c r="C137" s="138">
        <v>4.3921718974410939E-2</v>
      </c>
      <c r="D137" s="138">
        <v>0.51259342970616673</v>
      </c>
      <c r="E137" s="138">
        <v>7.7926349935853526E-2</v>
      </c>
      <c r="F137" s="138">
        <v>4.6884926931961297E-3</v>
      </c>
      <c r="G137" s="138">
        <f>SUM(G122:G125,G127,G133)</f>
        <v>0.17411580293500847</v>
      </c>
    </row>
    <row r="140" spans="2:14">
      <c r="I140" s="107" t="s">
        <v>228</v>
      </c>
      <c r="J140" s="107" t="s">
        <v>323</v>
      </c>
    </row>
    <row r="142" spans="2:14">
      <c r="I142" s="109" t="s">
        <v>229</v>
      </c>
      <c r="J142" s="109" t="s">
        <v>335</v>
      </c>
      <c r="K142" s="110"/>
      <c r="L142" s="110"/>
      <c r="M142" s="111"/>
    </row>
    <row r="143" spans="2:14">
      <c r="I143" s="109" t="s">
        <v>232</v>
      </c>
      <c r="J143" s="109" t="s">
        <v>340</v>
      </c>
      <c r="K143" s="112" t="s">
        <v>341</v>
      </c>
      <c r="L143" s="112" t="s">
        <v>342</v>
      </c>
      <c r="M143" s="113" t="s">
        <v>28</v>
      </c>
    </row>
    <row r="144" spans="2:14">
      <c r="I144" s="117" t="s">
        <v>245</v>
      </c>
      <c r="J144" s="118">
        <v>0.54570643347411552</v>
      </c>
      <c r="K144" s="119">
        <v>2.6103259670880431E-2</v>
      </c>
      <c r="L144" s="119">
        <v>4.8488722733131323E-3</v>
      </c>
      <c r="M144" s="120">
        <v>0.26709131513102152</v>
      </c>
    </row>
    <row r="145" spans="9:13">
      <c r="I145" s="122" t="s">
        <v>249</v>
      </c>
      <c r="J145" s="123">
        <v>0.22173984750658862</v>
      </c>
      <c r="K145" s="124">
        <v>0</v>
      </c>
      <c r="L145" s="124">
        <v>0</v>
      </c>
      <c r="M145" s="125">
        <v>0.10538264965655914</v>
      </c>
    </row>
    <row r="146" spans="9:13">
      <c r="I146" s="122" t="s">
        <v>251</v>
      </c>
      <c r="J146" s="123">
        <v>0.1031788038879673</v>
      </c>
      <c r="K146" s="124">
        <v>0.16404712762337101</v>
      </c>
      <c r="L146" s="124">
        <v>0</v>
      </c>
      <c r="M146" s="125">
        <v>8.9155411927162281E-2</v>
      </c>
    </row>
    <row r="147" spans="9:13">
      <c r="I147" s="122" t="s">
        <v>255</v>
      </c>
      <c r="J147" s="123">
        <v>4.8233524700959866E-2</v>
      </c>
      <c r="K147" s="124">
        <v>0.13089316832853176</v>
      </c>
      <c r="L147" s="124">
        <v>3.9883122609156579E-2</v>
      </c>
      <c r="M147" s="125">
        <v>6.6109071876527675E-2</v>
      </c>
    </row>
    <row r="148" spans="9:13">
      <c r="I148" s="136" t="s">
        <v>267</v>
      </c>
      <c r="J148" s="137">
        <v>2.0757960545655037E-2</v>
      </c>
      <c r="K148" s="138">
        <v>0.44002687253358291</v>
      </c>
      <c r="L148" s="138">
        <v>0.48412174016150861</v>
      </c>
      <c r="M148" s="139">
        <v>0.25312263070566526</v>
      </c>
    </row>
    <row r="149" spans="9:13">
      <c r="I149" s="122" t="s">
        <v>270</v>
      </c>
      <c r="J149" s="123">
        <v>6.0383429884713735E-2</v>
      </c>
      <c r="K149" s="124">
        <v>7.4024794386866266E-2</v>
      </c>
      <c r="L149" s="124">
        <v>0</v>
      </c>
      <c r="M149" s="125">
        <v>4.6800922171939374E-2</v>
      </c>
    </row>
    <row r="150" spans="9:13">
      <c r="I150" s="136" t="s">
        <v>273</v>
      </c>
      <c r="J150" s="137">
        <v>0</v>
      </c>
      <c r="K150" s="138">
        <v>9.9133453974879063E-2</v>
      </c>
      <c r="L150" s="138">
        <v>0.34512766951938828</v>
      </c>
      <c r="M150" s="139">
        <v>0.12094424369794562</v>
      </c>
    </row>
    <row r="151" spans="9:13">
      <c r="I151" s="136" t="s">
        <v>276</v>
      </c>
      <c r="J151" s="137">
        <v>0</v>
      </c>
      <c r="K151" s="138">
        <v>0</v>
      </c>
      <c r="L151" s="138">
        <v>4.859810860007846E-2</v>
      </c>
      <c r="M151" s="139">
        <v>1.3616545285921489E-2</v>
      </c>
    </row>
    <row r="152" spans="9:13">
      <c r="I152" s="136" t="s">
        <v>295</v>
      </c>
      <c r="J152" s="137">
        <v>0</v>
      </c>
      <c r="K152" s="138">
        <v>6.5771323481888633E-2</v>
      </c>
      <c r="L152" s="138">
        <v>3.545274342041084E-2</v>
      </c>
      <c r="M152" s="139">
        <v>2.6018404621813897E-2</v>
      </c>
    </row>
    <row r="153" spans="9:13">
      <c r="I153" s="122" t="s">
        <v>302</v>
      </c>
      <c r="J153" s="123">
        <v>0</v>
      </c>
      <c r="K153" s="124">
        <v>0</v>
      </c>
      <c r="L153" s="124">
        <v>4.1967743416144052E-2</v>
      </c>
      <c r="M153" s="125">
        <v>1.1758804925443874E-2</v>
      </c>
    </row>
    <row r="154" spans="9:13">
      <c r="I154" s="141" t="s">
        <v>28</v>
      </c>
      <c r="J154" s="142">
        <v>1</v>
      </c>
      <c r="K154" s="143">
        <v>1</v>
      </c>
      <c r="L154" s="143">
        <v>1</v>
      </c>
      <c r="M154" s="144">
        <v>1</v>
      </c>
    </row>
    <row r="156" spans="9:13">
      <c r="I156" s="108" t="s">
        <v>313</v>
      </c>
      <c r="J156" s="138">
        <v>0.97924203945434507</v>
      </c>
      <c r="K156" s="138">
        <v>0.39506835000964946</v>
      </c>
      <c r="L156" s="138">
        <v>8.6699738298613771E-2</v>
      </c>
      <c r="M156" s="138">
        <v>0.58629817568865394</v>
      </c>
    </row>
    <row r="160" spans="9:13">
      <c r="I160" s="107" t="s">
        <v>228</v>
      </c>
      <c r="J160" s="107" t="s">
        <v>333</v>
      </c>
    </row>
    <row r="162" spans="9:13">
      <c r="I162" s="109" t="s">
        <v>229</v>
      </c>
      <c r="J162" s="109" t="s">
        <v>335</v>
      </c>
      <c r="K162" s="110"/>
      <c r="L162" s="110"/>
      <c r="M162" s="111"/>
    </row>
    <row r="163" spans="9:13">
      <c r="I163" s="109" t="s">
        <v>232</v>
      </c>
      <c r="J163" s="109" t="s">
        <v>340</v>
      </c>
      <c r="K163" s="112" t="s">
        <v>341</v>
      </c>
      <c r="L163" s="112" t="s">
        <v>342</v>
      </c>
      <c r="M163" s="113" t="s">
        <v>28</v>
      </c>
    </row>
    <row r="164" spans="9:13">
      <c r="I164" s="117" t="s">
        <v>245</v>
      </c>
      <c r="J164" s="118">
        <v>0.40182822249686234</v>
      </c>
      <c r="K164" s="119">
        <v>0.19873192245936078</v>
      </c>
      <c r="L164" s="119">
        <v>0</v>
      </c>
      <c r="M164" s="120">
        <v>0.21657846922405477</v>
      </c>
    </row>
    <row r="165" spans="9:13">
      <c r="I165" s="122" t="s">
        <v>249</v>
      </c>
      <c r="J165" s="123">
        <v>0.2774186101185277</v>
      </c>
      <c r="K165" s="124">
        <v>0</v>
      </c>
      <c r="L165" s="124">
        <v>0</v>
      </c>
      <c r="M165" s="125">
        <v>0.10136676080903971</v>
      </c>
    </row>
    <row r="166" spans="9:13">
      <c r="I166" s="122" t="s">
        <v>251</v>
      </c>
      <c r="J166" s="123">
        <v>0</v>
      </c>
      <c r="K166" s="124">
        <v>2.7759224129400264E-2</v>
      </c>
      <c r="L166" s="124">
        <v>0</v>
      </c>
      <c r="M166" s="125">
        <v>9.7432680724341796E-3</v>
      </c>
    </row>
    <row r="167" spans="9:13">
      <c r="I167" s="136" t="s">
        <v>267</v>
      </c>
      <c r="J167" s="137">
        <v>0.16002379754251991</v>
      </c>
      <c r="K167" s="138">
        <v>0.4953479298880149</v>
      </c>
      <c r="L167" s="138">
        <v>0.69306955951066607</v>
      </c>
      <c r="M167" s="139">
        <v>0.42889975182901691</v>
      </c>
    </row>
    <row r="168" spans="9:13">
      <c r="I168" s="122" t="s">
        <v>270</v>
      </c>
      <c r="J168" s="123">
        <v>0.1607293698420901</v>
      </c>
      <c r="K168" s="124">
        <v>3.6291014917710841E-2</v>
      </c>
      <c r="L168" s="124">
        <v>0</v>
      </c>
      <c r="M168" s="125">
        <v>7.1467212525803764E-2</v>
      </c>
    </row>
    <row r="169" spans="9:13">
      <c r="I169" s="136" t="s">
        <v>273</v>
      </c>
      <c r="J169" s="137">
        <v>0</v>
      </c>
      <c r="K169" s="138">
        <v>2.8352355404461595E-2</v>
      </c>
      <c r="L169" s="138">
        <v>0.26701344950043471</v>
      </c>
      <c r="M169" s="139">
        <v>8.5680503358898652E-2</v>
      </c>
    </row>
    <row r="170" spans="9:13">
      <c r="I170" s="136" t="s">
        <v>276</v>
      </c>
      <c r="J170" s="137">
        <v>0</v>
      </c>
      <c r="K170" s="138">
        <v>0</v>
      </c>
      <c r="L170" s="138">
        <v>3.9916990988899323E-2</v>
      </c>
      <c r="M170" s="139">
        <v>1.132106209657442E-2</v>
      </c>
    </row>
    <row r="171" spans="9:13">
      <c r="I171" s="136" t="s">
        <v>279</v>
      </c>
      <c r="J171" s="137">
        <v>0</v>
      </c>
      <c r="K171" s="138">
        <v>0.13829697485443299</v>
      </c>
      <c r="L171" s="138">
        <v>0</v>
      </c>
      <c r="M171" s="139">
        <v>4.854114413760964E-2</v>
      </c>
    </row>
    <row r="172" spans="9:13">
      <c r="I172" s="136" t="s">
        <v>295</v>
      </c>
      <c r="J172" s="137">
        <v>0</v>
      </c>
      <c r="K172" s="138">
        <v>3.439480938826045E-2</v>
      </c>
      <c r="L172" s="138">
        <v>0</v>
      </c>
      <c r="M172" s="139">
        <v>1.2072306005669966E-2</v>
      </c>
    </row>
    <row r="173" spans="9:13">
      <c r="I173" s="122" t="s">
        <v>302</v>
      </c>
      <c r="J173" s="123">
        <v>0</v>
      </c>
      <c r="K173" s="124">
        <v>4.082576895835828E-2</v>
      </c>
      <c r="L173" s="124">
        <v>0</v>
      </c>
      <c r="M173" s="125">
        <v>1.4329521940898015E-2</v>
      </c>
    </row>
    <row r="174" spans="9:13">
      <c r="I174" s="141" t="s">
        <v>28</v>
      </c>
      <c r="J174" s="142">
        <v>1</v>
      </c>
      <c r="K174" s="143">
        <v>1</v>
      </c>
      <c r="L174" s="143">
        <v>1</v>
      </c>
      <c r="M174" s="144">
        <v>1</v>
      </c>
    </row>
    <row r="176" spans="9:13">
      <c r="I176" s="108" t="s">
        <v>313</v>
      </c>
      <c r="J176" s="138">
        <v>0.83997620245748006</v>
      </c>
      <c r="K176" s="138">
        <v>0.30360793046483014</v>
      </c>
      <c r="L176" s="138">
        <v>0</v>
      </c>
      <c r="M176" s="138">
        <v>0.41348523257223052</v>
      </c>
    </row>
    <row r="179" spans="9:13">
      <c r="I179" s="107" t="s">
        <v>228</v>
      </c>
      <c r="J179" s="107" t="s">
        <v>334</v>
      </c>
    </row>
    <row r="181" spans="9:13">
      <c r="I181" s="109" t="s">
        <v>229</v>
      </c>
      <c r="J181" s="109" t="s">
        <v>335</v>
      </c>
      <c r="K181" s="110"/>
      <c r="L181" s="110"/>
      <c r="M181" s="111"/>
    </row>
    <row r="182" spans="9:13">
      <c r="I182" s="109" t="s">
        <v>232</v>
      </c>
      <c r="J182" s="109" t="s">
        <v>340</v>
      </c>
      <c r="K182" s="112" t="s">
        <v>341</v>
      </c>
      <c r="L182" s="112" t="s">
        <v>342</v>
      </c>
      <c r="M182" s="113" t="s">
        <v>28</v>
      </c>
    </row>
    <row r="183" spans="9:13">
      <c r="I183" s="117" t="s">
        <v>245</v>
      </c>
      <c r="J183" s="118">
        <v>0.2101993210715738</v>
      </c>
      <c r="K183" s="119">
        <v>4.305382429948356E-2</v>
      </c>
      <c r="L183" s="119">
        <v>0</v>
      </c>
      <c r="M183" s="120">
        <v>9.3806758391375825E-2</v>
      </c>
    </row>
    <row r="184" spans="9:13">
      <c r="I184" s="122" t="s">
        <v>249</v>
      </c>
      <c r="J184" s="123">
        <v>0</v>
      </c>
      <c r="K184" s="124">
        <v>0.105856182446701</v>
      </c>
      <c r="L184" s="124">
        <v>0</v>
      </c>
      <c r="M184" s="125">
        <v>4.0488464801553783E-2</v>
      </c>
    </row>
    <row r="185" spans="9:13">
      <c r="I185" s="122" t="s">
        <v>251</v>
      </c>
      <c r="J185" s="123">
        <v>9.5256112253948283E-2</v>
      </c>
      <c r="K185" s="124">
        <v>4.7779464000558006E-2</v>
      </c>
      <c r="L185" s="124">
        <v>6.1745869453981944E-2</v>
      </c>
      <c r="M185" s="125">
        <v>6.8733448567123476E-2</v>
      </c>
    </row>
    <row r="186" spans="9:13">
      <c r="I186" s="122" t="s">
        <v>255</v>
      </c>
      <c r="J186" s="123">
        <v>0</v>
      </c>
      <c r="K186" s="124">
        <v>0</v>
      </c>
      <c r="L186" s="124">
        <v>1.6149901455109264E-2</v>
      </c>
      <c r="M186" s="125">
        <v>4.0307132680838676E-3</v>
      </c>
    </row>
    <row r="187" spans="9:13">
      <c r="I187" s="136" t="s">
        <v>267</v>
      </c>
      <c r="J187" s="137">
        <v>2.9787852337338928E-2</v>
      </c>
      <c r="K187" s="138">
        <v>0.27824999442952369</v>
      </c>
      <c r="L187" s="138">
        <v>0.68193150099589772</v>
      </c>
      <c r="M187" s="139">
        <v>0.28758389658524602</v>
      </c>
    </row>
    <row r="188" spans="9:13">
      <c r="I188" s="122" t="s">
        <v>270</v>
      </c>
      <c r="J188" s="123">
        <v>0.55553217153540224</v>
      </c>
      <c r="K188" s="124">
        <v>0.43989606917133989</v>
      </c>
      <c r="L188" s="124">
        <v>9.1109116196355588E-2</v>
      </c>
      <c r="M188" s="125">
        <v>0.3953917221499636</v>
      </c>
    </row>
    <row r="189" spans="9:13">
      <c r="I189" s="136" t="s">
        <v>273</v>
      </c>
      <c r="J189" s="137">
        <v>0</v>
      </c>
      <c r="K189" s="138">
        <v>0</v>
      </c>
      <c r="L189" s="138">
        <v>6.6182110660031018E-2</v>
      </c>
      <c r="M189" s="139">
        <v>1.6517816674527626E-2</v>
      </c>
    </row>
    <row r="190" spans="9:13">
      <c r="I190" s="136" t="s">
        <v>279</v>
      </c>
      <c r="J190" s="137">
        <v>0.10922454280173678</v>
      </c>
      <c r="K190" s="138">
        <v>0</v>
      </c>
      <c r="L190" s="138">
        <v>0</v>
      </c>
      <c r="M190" s="139">
        <v>4.0187326197687764E-2</v>
      </c>
    </row>
    <row r="191" spans="9:13">
      <c r="I191" s="136" t="s">
        <v>295</v>
      </c>
      <c r="J191" s="137">
        <v>0</v>
      </c>
      <c r="K191" s="138">
        <v>0</v>
      </c>
      <c r="L191" s="138">
        <v>1.8824960199384736E-2</v>
      </c>
      <c r="M191" s="139">
        <v>4.6983578851997037E-3</v>
      </c>
    </row>
    <row r="192" spans="9:13">
      <c r="I192" s="122" t="s">
        <v>302</v>
      </c>
      <c r="J192" s="123">
        <v>0</v>
      </c>
      <c r="K192" s="124">
        <v>8.5164465652393745E-2</v>
      </c>
      <c r="L192" s="124">
        <v>6.4056541039239745E-2</v>
      </c>
      <c r="M192" s="125">
        <v>4.8561495479238333E-2</v>
      </c>
    </row>
    <row r="193" spans="9:13">
      <c r="I193" s="141" t="s">
        <v>28</v>
      </c>
      <c r="J193" s="142">
        <v>1</v>
      </c>
      <c r="K193" s="143">
        <v>1</v>
      </c>
      <c r="L193" s="143">
        <v>1</v>
      </c>
      <c r="M193" s="144">
        <v>1</v>
      </c>
    </row>
    <row r="195" spans="9:13">
      <c r="I195" s="108" t="s">
        <v>313</v>
      </c>
      <c r="J195" s="138">
        <v>0.86098760486092429</v>
      </c>
      <c r="K195" s="138">
        <v>0.72175000557047619</v>
      </c>
      <c r="L195" s="138">
        <v>0.23306142814468656</v>
      </c>
      <c r="M195" s="138">
        <v>0.65101260265733896</v>
      </c>
    </row>
  </sheetData>
  <mergeCells count="10">
    <mergeCell ref="X8:Z8"/>
    <mergeCell ref="AA8:AD8"/>
    <mergeCell ref="AE8:AF8"/>
    <mergeCell ref="AH8:AI8"/>
    <mergeCell ref="AL8:AM8"/>
    <mergeCell ref="X9:Z9"/>
    <mergeCell ref="AA9:AD9"/>
    <mergeCell ref="AE9:AF9"/>
    <mergeCell ref="AH9:AI9"/>
    <mergeCell ref="AL9:AM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codeName="Sheet10"/>
  <dimension ref="A3:AD91"/>
  <sheetViews>
    <sheetView workbookViewId="0">
      <selection activeCell="N8" sqref="N8"/>
    </sheetView>
  </sheetViews>
  <sheetFormatPr defaultRowHeight="12.75"/>
  <cols>
    <col min="1" max="1" width="9.140625" style="108"/>
    <col min="2" max="2" width="16.140625" style="108" customWidth="1"/>
    <col min="3" max="3" width="9.42578125" style="108" customWidth="1"/>
    <col min="4" max="5" width="9.140625" style="108"/>
    <col min="6" max="7" width="9.85546875" style="108" customWidth="1"/>
    <col min="8" max="8" width="9.7109375" style="108" customWidth="1"/>
    <col min="9" max="9" width="12.42578125" style="108" customWidth="1"/>
    <col min="10" max="11" width="9.42578125" style="108" customWidth="1"/>
    <col min="12" max="15" width="9.140625" style="108"/>
    <col min="16" max="20" width="12.42578125" style="108" customWidth="1"/>
    <col min="21" max="252" width="9.140625" style="108"/>
    <col min="253" max="253" width="16.140625" style="108" customWidth="1"/>
    <col min="254" max="254" width="9.42578125" style="108" customWidth="1"/>
    <col min="255" max="256" width="9.140625" style="108"/>
    <col min="257" max="258" width="9.85546875" style="108" customWidth="1"/>
    <col min="259" max="259" width="9.7109375" style="108" customWidth="1"/>
    <col min="260" max="260" width="12.42578125" style="108" customWidth="1"/>
    <col min="261" max="262" width="9.42578125" style="108" customWidth="1"/>
    <col min="263" max="508" width="9.140625" style="108"/>
    <col min="509" max="509" width="16.140625" style="108" customWidth="1"/>
    <col min="510" max="510" width="9.42578125" style="108" customWidth="1"/>
    <col min="511" max="512" width="9.140625" style="108"/>
    <col min="513" max="514" width="9.85546875" style="108" customWidth="1"/>
    <col min="515" max="515" width="9.7109375" style="108" customWidth="1"/>
    <col min="516" max="516" width="12.42578125" style="108" customWidth="1"/>
    <col min="517" max="518" width="9.42578125" style="108" customWidth="1"/>
    <col min="519" max="764" width="9.140625" style="108"/>
    <col min="765" max="765" width="16.140625" style="108" customWidth="1"/>
    <col min="766" max="766" width="9.42578125" style="108" customWidth="1"/>
    <col min="767" max="768" width="9.140625" style="108"/>
    <col min="769" max="770" width="9.85546875" style="108" customWidth="1"/>
    <col min="771" max="771" width="9.7109375" style="108" customWidth="1"/>
    <col min="772" max="772" width="12.42578125" style="108" customWidth="1"/>
    <col min="773" max="774" width="9.42578125" style="108" customWidth="1"/>
    <col min="775" max="1020" width="9.140625" style="108"/>
    <col min="1021" max="1021" width="16.140625" style="108" customWidth="1"/>
    <col min="1022" max="1022" width="9.42578125" style="108" customWidth="1"/>
    <col min="1023" max="1024" width="9.140625" style="108"/>
    <col min="1025" max="1026" width="9.85546875" style="108" customWidth="1"/>
    <col min="1027" max="1027" width="9.7109375" style="108" customWidth="1"/>
    <col min="1028" max="1028" width="12.42578125" style="108" customWidth="1"/>
    <col min="1029" max="1030" width="9.42578125" style="108" customWidth="1"/>
    <col min="1031" max="1276" width="9.140625" style="108"/>
    <col min="1277" max="1277" width="16.140625" style="108" customWidth="1"/>
    <col min="1278" max="1278" width="9.42578125" style="108" customWidth="1"/>
    <col min="1279" max="1280" width="9.140625" style="108"/>
    <col min="1281" max="1282" width="9.85546875" style="108" customWidth="1"/>
    <col min="1283" max="1283" width="9.7109375" style="108" customWidth="1"/>
    <col min="1284" max="1284" width="12.42578125" style="108" customWidth="1"/>
    <col min="1285" max="1286" width="9.42578125" style="108" customWidth="1"/>
    <col min="1287" max="1532" width="9.140625" style="108"/>
    <col min="1533" max="1533" width="16.140625" style="108" customWidth="1"/>
    <col min="1534" max="1534" width="9.42578125" style="108" customWidth="1"/>
    <col min="1535" max="1536" width="9.140625" style="108"/>
    <col min="1537" max="1538" width="9.85546875" style="108" customWidth="1"/>
    <col min="1539" max="1539" width="9.7109375" style="108" customWidth="1"/>
    <col min="1540" max="1540" width="12.42578125" style="108" customWidth="1"/>
    <col min="1541" max="1542" width="9.42578125" style="108" customWidth="1"/>
    <col min="1543" max="1788" width="9.140625" style="108"/>
    <col min="1789" max="1789" width="16.140625" style="108" customWidth="1"/>
    <col min="1790" max="1790" width="9.42578125" style="108" customWidth="1"/>
    <col min="1791" max="1792" width="9.140625" style="108"/>
    <col min="1793" max="1794" width="9.85546875" style="108" customWidth="1"/>
    <col min="1795" max="1795" width="9.7109375" style="108" customWidth="1"/>
    <col min="1796" max="1796" width="12.42578125" style="108" customWidth="1"/>
    <col min="1797" max="1798" width="9.42578125" style="108" customWidth="1"/>
    <col min="1799" max="2044" width="9.140625" style="108"/>
    <col min="2045" max="2045" width="16.140625" style="108" customWidth="1"/>
    <col min="2046" max="2046" width="9.42578125" style="108" customWidth="1"/>
    <col min="2047" max="2048" width="9.140625" style="108"/>
    <col min="2049" max="2050" width="9.85546875" style="108" customWidth="1"/>
    <col min="2051" max="2051" width="9.7109375" style="108" customWidth="1"/>
    <col min="2052" max="2052" width="12.42578125" style="108" customWidth="1"/>
    <col min="2053" max="2054" width="9.42578125" style="108" customWidth="1"/>
    <col min="2055" max="2300" width="9.140625" style="108"/>
    <col min="2301" max="2301" width="16.140625" style="108" customWidth="1"/>
    <col min="2302" max="2302" width="9.42578125" style="108" customWidth="1"/>
    <col min="2303" max="2304" width="9.140625" style="108"/>
    <col min="2305" max="2306" width="9.85546875" style="108" customWidth="1"/>
    <col min="2307" max="2307" width="9.7109375" style="108" customWidth="1"/>
    <col min="2308" max="2308" width="12.42578125" style="108" customWidth="1"/>
    <col min="2309" max="2310" width="9.42578125" style="108" customWidth="1"/>
    <col min="2311" max="2556" width="9.140625" style="108"/>
    <col min="2557" max="2557" width="16.140625" style="108" customWidth="1"/>
    <col min="2558" max="2558" width="9.42578125" style="108" customWidth="1"/>
    <col min="2559" max="2560" width="9.140625" style="108"/>
    <col min="2561" max="2562" width="9.85546875" style="108" customWidth="1"/>
    <col min="2563" max="2563" width="9.7109375" style="108" customWidth="1"/>
    <col min="2564" max="2564" width="12.42578125" style="108" customWidth="1"/>
    <col min="2565" max="2566" width="9.42578125" style="108" customWidth="1"/>
    <col min="2567" max="2812" width="9.140625" style="108"/>
    <col min="2813" max="2813" width="16.140625" style="108" customWidth="1"/>
    <col min="2814" max="2814" width="9.42578125" style="108" customWidth="1"/>
    <col min="2815" max="2816" width="9.140625" style="108"/>
    <col min="2817" max="2818" width="9.85546875" style="108" customWidth="1"/>
    <col min="2819" max="2819" width="9.7109375" style="108" customWidth="1"/>
    <col min="2820" max="2820" width="12.42578125" style="108" customWidth="1"/>
    <col min="2821" max="2822" width="9.42578125" style="108" customWidth="1"/>
    <col min="2823" max="3068" width="9.140625" style="108"/>
    <col min="3069" max="3069" width="16.140625" style="108" customWidth="1"/>
    <col min="3070" max="3070" width="9.42578125" style="108" customWidth="1"/>
    <col min="3071" max="3072" width="9.140625" style="108"/>
    <col min="3073" max="3074" width="9.85546875" style="108" customWidth="1"/>
    <col min="3075" max="3075" width="9.7109375" style="108" customWidth="1"/>
    <col min="3076" max="3076" width="12.42578125" style="108" customWidth="1"/>
    <col min="3077" max="3078" width="9.42578125" style="108" customWidth="1"/>
    <col min="3079" max="3324" width="9.140625" style="108"/>
    <col min="3325" max="3325" width="16.140625" style="108" customWidth="1"/>
    <col min="3326" max="3326" width="9.42578125" style="108" customWidth="1"/>
    <col min="3327" max="3328" width="9.140625" style="108"/>
    <col min="3329" max="3330" width="9.85546875" style="108" customWidth="1"/>
    <col min="3331" max="3331" width="9.7109375" style="108" customWidth="1"/>
    <col min="3332" max="3332" width="12.42578125" style="108" customWidth="1"/>
    <col min="3333" max="3334" width="9.42578125" style="108" customWidth="1"/>
    <col min="3335" max="3580" width="9.140625" style="108"/>
    <col min="3581" max="3581" width="16.140625" style="108" customWidth="1"/>
    <col min="3582" max="3582" width="9.42578125" style="108" customWidth="1"/>
    <col min="3583" max="3584" width="9.140625" style="108"/>
    <col min="3585" max="3586" width="9.85546875" style="108" customWidth="1"/>
    <col min="3587" max="3587" width="9.7109375" style="108" customWidth="1"/>
    <col min="3588" max="3588" width="12.42578125" style="108" customWidth="1"/>
    <col min="3589" max="3590" width="9.42578125" style="108" customWidth="1"/>
    <col min="3591" max="3836" width="9.140625" style="108"/>
    <col min="3837" max="3837" width="16.140625" style="108" customWidth="1"/>
    <col min="3838" max="3838" width="9.42578125" style="108" customWidth="1"/>
    <col min="3839" max="3840" width="9.140625" style="108"/>
    <col min="3841" max="3842" width="9.85546875" style="108" customWidth="1"/>
    <col min="3843" max="3843" width="9.7109375" style="108" customWidth="1"/>
    <col min="3844" max="3844" width="12.42578125" style="108" customWidth="1"/>
    <col min="3845" max="3846" width="9.42578125" style="108" customWidth="1"/>
    <col min="3847" max="4092" width="9.140625" style="108"/>
    <col min="4093" max="4093" width="16.140625" style="108" customWidth="1"/>
    <col min="4094" max="4094" width="9.42578125" style="108" customWidth="1"/>
    <col min="4095" max="4096" width="9.140625" style="108"/>
    <col min="4097" max="4098" width="9.85546875" style="108" customWidth="1"/>
    <col min="4099" max="4099" width="9.7109375" style="108" customWidth="1"/>
    <col min="4100" max="4100" width="12.42578125" style="108" customWidth="1"/>
    <col min="4101" max="4102" width="9.42578125" style="108" customWidth="1"/>
    <col min="4103" max="4348" width="9.140625" style="108"/>
    <col min="4349" max="4349" width="16.140625" style="108" customWidth="1"/>
    <col min="4350" max="4350" width="9.42578125" style="108" customWidth="1"/>
    <col min="4351" max="4352" width="9.140625" style="108"/>
    <col min="4353" max="4354" width="9.85546875" style="108" customWidth="1"/>
    <col min="4355" max="4355" width="9.7109375" style="108" customWidth="1"/>
    <col min="4356" max="4356" width="12.42578125" style="108" customWidth="1"/>
    <col min="4357" max="4358" width="9.42578125" style="108" customWidth="1"/>
    <col min="4359" max="4604" width="9.140625" style="108"/>
    <col min="4605" max="4605" width="16.140625" style="108" customWidth="1"/>
    <col min="4606" max="4606" width="9.42578125" style="108" customWidth="1"/>
    <col min="4607" max="4608" width="9.140625" style="108"/>
    <col min="4609" max="4610" width="9.85546875" style="108" customWidth="1"/>
    <col min="4611" max="4611" width="9.7109375" style="108" customWidth="1"/>
    <col min="4612" max="4612" width="12.42578125" style="108" customWidth="1"/>
    <col min="4613" max="4614" width="9.42578125" style="108" customWidth="1"/>
    <col min="4615" max="4860" width="9.140625" style="108"/>
    <col min="4861" max="4861" width="16.140625" style="108" customWidth="1"/>
    <col min="4862" max="4862" width="9.42578125" style="108" customWidth="1"/>
    <col min="4863" max="4864" width="9.140625" style="108"/>
    <col min="4865" max="4866" width="9.85546875" style="108" customWidth="1"/>
    <col min="4867" max="4867" width="9.7109375" style="108" customWidth="1"/>
    <col min="4868" max="4868" width="12.42578125" style="108" customWidth="1"/>
    <col min="4869" max="4870" width="9.42578125" style="108" customWidth="1"/>
    <col min="4871" max="5116" width="9.140625" style="108"/>
    <col min="5117" max="5117" width="16.140625" style="108" customWidth="1"/>
    <col min="5118" max="5118" width="9.42578125" style="108" customWidth="1"/>
    <col min="5119" max="5120" width="9.140625" style="108"/>
    <col min="5121" max="5122" width="9.85546875" style="108" customWidth="1"/>
    <col min="5123" max="5123" width="9.7109375" style="108" customWidth="1"/>
    <col min="5124" max="5124" width="12.42578125" style="108" customWidth="1"/>
    <col min="5125" max="5126" width="9.42578125" style="108" customWidth="1"/>
    <col min="5127" max="5372" width="9.140625" style="108"/>
    <col min="5373" max="5373" width="16.140625" style="108" customWidth="1"/>
    <col min="5374" max="5374" width="9.42578125" style="108" customWidth="1"/>
    <col min="5375" max="5376" width="9.140625" style="108"/>
    <col min="5377" max="5378" width="9.85546875" style="108" customWidth="1"/>
    <col min="5379" max="5379" width="9.7109375" style="108" customWidth="1"/>
    <col min="5380" max="5380" width="12.42578125" style="108" customWidth="1"/>
    <col min="5381" max="5382" width="9.42578125" style="108" customWidth="1"/>
    <col min="5383" max="5628" width="9.140625" style="108"/>
    <col min="5629" max="5629" width="16.140625" style="108" customWidth="1"/>
    <col min="5630" max="5630" width="9.42578125" style="108" customWidth="1"/>
    <col min="5631" max="5632" width="9.140625" style="108"/>
    <col min="5633" max="5634" width="9.85546875" style="108" customWidth="1"/>
    <col min="5635" max="5635" width="9.7109375" style="108" customWidth="1"/>
    <col min="5636" max="5636" width="12.42578125" style="108" customWidth="1"/>
    <col min="5637" max="5638" width="9.42578125" style="108" customWidth="1"/>
    <col min="5639" max="5884" width="9.140625" style="108"/>
    <col min="5885" max="5885" width="16.140625" style="108" customWidth="1"/>
    <col min="5886" max="5886" width="9.42578125" style="108" customWidth="1"/>
    <col min="5887" max="5888" width="9.140625" style="108"/>
    <col min="5889" max="5890" width="9.85546875" style="108" customWidth="1"/>
    <col min="5891" max="5891" width="9.7109375" style="108" customWidth="1"/>
    <col min="5892" max="5892" width="12.42578125" style="108" customWidth="1"/>
    <col min="5893" max="5894" width="9.42578125" style="108" customWidth="1"/>
    <col min="5895" max="6140" width="9.140625" style="108"/>
    <col min="6141" max="6141" width="16.140625" style="108" customWidth="1"/>
    <col min="6142" max="6142" width="9.42578125" style="108" customWidth="1"/>
    <col min="6143" max="6144" width="9.140625" style="108"/>
    <col min="6145" max="6146" width="9.85546875" style="108" customWidth="1"/>
    <col min="6147" max="6147" width="9.7109375" style="108" customWidth="1"/>
    <col min="6148" max="6148" width="12.42578125" style="108" customWidth="1"/>
    <col min="6149" max="6150" width="9.42578125" style="108" customWidth="1"/>
    <col min="6151" max="6396" width="9.140625" style="108"/>
    <col min="6397" max="6397" width="16.140625" style="108" customWidth="1"/>
    <col min="6398" max="6398" width="9.42578125" style="108" customWidth="1"/>
    <col min="6399" max="6400" width="9.140625" style="108"/>
    <col min="6401" max="6402" width="9.85546875" style="108" customWidth="1"/>
    <col min="6403" max="6403" width="9.7109375" style="108" customWidth="1"/>
    <col min="6404" max="6404" width="12.42578125" style="108" customWidth="1"/>
    <col min="6405" max="6406" width="9.42578125" style="108" customWidth="1"/>
    <col min="6407" max="6652" width="9.140625" style="108"/>
    <col min="6653" max="6653" width="16.140625" style="108" customWidth="1"/>
    <col min="6654" max="6654" width="9.42578125" style="108" customWidth="1"/>
    <col min="6655" max="6656" width="9.140625" style="108"/>
    <col min="6657" max="6658" width="9.85546875" style="108" customWidth="1"/>
    <col min="6659" max="6659" width="9.7109375" style="108" customWidth="1"/>
    <col min="6660" max="6660" width="12.42578125" style="108" customWidth="1"/>
    <col min="6661" max="6662" width="9.42578125" style="108" customWidth="1"/>
    <col min="6663" max="6908" width="9.140625" style="108"/>
    <col min="6909" max="6909" width="16.140625" style="108" customWidth="1"/>
    <col min="6910" max="6910" width="9.42578125" style="108" customWidth="1"/>
    <col min="6911" max="6912" width="9.140625" style="108"/>
    <col min="6913" max="6914" width="9.85546875" style="108" customWidth="1"/>
    <col min="6915" max="6915" width="9.7109375" style="108" customWidth="1"/>
    <col min="6916" max="6916" width="12.42578125" style="108" customWidth="1"/>
    <col min="6917" max="6918" width="9.42578125" style="108" customWidth="1"/>
    <col min="6919" max="7164" width="9.140625" style="108"/>
    <col min="7165" max="7165" width="16.140625" style="108" customWidth="1"/>
    <col min="7166" max="7166" width="9.42578125" style="108" customWidth="1"/>
    <col min="7167" max="7168" width="9.140625" style="108"/>
    <col min="7169" max="7170" width="9.85546875" style="108" customWidth="1"/>
    <col min="7171" max="7171" width="9.7109375" style="108" customWidth="1"/>
    <col min="7172" max="7172" width="12.42578125" style="108" customWidth="1"/>
    <col min="7173" max="7174" width="9.42578125" style="108" customWidth="1"/>
    <col min="7175" max="7420" width="9.140625" style="108"/>
    <col min="7421" max="7421" width="16.140625" style="108" customWidth="1"/>
    <col min="7422" max="7422" width="9.42578125" style="108" customWidth="1"/>
    <col min="7423" max="7424" width="9.140625" style="108"/>
    <col min="7425" max="7426" width="9.85546875" style="108" customWidth="1"/>
    <col min="7427" max="7427" width="9.7109375" style="108" customWidth="1"/>
    <col min="7428" max="7428" width="12.42578125" style="108" customWidth="1"/>
    <col min="7429" max="7430" width="9.42578125" style="108" customWidth="1"/>
    <col min="7431" max="7676" width="9.140625" style="108"/>
    <col min="7677" max="7677" width="16.140625" style="108" customWidth="1"/>
    <col min="7678" max="7678" width="9.42578125" style="108" customWidth="1"/>
    <col min="7679" max="7680" width="9.140625" style="108"/>
    <col min="7681" max="7682" width="9.85546875" style="108" customWidth="1"/>
    <col min="7683" max="7683" width="9.7109375" style="108" customWidth="1"/>
    <col min="7684" max="7684" width="12.42578125" style="108" customWidth="1"/>
    <col min="7685" max="7686" width="9.42578125" style="108" customWidth="1"/>
    <col min="7687" max="7932" width="9.140625" style="108"/>
    <col min="7933" max="7933" width="16.140625" style="108" customWidth="1"/>
    <col min="7934" max="7934" width="9.42578125" style="108" customWidth="1"/>
    <col min="7935" max="7936" width="9.140625" style="108"/>
    <col min="7937" max="7938" width="9.85546875" style="108" customWidth="1"/>
    <col min="7939" max="7939" width="9.7109375" style="108" customWidth="1"/>
    <col min="7940" max="7940" width="12.42578125" style="108" customWidth="1"/>
    <col min="7941" max="7942" width="9.42578125" style="108" customWidth="1"/>
    <col min="7943" max="8188" width="9.140625" style="108"/>
    <col min="8189" max="8189" width="16.140625" style="108" customWidth="1"/>
    <col min="8190" max="8190" width="9.42578125" style="108" customWidth="1"/>
    <col min="8191" max="8192" width="9.140625" style="108"/>
    <col min="8193" max="8194" width="9.85546875" style="108" customWidth="1"/>
    <col min="8195" max="8195" width="9.7109375" style="108" customWidth="1"/>
    <col min="8196" max="8196" width="12.42578125" style="108" customWidth="1"/>
    <col min="8197" max="8198" width="9.42578125" style="108" customWidth="1"/>
    <col min="8199" max="8444" width="9.140625" style="108"/>
    <col min="8445" max="8445" width="16.140625" style="108" customWidth="1"/>
    <col min="8446" max="8446" width="9.42578125" style="108" customWidth="1"/>
    <col min="8447" max="8448" width="9.140625" style="108"/>
    <col min="8449" max="8450" width="9.85546875" style="108" customWidth="1"/>
    <col min="8451" max="8451" width="9.7109375" style="108" customWidth="1"/>
    <col min="8452" max="8452" width="12.42578125" style="108" customWidth="1"/>
    <col min="8453" max="8454" width="9.42578125" style="108" customWidth="1"/>
    <col min="8455" max="8700" width="9.140625" style="108"/>
    <col min="8701" max="8701" width="16.140625" style="108" customWidth="1"/>
    <col min="8702" max="8702" width="9.42578125" style="108" customWidth="1"/>
    <col min="8703" max="8704" width="9.140625" style="108"/>
    <col min="8705" max="8706" width="9.85546875" style="108" customWidth="1"/>
    <col min="8707" max="8707" width="9.7109375" style="108" customWidth="1"/>
    <col min="8708" max="8708" width="12.42578125" style="108" customWidth="1"/>
    <col min="8709" max="8710" width="9.42578125" style="108" customWidth="1"/>
    <col min="8711" max="8956" width="9.140625" style="108"/>
    <col min="8957" max="8957" width="16.140625" style="108" customWidth="1"/>
    <col min="8958" max="8958" width="9.42578125" style="108" customWidth="1"/>
    <col min="8959" max="8960" width="9.140625" style="108"/>
    <col min="8961" max="8962" width="9.85546875" style="108" customWidth="1"/>
    <col min="8963" max="8963" width="9.7109375" style="108" customWidth="1"/>
    <col min="8964" max="8964" width="12.42578125" style="108" customWidth="1"/>
    <col min="8965" max="8966" width="9.42578125" style="108" customWidth="1"/>
    <col min="8967" max="9212" width="9.140625" style="108"/>
    <col min="9213" max="9213" width="16.140625" style="108" customWidth="1"/>
    <col min="9214" max="9214" width="9.42578125" style="108" customWidth="1"/>
    <col min="9215" max="9216" width="9.140625" style="108"/>
    <col min="9217" max="9218" width="9.85546875" style="108" customWidth="1"/>
    <col min="9219" max="9219" width="9.7109375" style="108" customWidth="1"/>
    <col min="9220" max="9220" width="12.42578125" style="108" customWidth="1"/>
    <col min="9221" max="9222" width="9.42578125" style="108" customWidth="1"/>
    <col min="9223" max="9468" width="9.140625" style="108"/>
    <col min="9469" max="9469" width="16.140625" style="108" customWidth="1"/>
    <col min="9470" max="9470" width="9.42578125" style="108" customWidth="1"/>
    <col min="9471" max="9472" width="9.140625" style="108"/>
    <col min="9473" max="9474" width="9.85546875" style="108" customWidth="1"/>
    <col min="9475" max="9475" width="9.7109375" style="108" customWidth="1"/>
    <col min="9476" max="9476" width="12.42578125" style="108" customWidth="1"/>
    <col min="9477" max="9478" width="9.42578125" style="108" customWidth="1"/>
    <col min="9479" max="9724" width="9.140625" style="108"/>
    <col min="9725" max="9725" width="16.140625" style="108" customWidth="1"/>
    <col min="9726" max="9726" width="9.42578125" style="108" customWidth="1"/>
    <col min="9727" max="9728" width="9.140625" style="108"/>
    <col min="9729" max="9730" width="9.85546875" style="108" customWidth="1"/>
    <col min="9731" max="9731" width="9.7109375" style="108" customWidth="1"/>
    <col min="9732" max="9732" width="12.42578125" style="108" customWidth="1"/>
    <col min="9733" max="9734" width="9.42578125" style="108" customWidth="1"/>
    <col min="9735" max="9980" width="9.140625" style="108"/>
    <col min="9981" max="9981" width="16.140625" style="108" customWidth="1"/>
    <col min="9982" max="9982" width="9.42578125" style="108" customWidth="1"/>
    <col min="9983" max="9984" width="9.140625" style="108"/>
    <col min="9985" max="9986" width="9.85546875" style="108" customWidth="1"/>
    <col min="9987" max="9987" width="9.7109375" style="108" customWidth="1"/>
    <col min="9988" max="9988" width="12.42578125" style="108" customWidth="1"/>
    <col min="9989" max="9990" width="9.42578125" style="108" customWidth="1"/>
    <col min="9991" max="10236" width="9.140625" style="108"/>
    <col min="10237" max="10237" width="16.140625" style="108" customWidth="1"/>
    <col min="10238" max="10238" width="9.42578125" style="108" customWidth="1"/>
    <col min="10239" max="10240" width="9.140625" style="108"/>
    <col min="10241" max="10242" width="9.85546875" style="108" customWidth="1"/>
    <col min="10243" max="10243" width="9.7109375" style="108" customWidth="1"/>
    <col min="10244" max="10244" width="12.42578125" style="108" customWidth="1"/>
    <col min="10245" max="10246" width="9.42578125" style="108" customWidth="1"/>
    <col min="10247" max="10492" width="9.140625" style="108"/>
    <col min="10493" max="10493" width="16.140625" style="108" customWidth="1"/>
    <col min="10494" max="10494" width="9.42578125" style="108" customWidth="1"/>
    <col min="10495" max="10496" width="9.140625" style="108"/>
    <col min="10497" max="10498" width="9.85546875" style="108" customWidth="1"/>
    <col min="10499" max="10499" width="9.7109375" style="108" customWidth="1"/>
    <col min="10500" max="10500" width="12.42578125" style="108" customWidth="1"/>
    <col min="10501" max="10502" width="9.42578125" style="108" customWidth="1"/>
    <col min="10503" max="10748" width="9.140625" style="108"/>
    <col min="10749" max="10749" width="16.140625" style="108" customWidth="1"/>
    <col min="10750" max="10750" width="9.42578125" style="108" customWidth="1"/>
    <col min="10751" max="10752" width="9.140625" style="108"/>
    <col min="10753" max="10754" width="9.85546875" style="108" customWidth="1"/>
    <col min="10755" max="10755" width="9.7109375" style="108" customWidth="1"/>
    <col min="10756" max="10756" width="12.42578125" style="108" customWidth="1"/>
    <col min="10757" max="10758" width="9.42578125" style="108" customWidth="1"/>
    <col min="10759" max="11004" width="9.140625" style="108"/>
    <col min="11005" max="11005" width="16.140625" style="108" customWidth="1"/>
    <col min="11006" max="11006" width="9.42578125" style="108" customWidth="1"/>
    <col min="11007" max="11008" width="9.140625" style="108"/>
    <col min="11009" max="11010" width="9.85546875" style="108" customWidth="1"/>
    <col min="11011" max="11011" width="9.7109375" style="108" customWidth="1"/>
    <col min="11012" max="11012" width="12.42578125" style="108" customWidth="1"/>
    <col min="11013" max="11014" width="9.42578125" style="108" customWidth="1"/>
    <col min="11015" max="11260" width="9.140625" style="108"/>
    <col min="11261" max="11261" width="16.140625" style="108" customWidth="1"/>
    <col min="11262" max="11262" width="9.42578125" style="108" customWidth="1"/>
    <col min="11263" max="11264" width="9.140625" style="108"/>
    <col min="11265" max="11266" width="9.85546875" style="108" customWidth="1"/>
    <col min="11267" max="11267" width="9.7109375" style="108" customWidth="1"/>
    <col min="11268" max="11268" width="12.42578125" style="108" customWidth="1"/>
    <col min="11269" max="11270" width="9.42578125" style="108" customWidth="1"/>
    <col min="11271" max="11516" width="9.140625" style="108"/>
    <col min="11517" max="11517" width="16.140625" style="108" customWidth="1"/>
    <col min="11518" max="11518" width="9.42578125" style="108" customWidth="1"/>
    <col min="11519" max="11520" width="9.140625" style="108"/>
    <col min="11521" max="11522" width="9.85546875" style="108" customWidth="1"/>
    <col min="11523" max="11523" width="9.7109375" style="108" customWidth="1"/>
    <col min="11524" max="11524" width="12.42578125" style="108" customWidth="1"/>
    <col min="11525" max="11526" width="9.42578125" style="108" customWidth="1"/>
    <col min="11527" max="11772" width="9.140625" style="108"/>
    <col min="11773" max="11773" width="16.140625" style="108" customWidth="1"/>
    <col min="11774" max="11774" width="9.42578125" style="108" customWidth="1"/>
    <col min="11775" max="11776" width="9.140625" style="108"/>
    <col min="11777" max="11778" width="9.85546875" style="108" customWidth="1"/>
    <col min="11779" max="11779" width="9.7109375" style="108" customWidth="1"/>
    <col min="11780" max="11780" width="12.42578125" style="108" customWidth="1"/>
    <col min="11781" max="11782" width="9.42578125" style="108" customWidth="1"/>
    <col min="11783" max="12028" width="9.140625" style="108"/>
    <col min="12029" max="12029" width="16.140625" style="108" customWidth="1"/>
    <col min="12030" max="12030" width="9.42578125" style="108" customWidth="1"/>
    <col min="12031" max="12032" width="9.140625" style="108"/>
    <col min="12033" max="12034" width="9.85546875" style="108" customWidth="1"/>
    <col min="12035" max="12035" width="9.7109375" style="108" customWidth="1"/>
    <col min="12036" max="12036" width="12.42578125" style="108" customWidth="1"/>
    <col min="12037" max="12038" width="9.42578125" style="108" customWidth="1"/>
    <col min="12039" max="12284" width="9.140625" style="108"/>
    <col min="12285" max="12285" width="16.140625" style="108" customWidth="1"/>
    <col min="12286" max="12286" width="9.42578125" style="108" customWidth="1"/>
    <col min="12287" max="12288" width="9.140625" style="108"/>
    <col min="12289" max="12290" width="9.85546875" style="108" customWidth="1"/>
    <col min="12291" max="12291" width="9.7109375" style="108" customWidth="1"/>
    <col min="12292" max="12292" width="12.42578125" style="108" customWidth="1"/>
    <col min="12293" max="12294" width="9.42578125" style="108" customWidth="1"/>
    <col min="12295" max="12540" width="9.140625" style="108"/>
    <col min="12541" max="12541" width="16.140625" style="108" customWidth="1"/>
    <col min="12542" max="12542" width="9.42578125" style="108" customWidth="1"/>
    <col min="12543" max="12544" width="9.140625" style="108"/>
    <col min="12545" max="12546" width="9.85546875" style="108" customWidth="1"/>
    <col min="12547" max="12547" width="9.7109375" style="108" customWidth="1"/>
    <col min="12548" max="12548" width="12.42578125" style="108" customWidth="1"/>
    <col min="12549" max="12550" width="9.42578125" style="108" customWidth="1"/>
    <col min="12551" max="12796" width="9.140625" style="108"/>
    <col min="12797" max="12797" width="16.140625" style="108" customWidth="1"/>
    <col min="12798" max="12798" width="9.42578125" style="108" customWidth="1"/>
    <col min="12799" max="12800" width="9.140625" style="108"/>
    <col min="12801" max="12802" width="9.85546875" style="108" customWidth="1"/>
    <col min="12803" max="12803" width="9.7109375" style="108" customWidth="1"/>
    <col min="12804" max="12804" width="12.42578125" style="108" customWidth="1"/>
    <col min="12805" max="12806" width="9.42578125" style="108" customWidth="1"/>
    <col min="12807" max="13052" width="9.140625" style="108"/>
    <col min="13053" max="13053" width="16.140625" style="108" customWidth="1"/>
    <col min="13054" max="13054" width="9.42578125" style="108" customWidth="1"/>
    <col min="13055" max="13056" width="9.140625" style="108"/>
    <col min="13057" max="13058" width="9.85546875" style="108" customWidth="1"/>
    <col min="13059" max="13059" width="9.7109375" style="108" customWidth="1"/>
    <col min="13060" max="13060" width="12.42578125" style="108" customWidth="1"/>
    <col min="13061" max="13062" width="9.42578125" style="108" customWidth="1"/>
    <col min="13063" max="13308" width="9.140625" style="108"/>
    <col min="13309" max="13309" width="16.140625" style="108" customWidth="1"/>
    <col min="13310" max="13310" width="9.42578125" style="108" customWidth="1"/>
    <col min="13311" max="13312" width="9.140625" style="108"/>
    <col min="13313" max="13314" width="9.85546875" style="108" customWidth="1"/>
    <col min="13315" max="13315" width="9.7109375" style="108" customWidth="1"/>
    <col min="13316" max="13316" width="12.42578125" style="108" customWidth="1"/>
    <col min="13317" max="13318" width="9.42578125" style="108" customWidth="1"/>
    <col min="13319" max="13564" width="9.140625" style="108"/>
    <col min="13565" max="13565" width="16.140625" style="108" customWidth="1"/>
    <col min="13566" max="13566" width="9.42578125" style="108" customWidth="1"/>
    <col min="13567" max="13568" width="9.140625" style="108"/>
    <col min="13569" max="13570" width="9.85546875" style="108" customWidth="1"/>
    <col min="13571" max="13571" width="9.7109375" style="108" customWidth="1"/>
    <col min="13572" max="13572" width="12.42578125" style="108" customWidth="1"/>
    <col min="13573" max="13574" width="9.42578125" style="108" customWidth="1"/>
    <col min="13575" max="13820" width="9.140625" style="108"/>
    <col min="13821" max="13821" width="16.140625" style="108" customWidth="1"/>
    <col min="13822" max="13822" width="9.42578125" style="108" customWidth="1"/>
    <col min="13823" max="13824" width="9.140625" style="108"/>
    <col min="13825" max="13826" width="9.85546875" style="108" customWidth="1"/>
    <col min="13827" max="13827" width="9.7109375" style="108" customWidth="1"/>
    <col min="13828" max="13828" width="12.42578125" style="108" customWidth="1"/>
    <col min="13829" max="13830" width="9.42578125" style="108" customWidth="1"/>
    <col min="13831" max="14076" width="9.140625" style="108"/>
    <col min="14077" max="14077" width="16.140625" style="108" customWidth="1"/>
    <col min="14078" max="14078" width="9.42578125" style="108" customWidth="1"/>
    <col min="14079" max="14080" width="9.140625" style="108"/>
    <col min="14081" max="14082" width="9.85546875" style="108" customWidth="1"/>
    <col min="14083" max="14083" width="9.7109375" style="108" customWidth="1"/>
    <col min="14084" max="14084" width="12.42578125" style="108" customWidth="1"/>
    <col min="14085" max="14086" width="9.42578125" style="108" customWidth="1"/>
    <col min="14087" max="14332" width="9.140625" style="108"/>
    <col min="14333" max="14333" width="16.140625" style="108" customWidth="1"/>
    <col min="14334" max="14334" width="9.42578125" style="108" customWidth="1"/>
    <col min="14335" max="14336" width="9.140625" style="108"/>
    <col min="14337" max="14338" width="9.85546875" style="108" customWidth="1"/>
    <col min="14339" max="14339" width="9.7109375" style="108" customWidth="1"/>
    <col min="14340" max="14340" width="12.42578125" style="108" customWidth="1"/>
    <col min="14341" max="14342" width="9.42578125" style="108" customWidth="1"/>
    <col min="14343" max="14588" width="9.140625" style="108"/>
    <col min="14589" max="14589" width="16.140625" style="108" customWidth="1"/>
    <col min="14590" max="14590" width="9.42578125" style="108" customWidth="1"/>
    <col min="14591" max="14592" width="9.140625" style="108"/>
    <col min="14593" max="14594" width="9.85546875" style="108" customWidth="1"/>
    <col min="14595" max="14595" width="9.7109375" style="108" customWidth="1"/>
    <col min="14596" max="14596" width="12.42578125" style="108" customWidth="1"/>
    <col min="14597" max="14598" width="9.42578125" style="108" customWidth="1"/>
    <col min="14599" max="14844" width="9.140625" style="108"/>
    <col min="14845" max="14845" width="16.140625" style="108" customWidth="1"/>
    <col min="14846" max="14846" width="9.42578125" style="108" customWidth="1"/>
    <col min="14847" max="14848" width="9.140625" style="108"/>
    <col min="14849" max="14850" width="9.85546875" style="108" customWidth="1"/>
    <col min="14851" max="14851" width="9.7109375" style="108" customWidth="1"/>
    <col min="14852" max="14852" width="12.42578125" style="108" customWidth="1"/>
    <col min="14853" max="14854" width="9.42578125" style="108" customWidth="1"/>
    <col min="14855" max="15100" width="9.140625" style="108"/>
    <col min="15101" max="15101" width="16.140625" style="108" customWidth="1"/>
    <col min="15102" max="15102" width="9.42578125" style="108" customWidth="1"/>
    <col min="15103" max="15104" width="9.140625" style="108"/>
    <col min="15105" max="15106" width="9.85546875" style="108" customWidth="1"/>
    <col min="15107" max="15107" width="9.7109375" style="108" customWidth="1"/>
    <col min="15108" max="15108" width="12.42578125" style="108" customWidth="1"/>
    <col min="15109" max="15110" width="9.42578125" style="108" customWidth="1"/>
    <col min="15111" max="15356" width="9.140625" style="108"/>
    <col min="15357" max="15357" width="16.140625" style="108" customWidth="1"/>
    <col min="15358" max="15358" width="9.42578125" style="108" customWidth="1"/>
    <col min="15359" max="15360" width="9.140625" style="108"/>
    <col min="15361" max="15362" width="9.85546875" style="108" customWidth="1"/>
    <col min="15363" max="15363" width="9.7109375" style="108" customWidth="1"/>
    <col min="15364" max="15364" width="12.42578125" style="108" customWidth="1"/>
    <col min="15365" max="15366" width="9.42578125" style="108" customWidth="1"/>
    <col min="15367" max="15612" width="9.140625" style="108"/>
    <col min="15613" max="15613" width="16.140625" style="108" customWidth="1"/>
    <col min="15614" max="15614" width="9.42578125" style="108" customWidth="1"/>
    <col min="15615" max="15616" width="9.140625" style="108"/>
    <col min="15617" max="15618" width="9.85546875" style="108" customWidth="1"/>
    <col min="15619" max="15619" width="9.7109375" style="108" customWidth="1"/>
    <col min="15620" max="15620" width="12.42578125" style="108" customWidth="1"/>
    <col min="15621" max="15622" width="9.42578125" style="108" customWidth="1"/>
    <col min="15623" max="15868" width="9.140625" style="108"/>
    <col min="15869" max="15869" width="16.140625" style="108" customWidth="1"/>
    <col min="15870" max="15870" width="9.42578125" style="108" customWidth="1"/>
    <col min="15871" max="15872" width="9.140625" style="108"/>
    <col min="15873" max="15874" width="9.85546875" style="108" customWidth="1"/>
    <col min="15875" max="15875" width="9.7109375" style="108" customWidth="1"/>
    <col min="15876" max="15876" width="12.42578125" style="108" customWidth="1"/>
    <col min="15877" max="15878" width="9.42578125" style="108" customWidth="1"/>
    <col min="15879" max="16124" width="9.140625" style="108"/>
    <col min="16125" max="16125" width="16.140625" style="108" customWidth="1"/>
    <col min="16126" max="16126" width="9.42578125" style="108" customWidth="1"/>
    <col min="16127" max="16128" width="9.140625" style="108"/>
    <col min="16129" max="16130" width="9.85546875" style="108" customWidth="1"/>
    <col min="16131" max="16131" width="9.7109375" style="108" customWidth="1"/>
    <col min="16132" max="16132" width="12.42578125" style="108" customWidth="1"/>
    <col min="16133" max="16134" width="9.42578125" style="108" customWidth="1"/>
    <col min="16135" max="16384" width="9.140625" style="108"/>
  </cols>
  <sheetData>
    <row r="3" spans="1:26">
      <c r="A3" s="153" t="s">
        <v>32</v>
      </c>
    </row>
    <row r="4" spans="1:26">
      <c r="B4" s="108">
        <v>1</v>
      </c>
      <c r="C4" s="108">
        <v>2</v>
      </c>
      <c r="D4" s="108">
        <v>3</v>
      </c>
      <c r="E4" s="108">
        <v>4</v>
      </c>
      <c r="F4" s="108">
        <v>5</v>
      </c>
      <c r="G4" s="108">
        <v>6</v>
      </c>
      <c r="H4" s="108">
        <v>7</v>
      </c>
      <c r="I4" s="108">
        <v>8</v>
      </c>
      <c r="J4" s="108">
        <v>9</v>
      </c>
      <c r="K4" s="108">
        <v>10</v>
      </c>
      <c r="L4" s="108">
        <v>11</v>
      </c>
      <c r="M4" s="108">
        <v>12</v>
      </c>
    </row>
    <row r="5" spans="1:26">
      <c r="L5" s="108">
        <v>2</v>
      </c>
    </row>
    <row r="6" spans="1:26" ht="56.45" customHeight="1">
      <c r="B6" s="196"/>
      <c r="C6" s="197" t="s">
        <v>343</v>
      </c>
      <c r="D6" s="197" t="s">
        <v>344</v>
      </c>
      <c r="E6" s="197" t="s">
        <v>345</v>
      </c>
      <c r="F6" s="196"/>
      <c r="G6" s="198" t="s">
        <v>346</v>
      </c>
      <c r="H6" s="198" t="s">
        <v>347</v>
      </c>
      <c r="I6" s="199" t="s">
        <v>348</v>
      </c>
      <c r="J6" s="197" t="s">
        <v>349</v>
      </c>
      <c r="K6" s="197" t="s">
        <v>350</v>
      </c>
      <c r="L6" s="198" t="s">
        <v>351</v>
      </c>
      <c r="M6" s="197" t="s">
        <v>352</v>
      </c>
      <c r="N6" s="196"/>
      <c r="S6" s="166"/>
    </row>
    <row r="7" spans="1:26" ht="67.5" customHeight="1">
      <c r="B7" s="154" t="s">
        <v>180</v>
      </c>
      <c r="C7" s="154" t="s">
        <v>353</v>
      </c>
      <c r="D7" s="154" t="s">
        <v>354</v>
      </c>
      <c r="E7" s="154" t="s">
        <v>355</v>
      </c>
      <c r="F7" s="154" t="s">
        <v>356</v>
      </c>
      <c r="G7" s="154" t="s">
        <v>357</v>
      </c>
      <c r="H7" s="154" t="s">
        <v>358</v>
      </c>
      <c r="I7" s="154" t="s">
        <v>359</v>
      </c>
      <c r="J7" s="154" t="s">
        <v>360</v>
      </c>
      <c r="K7" s="154" t="s">
        <v>361</v>
      </c>
      <c r="L7" s="154" t="s">
        <v>362</v>
      </c>
      <c r="M7" s="154" t="s">
        <v>352</v>
      </c>
      <c r="N7" s="154" t="s">
        <v>363</v>
      </c>
      <c r="S7" s="166"/>
    </row>
    <row r="8" spans="1:26" ht="15.75">
      <c r="B8" s="155" t="s">
        <v>148</v>
      </c>
      <c r="C8" s="156">
        <v>7.08</v>
      </c>
      <c r="D8" s="156">
        <v>5.18</v>
      </c>
      <c r="E8" s="156">
        <v>6.08</v>
      </c>
      <c r="F8" s="157">
        <f t="shared" ref="F8:F25" si="0">0.06/0.325</f>
        <v>0.1846153846153846</v>
      </c>
      <c r="G8" s="158">
        <f t="shared" ref="G8:I25" si="1">$F$8*C8</f>
        <v>1.307076923076923</v>
      </c>
      <c r="H8" s="158">
        <f t="shared" si="1"/>
        <v>0.95630769230769219</v>
      </c>
      <c r="I8" s="158">
        <f t="shared" si="1"/>
        <v>1.1224615384615384</v>
      </c>
      <c r="J8" s="159">
        <v>2</v>
      </c>
      <c r="K8" s="158">
        <v>0.27</v>
      </c>
      <c r="L8" s="160">
        <f t="shared" ref="L8:L25" si="2">N8*K8</f>
        <v>3.9750000000000001E-2</v>
      </c>
      <c r="M8" s="161">
        <v>0.45</v>
      </c>
      <c r="N8" s="157">
        <f t="shared" ref="N8:N25" si="3">5.3%/0.36</f>
        <v>0.14722222222222223</v>
      </c>
      <c r="S8" s="166"/>
    </row>
    <row r="9" spans="1:26" ht="15.75">
      <c r="A9" s="159">
        <f>C61</f>
        <v>15.98362928524149</v>
      </c>
      <c r="B9" s="155" t="s">
        <v>149</v>
      </c>
      <c r="C9" s="156">
        <v>6.08</v>
      </c>
      <c r="D9" s="156">
        <v>4.18</v>
      </c>
      <c r="E9" s="156">
        <v>5.08</v>
      </c>
      <c r="F9" s="157">
        <f t="shared" si="0"/>
        <v>0.1846153846153846</v>
      </c>
      <c r="G9" s="158">
        <f t="shared" si="1"/>
        <v>1.1224615384615384</v>
      </c>
      <c r="H9" s="158">
        <f t="shared" si="1"/>
        <v>0.77169230769230757</v>
      </c>
      <c r="I9" s="158">
        <f t="shared" si="1"/>
        <v>0.93784615384615377</v>
      </c>
      <c r="J9" s="159">
        <v>2</v>
      </c>
      <c r="K9" s="158">
        <v>0.27</v>
      </c>
      <c r="L9" s="160">
        <f t="shared" si="2"/>
        <v>3.9750000000000001E-2</v>
      </c>
      <c r="M9" s="161">
        <v>0.45</v>
      </c>
      <c r="N9" s="157">
        <f t="shared" si="3"/>
        <v>0.14722222222222223</v>
      </c>
      <c r="O9" s="284">
        <f>D61</f>
        <v>1.1252475016810009</v>
      </c>
      <c r="P9" s="157">
        <f>O9/C9</f>
        <v>0.18507360225016461</v>
      </c>
      <c r="S9" s="166"/>
    </row>
    <row r="10" spans="1:26" ht="15.75">
      <c r="B10" s="155" t="s">
        <v>150</v>
      </c>
      <c r="C10" s="156">
        <v>5.2799999999999994</v>
      </c>
      <c r="D10" s="156">
        <v>3.38</v>
      </c>
      <c r="E10" s="156">
        <v>4.2799999999999994</v>
      </c>
      <c r="F10" s="157">
        <f t="shared" si="0"/>
        <v>0.1846153846153846</v>
      </c>
      <c r="G10" s="158">
        <f t="shared" si="1"/>
        <v>0.97476923076923061</v>
      </c>
      <c r="H10" s="158">
        <f t="shared" si="1"/>
        <v>0.62399999999999989</v>
      </c>
      <c r="I10" s="158">
        <f t="shared" si="1"/>
        <v>0.79015384615384598</v>
      </c>
      <c r="J10" s="159">
        <v>2</v>
      </c>
      <c r="K10" s="158">
        <v>0.27</v>
      </c>
      <c r="L10" s="160">
        <f t="shared" si="2"/>
        <v>3.9750000000000001E-2</v>
      </c>
      <c r="M10" s="161">
        <v>1</v>
      </c>
      <c r="N10" s="157">
        <f t="shared" si="3"/>
        <v>0.14722222222222223</v>
      </c>
      <c r="P10" s="157"/>
      <c r="S10" s="166"/>
    </row>
    <row r="11" spans="1:26" ht="15.75">
      <c r="B11" s="155" t="s">
        <v>261</v>
      </c>
      <c r="C11" s="156">
        <v>6.08</v>
      </c>
      <c r="D11" s="156">
        <v>4.18</v>
      </c>
      <c r="E11" s="156">
        <v>5.08</v>
      </c>
      <c r="F11" s="157">
        <f t="shared" si="0"/>
        <v>0.1846153846153846</v>
      </c>
      <c r="G11" s="158">
        <f t="shared" si="1"/>
        <v>1.1224615384615384</v>
      </c>
      <c r="H11" s="158">
        <f t="shared" si="1"/>
        <v>0.77169230769230757</v>
      </c>
      <c r="I11" s="158">
        <f t="shared" si="1"/>
        <v>0.93784615384615377</v>
      </c>
      <c r="J11" s="159">
        <v>2</v>
      </c>
      <c r="K11" s="158">
        <v>0.28999999999999998</v>
      </c>
      <c r="L11" s="160">
        <f t="shared" si="2"/>
        <v>4.2694444444444445E-2</v>
      </c>
      <c r="M11" s="161">
        <v>0.45</v>
      </c>
      <c r="N11" s="157">
        <f t="shared" si="3"/>
        <v>0.14722222222222223</v>
      </c>
      <c r="P11" s="157"/>
      <c r="S11" s="166"/>
    </row>
    <row r="12" spans="1:26" ht="15.75">
      <c r="B12" s="155" t="s">
        <v>262</v>
      </c>
      <c r="C12" s="156">
        <v>6.7</v>
      </c>
      <c r="D12" s="156">
        <v>4.5999999999999996</v>
      </c>
      <c r="E12" s="156">
        <v>5.6</v>
      </c>
      <c r="F12" s="157">
        <f t="shared" si="0"/>
        <v>0.1846153846153846</v>
      </c>
      <c r="G12" s="158">
        <f t="shared" si="1"/>
        <v>1.2369230769230768</v>
      </c>
      <c r="H12" s="158">
        <f t="shared" si="1"/>
        <v>0.84923076923076912</v>
      </c>
      <c r="I12" s="158">
        <f t="shared" si="1"/>
        <v>1.0338461538461536</v>
      </c>
      <c r="J12" s="159">
        <v>2.2000000000000002</v>
      </c>
      <c r="K12" s="158">
        <v>0.28999999999999998</v>
      </c>
      <c r="L12" s="160">
        <f t="shared" si="2"/>
        <v>4.2694444444444445E-2</v>
      </c>
      <c r="M12" s="161">
        <v>1</v>
      </c>
      <c r="N12" s="157">
        <f t="shared" si="3"/>
        <v>0.14722222222222223</v>
      </c>
      <c r="O12" s="284">
        <f>D63</f>
        <v>0.89848235849760616</v>
      </c>
      <c r="P12" s="157">
        <f t="shared" ref="P12:P25" si="4">O12/C12</f>
        <v>0.13410184455188151</v>
      </c>
      <c r="S12" s="166"/>
    </row>
    <row r="13" spans="1:26" ht="15.75">
      <c r="B13" s="155" t="s">
        <v>263</v>
      </c>
      <c r="C13" s="156">
        <v>9.3000000000000007</v>
      </c>
      <c r="D13" s="156">
        <v>6.4</v>
      </c>
      <c r="E13" s="156">
        <v>7.8</v>
      </c>
      <c r="F13" s="157">
        <f t="shared" si="0"/>
        <v>0.1846153846153846</v>
      </c>
      <c r="G13" s="158">
        <f t="shared" si="1"/>
        <v>1.716923076923077</v>
      </c>
      <c r="H13" s="158">
        <f t="shared" si="1"/>
        <v>1.1815384615384614</v>
      </c>
      <c r="I13" s="158">
        <f t="shared" si="1"/>
        <v>1.4399999999999997</v>
      </c>
      <c r="J13" s="159">
        <v>3</v>
      </c>
      <c r="K13" s="158">
        <v>0.28999999999999998</v>
      </c>
      <c r="L13" s="160">
        <f t="shared" si="2"/>
        <v>4.2694444444444445E-2</v>
      </c>
      <c r="M13" s="161">
        <v>1</v>
      </c>
      <c r="N13" s="157">
        <f t="shared" si="3"/>
        <v>0.14722222222222223</v>
      </c>
      <c r="P13" s="157"/>
      <c r="S13" s="166"/>
    </row>
    <row r="14" spans="1:26" ht="15.75">
      <c r="B14" s="155" t="s">
        <v>264</v>
      </c>
      <c r="C14" s="156">
        <v>9.6</v>
      </c>
      <c r="D14" s="156">
        <v>6.6999999999999993</v>
      </c>
      <c r="E14" s="156">
        <v>8.1</v>
      </c>
      <c r="F14" s="157">
        <f t="shared" si="0"/>
        <v>0.1846153846153846</v>
      </c>
      <c r="G14" s="158">
        <f t="shared" si="1"/>
        <v>1.7723076923076921</v>
      </c>
      <c r="H14" s="158">
        <f t="shared" si="1"/>
        <v>1.2369230769230766</v>
      </c>
      <c r="I14" s="158">
        <f t="shared" si="1"/>
        <v>1.4953846153846151</v>
      </c>
      <c r="J14" s="159">
        <v>3</v>
      </c>
      <c r="K14" s="158">
        <v>0.28999999999999998</v>
      </c>
      <c r="L14" s="160">
        <f t="shared" si="2"/>
        <v>4.2694444444444445E-2</v>
      </c>
      <c r="M14" s="161">
        <v>0.45</v>
      </c>
      <c r="N14" s="157">
        <f t="shared" si="3"/>
        <v>0.14722222222222223</v>
      </c>
      <c r="P14" s="157"/>
      <c r="S14" s="166"/>
    </row>
    <row r="15" spans="1:26" ht="15.75">
      <c r="B15" s="155" t="s">
        <v>153</v>
      </c>
      <c r="C15" s="156">
        <v>6</v>
      </c>
      <c r="D15" s="156">
        <v>3.0999999999999996</v>
      </c>
      <c r="E15" s="156">
        <v>4.5</v>
      </c>
      <c r="F15" s="157">
        <f t="shared" si="0"/>
        <v>0.1846153846153846</v>
      </c>
      <c r="G15" s="158">
        <f t="shared" si="1"/>
        <v>1.1076923076923075</v>
      </c>
      <c r="H15" s="158">
        <f t="shared" si="1"/>
        <v>0.57230769230769218</v>
      </c>
      <c r="I15" s="158">
        <f t="shared" si="1"/>
        <v>0.8307692307692307</v>
      </c>
      <c r="J15" s="159">
        <v>3</v>
      </c>
      <c r="K15" s="158">
        <v>0.28999999999999998</v>
      </c>
      <c r="L15" s="160">
        <f t="shared" si="2"/>
        <v>4.2694444444444445E-2</v>
      </c>
      <c r="M15" s="161">
        <v>0.5</v>
      </c>
      <c r="N15" s="157">
        <f t="shared" si="3"/>
        <v>0.14722222222222223</v>
      </c>
      <c r="O15" s="284">
        <f>D64</f>
        <v>0.67449662318915882</v>
      </c>
      <c r="P15" s="157">
        <f t="shared" si="4"/>
        <v>0.1124161038648598</v>
      </c>
      <c r="S15" s="166"/>
    </row>
    <row r="16" spans="1:26">
      <c r="B16" s="155" t="s">
        <v>155</v>
      </c>
      <c r="C16" s="156">
        <v>9</v>
      </c>
      <c r="D16" s="156">
        <v>5.0999999999999996</v>
      </c>
      <c r="E16" s="156">
        <v>7</v>
      </c>
      <c r="F16" s="157">
        <f t="shared" si="0"/>
        <v>0.1846153846153846</v>
      </c>
      <c r="G16" s="158">
        <f t="shared" si="1"/>
        <v>1.6615384615384614</v>
      </c>
      <c r="H16" s="158">
        <f t="shared" si="1"/>
        <v>0.94153846153846144</v>
      </c>
      <c r="I16" s="158">
        <f t="shared" si="1"/>
        <v>1.2923076923076922</v>
      </c>
      <c r="J16" s="159">
        <v>4</v>
      </c>
      <c r="K16" s="158">
        <v>0.28999999999999998</v>
      </c>
      <c r="L16" s="160">
        <f t="shared" si="2"/>
        <v>4.2694444444444445E-2</v>
      </c>
      <c r="M16" s="161">
        <v>0.5</v>
      </c>
      <c r="N16" s="157">
        <f t="shared" si="3"/>
        <v>0.14722222222222223</v>
      </c>
      <c r="P16" s="157"/>
      <c r="T16" s="108" t="s">
        <v>365</v>
      </c>
      <c r="V16" s="108" t="s">
        <v>366</v>
      </c>
      <c r="X16" s="108" t="s">
        <v>367</v>
      </c>
      <c r="Z16" s="108" t="s">
        <v>0</v>
      </c>
    </row>
    <row r="17" spans="1:30">
      <c r="B17" s="155" t="s">
        <v>10</v>
      </c>
      <c r="C17" s="156">
        <v>3</v>
      </c>
      <c r="D17" s="156">
        <v>1.1000000000000001</v>
      </c>
      <c r="E17" s="156">
        <v>2</v>
      </c>
      <c r="F17" s="157">
        <f t="shared" si="0"/>
        <v>0.1846153846153846</v>
      </c>
      <c r="G17" s="158">
        <f t="shared" si="1"/>
        <v>0.55384615384615377</v>
      </c>
      <c r="H17" s="158">
        <f t="shared" si="1"/>
        <v>0.20307692307692307</v>
      </c>
      <c r="I17" s="158">
        <f t="shared" si="1"/>
        <v>0.3692307692307692</v>
      </c>
      <c r="J17" s="159">
        <v>2</v>
      </c>
      <c r="K17" s="158">
        <v>0.17</v>
      </c>
      <c r="L17" s="160">
        <f t="shared" si="2"/>
        <v>2.5027777777777781E-2</v>
      </c>
      <c r="M17" s="161">
        <v>0.2</v>
      </c>
      <c r="N17" s="157">
        <f t="shared" si="3"/>
        <v>0.14722222222222223</v>
      </c>
      <c r="O17" s="284">
        <f>D65</f>
        <v>0.42588613616683579</v>
      </c>
      <c r="P17" s="157">
        <f t="shared" si="4"/>
        <v>0.14196204538894527</v>
      </c>
      <c r="Q17" s="108" t="s">
        <v>368</v>
      </c>
      <c r="R17" s="108" t="s">
        <v>369</v>
      </c>
      <c r="S17" s="108" t="s">
        <v>370</v>
      </c>
      <c r="T17" s="146" t="s">
        <v>371</v>
      </c>
      <c r="U17" s="146" t="s">
        <v>372</v>
      </c>
      <c r="V17" s="108" t="s">
        <v>373</v>
      </c>
      <c r="W17" s="146" t="s">
        <v>374</v>
      </c>
      <c r="X17" s="108" t="s">
        <v>373</v>
      </c>
      <c r="Y17" s="146" t="s">
        <v>375</v>
      </c>
      <c r="Z17" s="146" t="s">
        <v>198</v>
      </c>
      <c r="AA17" s="108" t="s">
        <v>376</v>
      </c>
      <c r="AB17" s="108" t="s">
        <v>377</v>
      </c>
      <c r="AC17" s="108" t="s">
        <v>378</v>
      </c>
      <c r="AD17" s="108" t="s">
        <v>379</v>
      </c>
    </row>
    <row r="18" spans="1:30">
      <c r="B18" s="155" t="s">
        <v>158</v>
      </c>
      <c r="C18" s="156">
        <v>12.5</v>
      </c>
      <c r="D18" s="156">
        <v>7.6</v>
      </c>
      <c r="E18" s="156">
        <v>10</v>
      </c>
      <c r="F18" s="157">
        <f t="shared" si="0"/>
        <v>0.1846153846153846</v>
      </c>
      <c r="G18" s="158">
        <f t="shared" si="1"/>
        <v>2.3076923076923075</v>
      </c>
      <c r="H18" s="158">
        <f t="shared" si="1"/>
        <v>1.4030769230769229</v>
      </c>
      <c r="I18" s="158">
        <f t="shared" si="1"/>
        <v>1.846153846153846</v>
      </c>
      <c r="J18" s="159">
        <v>5</v>
      </c>
      <c r="K18" s="158">
        <v>0.5</v>
      </c>
      <c r="L18" s="160">
        <f t="shared" si="2"/>
        <v>7.3611111111111113E-2</v>
      </c>
      <c r="M18" s="161">
        <v>0.6</v>
      </c>
      <c r="N18" s="157">
        <f t="shared" si="3"/>
        <v>0.14722222222222223</v>
      </c>
      <c r="O18" s="284">
        <f>D59</f>
        <v>4.0108148688649008</v>
      </c>
      <c r="P18" s="157">
        <f t="shared" si="4"/>
        <v>0.32086518950919207</v>
      </c>
      <c r="Q18" s="108" t="s">
        <v>380</v>
      </c>
      <c r="R18" s="108" t="s">
        <v>194</v>
      </c>
      <c r="S18" s="108">
        <v>13</v>
      </c>
      <c r="T18" s="108">
        <v>0.87</v>
      </c>
      <c r="V18" s="108">
        <v>3.3</v>
      </c>
      <c r="Z18" s="108">
        <v>1.1100000000000001</v>
      </c>
      <c r="AA18" s="108" t="s">
        <v>381</v>
      </c>
      <c r="AB18" s="108" t="s">
        <v>382</v>
      </c>
    </row>
    <row r="19" spans="1:30">
      <c r="B19" s="155" t="s">
        <v>265</v>
      </c>
      <c r="C19" s="156">
        <v>14</v>
      </c>
      <c r="D19" s="156">
        <v>10.1</v>
      </c>
      <c r="E19" s="156">
        <v>12</v>
      </c>
      <c r="F19" s="157">
        <f t="shared" si="0"/>
        <v>0.1846153846153846</v>
      </c>
      <c r="G19" s="158">
        <f t="shared" si="1"/>
        <v>2.5846153846153843</v>
      </c>
      <c r="H19" s="158">
        <f t="shared" si="1"/>
        <v>1.8646153846153843</v>
      </c>
      <c r="I19" s="158">
        <f t="shared" si="1"/>
        <v>2.2153846153846151</v>
      </c>
      <c r="J19" s="159">
        <v>4</v>
      </c>
      <c r="K19" s="158">
        <v>0.5</v>
      </c>
      <c r="L19" s="160">
        <f t="shared" si="2"/>
        <v>7.3611111111111113E-2</v>
      </c>
      <c r="M19" s="161">
        <v>1</v>
      </c>
      <c r="N19" s="157">
        <f t="shared" si="3"/>
        <v>0.14722222222222223</v>
      </c>
      <c r="O19" s="284">
        <f>O18</f>
        <v>4.0108148688649008</v>
      </c>
      <c r="P19" s="157">
        <f t="shared" si="4"/>
        <v>0.28648677634749292</v>
      </c>
      <c r="Q19" s="108" t="s">
        <v>380</v>
      </c>
      <c r="R19" s="108" t="s">
        <v>194</v>
      </c>
      <c r="S19" s="108">
        <v>13</v>
      </c>
      <c r="T19" s="108">
        <v>0.92</v>
      </c>
      <c r="V19" s="108">
        <v>2.4</v>
      </c>
      <c r="Z19" s="108">
        <v>0.73</v>
      </c>
      <c r="AB19" s="108" t="s">
        <v>383</v>
      </c>
    </row>
    <row r="20" spans="1:30">
      <c r="B20" s="155" t="s">
        <v>161</v>
      </c>
      <c r="C20" s="156">
        <v>14</v>
      </c>
      <c r="D20" s="156">
        <v>10.1</v>
      </c>
      <c r="E20" s="156">
        <v>12</v>
      </c>
      <c r="F20" s="157">
        <f t="shared" si="0"/>
        <v>0.1846153846153846</v>
      </c>
      <c r="G20" s="158">
        <f t="shared" si="1"/>
        <v>2.5846153846153843</v>
      </c>
      <c r="H20" s="158">
        <f t="shared" si="1"/>
        <v>1.8646153846153843</v>
      </c>
      <c r="I20" s="158">
        <f t="shared" si="1"/>
        <v>2.2153846153846151</v>
      </c>
      <c r="J20" s="159">
        <v>4</v>
      </c>
      <c r="K20" s="158">
        <v>0.5</v>
      </c>
      <c r="L20" s="160">
        <f t="shared" si="2"/>
        <v>7.3611111111111113E-2</v>
      </c>
      <c r="M20" s="161">
        <v>1</v>
      </c>
      <c r="N20" s="157">
        <f t="shared" si="3"/>
        <v>0.14722222222222223</v>
      </c>
      <c r="O20" s="284">
        <f>D58</f>
        <v>3.2239120177760188</v>
      </c>
      <c r="P20" s="157">
        <f t="shared" si="4"/>
        <v>0.23027942984114419</v>
      </c>
      <c r="Q20" s="108" t="s">
        <v>384</v>
      </c>
      <c r="R20" s="108" t="s">
        <v>194</v>
      </c>
      <c r="S20" s="108">
        <v>69</v>
      </c>
      <c r="T20" s="108">
        <v>1.2</v>
      </c>
      <c r="V20" s="108">
        <v>2.1</v>
      </c>
      <c r="Z20" s="108">
        <v>1.64</v>
      </c>
      <c r="AA20" s="108" t="s">
        <v>385</v>
      </c>
      <c r="AB20" s="108" t="s">
        <v>386</v>
      </c>
      <c r="AC20" s="108" t="s">
        <v>387</v>
      </c>
    </row>
    <row r="21" spans="1:30">
      <c r="B21" s="155" t="s">
        <v>5</v>
      </c>
      <c r="C21" s="156">
        <v>9</v>
      </c>
      <c r="D21" s="156">
        <v>5.0999999999999996</v>
      </c>
      <c r="E21" s="156">
        <v>7</v>
      </c>
      <c r="F21" s="157">
        <f t="shared" si="0"/>
        <v>0.1846153846153846</v>
      </c>
      <c r="G21" s="158">
        <f t="shared" si="1"/>
        <v>1.6615384615384614</v>
      </c>
      <c r="H21" s="158">
        <f t="shared" si="1"/>
        <v>0.94153846153846144</v>
      </c>
      <c r="I21" s="158">
        <f t="shared" si="1"/>
        <v>1.2923076923076922</v>
      </c>
      <c r="J21" s="159">
        <v>4</v>
      </c>
      <c r="K21" s="158">
        <v>0.3</v>
      </c>
      <c r="L21" s="160">
        <f t="shared" si="2"/>
        <v>4.4166666666666667E-2</v>
      </c>
      <c r="M21" s="161">
        <v>0.45</v>
      </c>
      <c r="N21" s="157">
        <f t="shared" si="3"/>
        <v>0.14722222222222223</v>
      </c>
      <c r="O21" s="284">
        <f>D60</f>
        <v>1.0060141036260286</v>
      </c>
      <c r="P21" s="157">
        <f t="shared" si="4"/>
        <v>0.11177934484733651</v>
      </c>
      <c r="Q21" s="108" t="s">
        <v>384</v>
      </c>
      <c r="R21" s="108" t="s">
        <v>194</v>
      </c>
      <c r="S21" s="108">
        <v>69</v>
      </c>
      <c r="T21" s="108">
        <v>0.5</v>
      </c>
      <c r="V21" s="108">
        <v>2.2000000000000002</v>
      </c>
      <c r="Z21" s="108">
        <v>1</v>
      </c>
      <c r="AA21" s="167" t="s">
        <v>388</v>
      </c>
      <c r="AB21" s="108" t="s">
        <v>389</v>
      </c>
    </row>
    <row r="22" spans="1:30">
      <c r="B22" s="155" t="s">
        <v>164</v>
      </c>
      <c r="C22" s="156">
        <v>15</v>
      </c>
      <c r="D22" s="156">
        <v>9.1999999999999993</v>
      </c>
      <c r="E22" s="156">
        <v>12</v>
      </c>
      <c r="F22" s="157">
        <f t="shared" si="0"/>
        <v>0.1846153846153846</v>
      </c>
      <c r="G22" s="158">
        <f t="shared" si="1"/>
        <v>2.7692307692307692</v>
      </c>
      <c r="H22" s="158">
        <f t="shared" si="1"/>
        <v>1.6984615384615382</v>
      </c>
      <c r="I22" s="158">
        <f t="shared" si="1"/>
        <v>2.2153846153846151</v>
      </c>
      <c r="J22" s="159">
        <v>6</v>
      </c>
      <c r="K22" s="158">
        <v>0.5</v>
      </c>
      <c r="L22" s="160">
        <f t="shared" si="2"/>
        <v>7.3611111111111113E-2</v>
      </c>
      <c r="M22" s="161">
        <v>0.5</v>
      </c>
      <c r="N22" s="157">
        <f t="shared" si="3"/>
        <v>0.14722222222222223</v>
      </c>
      <c r="P22" s="157"/>
      <c r="Q22" s="108" t="s">
        <v>380</v>
      </c>
      <c r="R22" s="108" t="s">
        <v>32</v>
      </c>
      <c r="S22" s="108">
        <v>8</v>
      </c>
      <c r="T22" s="108">
        <v>2.16</v>
      </c>
      <c r="U22" s="108">
        <v>18</v>
      </c>
      <c r="V22" s="108">
        <v>10.6</v>
      </c>
      <c r="W22" s="108">
        <v>25</v>
      </c>
      <c r="Z22" s="108">
        <v>1.02</v>
      </c>
      <c r="AA22" s="167" t="s">
        <v>390</v>
      </c>
      <c r="AB22" s="108" t="s">
        <v>382</v>
      </c>
    </row>
    <row r="23" spans="1:30">
      <c r="B23" s="155" t="s">
        <v>266</v>
      </c>
      <c r="C23" s="156">
        <v>12.7</v>
      </c>
      <c r="D23" s="156">
        <v>7.8000000000000007</v>
      </c>
      <c r="E23" s="156">
        <v>10.199999999999999</v>
      </c>
      <c r="F23" s="157">
        <f t="shared" si="0"/>
        <v>0.1846153846153846</v>
      </c>
      <c r="G23" s="158">
        <f t="shared" si="1"/>
        <v>2.3446153846153841</v>
      </c>
      <c r="H23" s="158">
        <f t="shared" si="1"/>
        <v>1.44</v>
      </c>
      <c r="I23" s="158">
        <f t="shared" si="1"/>
        <v>1.8830769230769229</v>
      </c>
      <c r="J23" s="159">
        <v>5</v>
      </c>
      <c r="K23" s="158">
        <v>0.5</v>
      </c>
      <c r="L23" s="160">
        <f t="shared" si="2"/>
        <v>7.3611111111111113E-2</v>
      </c>
      <c r="M23" s="161">
        <v>0.5</v>
      </c>
      <c r="N23" s="157">
        <f t="shared" si="3"/>
        <v>0.14722222222222223</v>
      </c>
      <c r="O23" s="284">
        <f>D62</f>
        <v>1.0737726837577892</v>
      </c>
      <c r="P23" s="157">
        <f t="shared" si="4"/>
        <v>8.4549030217148768E-2</v>
      </c>
      <c r="Q23" s="108" t="s">
        <v>380</v>
      </c>
      <c r="R23" s="108" t="s">
        <v>32</v>
      </c>
      <c r="S23" s="108">
        <v>8</v>
      </c>
      <c r="T23" s="108">
        <v>1.26</v>
      </c>
      <c r="U23" s="108">
        <v>17</v>
      </c>
      <c r="V23" s="108">
        <v>6.13</v>
      </c>
      <c r="W23" s="108">
        <v>27</v>
      </c>
      <c r="Z23" s="108">
        <v>0.6</v>
      </c>
      <c r="AA23" s="153"/>
      <c r="AB23" s="108" t="s">
        <v>383</v>
      </c>
    </row>
    <row r="24" spans="1:30">
      <c r="B24" s="162" t="s">
        <v>3</v>
      </c>
      <c r="C24" s="156">
        <v>8.5</v>
      </c>
      <c r="D24" s="156">
        <v>4.5999999999999996</v>
      </c>
      <c r="E24" s="156">
        <v>6.5</v>
      </c>
      <c r="F24" s="157">
        <f t="shared" si="0"/>
        <v>0.1846153846153846</v>
      </c>
      <c r="G24" s="158">
        <f>$F$8*C24</f>
        <v>1.569230769230769</v>
      </c>
      <c r="H24" s="158">
        <f>$F$8*D24</f>
        <v>0.84923076923076912</v>
      </c>
      <c r="I24" s="158">
        <f>$F$8*E24</f>
        <v>1.2</v>
      </c>
      <c r="J24" s="159">
        <v>4</v>
      </c>
      <c r="K24" s="158">
        <v>0.4</v>
      </c>
      <c r="L24" s="160">
        <f>N24*K24</f>
        <v>5.8888888888888893E-2</v>
      </c>
      <c r="M24" s="161">
        <v>0.45</v>
      </c>
      <c r="N24" s="157">
        <f t="shared" si="3"/>
        <v>0.14722222222222223</v>
      </c>
      <c r="O24" s="284">
        <f>D57</f>
        <v>0.89102874177356228</v>
      </c>
      <c r="P24" s="157">
        <f t="shared" si="4"/>
        <v>0.10482691079688967</v>
      </c>
      <c r="Q24" s="108" t="s">
        <v>384</v>
      </c>
      <c r="R24" s="108" t="s">
        <v>32</v>
      </c>
      <c r="S24" s="108">
        <v>109</v>
      </c>
      <c r="T24" s="108">
        <v>2.2000000000000002</v>
      </c>
      <c r="U24" s="108">
        <v>11</v>
      </c>
      <c r="V24" s="108">
        <v>15.6</v>
      </c>
      <c r="W24" s="108">
        <v>13</v>
      </c>
      <c r="X24" s="108">
        <v>94</v>
      </c>
      <c r="Y24" s="108">
        <v>37</v>
      </c>
      <c r="Z24" s="108">
        <v>0.41</v>
      </c>
      <c r="AA24" s="108" t="s">
        <v>391</v>
      </c>
      <c r="AB24" s="108" t="s">
        <v>386</v>
      </c>
      <c r="AC24" s="108" t="s">
        <v>387</v>
      </c>
    </row>
    <row r="25" spans="1:30">
      <c r="B25" s="155" t="s">
        <v>11</v>
      </c>
      <c r="C25" s="156">
        <v>8.5</v>
      </c>
      <c r="D25" s="156">
        <v>4.5999999999999996</v>
      </c>
      <c r="E25" s="156">
        <v>6.5</v>
      </c>
      <c r="F25" s="157">
        <f t="shared" si="0"/>
        <v>0.1846153846153846</v>
      </c>
      <c r="G25" s="158">
        <f t="shared" si="1"/>
        <v>1.569230769230769</v>
      </c>
      <c r="H25" s="158">
        <f t="shared" si="1"/>
        <v>0.84923076923076912</v>
      </c>
      <c r="I25" s="158">
        <f t="shared" si="1"/>
        <v>1.2</v>
      </c>
      <c r="J25" s="159">
        <v>4</v>
      </c>
      <c r="K25" s="158">
        <v>0.6</v>
      </c>
      <c r="L25" s="160">
        <f t="shared" si="2"/>
        <v>8.8333333333333333E-2</v>
      </c>
      <c r="M25" s="161">
        <v>0.45</v>
      </c>
      <c r="N25" s="157">
        <f t="shared" si="3"/>
        <v>0.14722222222222223</v>
      </c>
      <c r="O25" s="284">
        <f>D66</f>
        <v>0.9072829061255645</v>
      </c>
      <c r="P25" s="157">
        <f t="shared" si="4"/>
        <v>0.106739165426537</v>
      </c>
      <c r="Q25" s="108" t="s">
        <v>384</v>
      </c>
      <c r="R25" s="108" t="s">
        <v>32</v>
      </c>
      <c r="S25" s="108">
        <v>109</v>
      </c>
      <c r="T25" s="108">
        <v>1.7</v>
      </c>
      <c r="U25" s="108">
        <v>9</v>
      </c>
      <c r="V25" s="108">
        <v>6.5</v>
      </c>
      <c r="W25" s="108">
        <v>6</v>
      </c>
      <c r="X25" s="108">
        <v>64</v>
      </c>
      <c r="Y25" s="108">
        <v>36</v>
      </c>
      <c r="Z25" s="108">
        <v>0.27</v>
      </c>
      <c r="AA25" s="108" t="s">
        <v>392</v>
      </c>
      <c r="AB25" s="108" t="s">
        <v>389</v>
      </c>
    </row>
    <row r="26" spans="1:30">
      <c r="Q26" s="108" t="s">
        <v>393</v>
      </c>
      <c r="R26" s="108" t="s">
        <v>32</v>
      </c>
      <c r="S26" s="108">
        <v>52</v>
      </c>
      <c r="T26" s="108">
        <v>0.94199999999999995</v>
      </c>
      <c r="U26" s="108">
        <v>6</v>
      </c>
      <c r="V26" s="108">
        <v>3.1</v>
      </c>
      <c r="W26" s="108">
        <v>4.5999999999999996</v>
      </c>
      <c r="Z26" s="108">
        <v>0.44500000000000001</v>
      </c>
      <c r="AA26" s="108" t="s">
        <v>394</v>
      </c>
      <c r="AB26" s="108" t="s">
        <v>395</v>
      </c>
      <c r="AC26" s="108" t="s">
        <v>396</v>
      </c>
      <c r="AD26" s="108" t="s">
        <v>397</v>
      </c>
    </row>
    <row r="29" spans="1:30">
      <c r="A29" s="153" t="s">
        <v>194</v>
      </c>
    </row>
    <row r="30" spans="1:30" ht="38.25">
      <c r="B30" s="154" t="s">
        <v>180</v>
      </c>
      <c r="J30" s="154" t="s">
        <v>364</v>
      </c>
      <c r="L30" s="154" t="s">
        <v>362</v>
      </c>
      <c r="M30" s="154" t="s">
        <v>352</v>
      </c>
    </row>
    <row r="31" spans="1:30">
      <c r="B31" s="155" t="s">
        <v>148</v>
      </c>
      <c r="G31" s="163">
        <f>G8</f>
        <v>1.307076923076923</v>
      </c>
      <c r="H31" s="163">
        <f>H8</f>
        <v>0.95630769230769219</v>
      </c>
      <c r="I31" s="163">
        <f>I8</f>
        <v>1.1224615384615384</v>
      </c>
      <c r="J31" s="159">
        <f t="shared" ref="J31:J48" si="5">H8</f>
        <v>0.95630769230769219</v>
      </c>
      <c r="L31" s="160">
        <v>2.1000000000000001E-2</v>
      </c>
      <c r="M31" s="161">
        <v>1</v>
      </c>
      <c r="N31" s="149"/>
    </row>
    <row r="32" spans="1:30">
      <c r="B32" s="155" t="s">
        <v>149</v>
      </c>
      <c r="G32" s="159">
        <f t="shared" ref="G32:G48" si="6">J32</f>
        <v>0.77169230769230757</v>
      </c>
      <c r="H32" s="159">
        <f t="shared" ref="H32:H48" si="7">J32</f>
        <v>0.77169230769230757</v>
      </c>
      <c r="I32" s="159">
        <f t="shared" ref="I32:I48" si="8">J32</f>
        <v>0.77169230769230757</v>
      </c>
      <c r="J32" s="159">
        <f t="shared" si="5"/>
        <v>0.77169230769230757</v>
      </c>
      <c r="L32" s="160">
        <v>2.1000000000000001E-2</v>
      </c>
      <c r="M32" s="161">
        <v>1</v>
      </c>
      <c r="N32" s="149"/>
    </row>
    <row r="33" spans="2:27">
      <c r="B33" s="155" t="s">
        <v>150</v>
      </c>
      <c r="G33" s="159">
        <f t="shared" si="6"/>
        <v>0.62399999999999989</v>
      </c>
      <c r="H33" s="159">
        <f t="shared" si="7"/>
        <v>0.62399999999999989</v>
      </c>
      <c r="I33" s="159">
        <f t="shared" si="8"/>
        <v>0.62399999999999989</v>
      </c>
      <c r="J33" s="159">
        <f t="shared" si="5"/>
        <v>0.62399999999999989</v>
      </c>
      <c r="L33" s="160">
        <v>2.1000000000000001E-2</v>
      </c>
      <c r="M33" s="161">
        <v>1</v>
      </c>
      <c r="N33" s="149"/>
      <c r="Q33" s="108" t="s">
        <v>398</v>
      </c>
      <c r="V33" s="108" t="s">
        <v>399</v>
      </c>
    </row>
    <row r="34" spans="2:27">
      <c r="B34" s="155" t="s">
        <v>261</v>
      </c>
      <c r="G34" s="159">
        <f t="shared" si="6"/>
        <v>0.77169230769230757</v>
      </c>
      <c r="H34" s="159">
        <f t="shared" si="7"/>
        <v>0.77169230769230757</v>
      </c>
      <c r="I34" s="159">
        <f t="shared" si="8"/>
        <v>0.77169230769230757</v>
      </c>
      <c r="J34" s="159">
        <f t="shared" si="5"/>
        <v>0.77169230769230757</v>
      </c>
      <c r="L34" s="160">
        <v>2.1000000000000001E-2</v>
      </c>
      <c r="M34" s="161">
        <v>1</v>
      </c>
      <c r="N34" s="149"/>
      <c r="R34" s="108" t="s">
        <v>400</v>
      </c>
      <c r="S34" s="108" t="s">
        <v>401</v>
      </c>
      <c r="T34" s="108" t="s">
        <v>402</v>
      </c>
      <c r="U34" s="108" t="s">
        <v>403</v>
      </c>
      <c r="V34" s="108" t="s">
        <v>404</v>
      </c>
      <c r="W34" s="108" t="s">
        <v>405</v>
      </c>
    </row>
    <row r="35" spans="2:27">
      <c r="B35" s="155" t="s">
        <v>262</v>
      </c>
      <c r="G35" s="159">
        <f t="shared" si="6"/>
        <v>0.84923076923076912</v>
      </c>
      <c r="H35" s="159">
        <f t="shared" si="7"/>
        <v>0.84923076923076912</v>
      </c>
      <c r="I35" s="159">
        <f t="shared" si="8"/>
        <v>0.84923076923076912</v>
      </c>
      <c r="J35" s="159">
        <f t="shared" si="5"/>
        <v>0.84923076923076912</v>
      </c>
      <c r="L35" s="160">
        <v>2.1000000000000001E-2</v>
      </c>
      <c r="M35" s="161">
        <v>1</v>
      </c>
      <c r="N35" s="149"/>
      <c r="R35" s="108" t="s">
        <v>406</v>
      </c>
      <c r="S35" s="108" t="s">
        <v>407</v>
      </c>
      <c r="T35" s="108" t="s">
        <v>408</v>
      </c>
      <c r="U35" s="108" t="s">
        <v>409</v>
      </c>
      <c r="V35" s="108" t="s">
        <v>410</v>
      </c>
      <c r="W35" s="108" t="s">
        <v>411</v>
      </c>
    </row>
    <row r="36" spans="2:27">
      <c r="B36" s="155" t="s">
        <v>263</v>
      </c>
      <c r="G36" s="159">
        <f t="shared" si="6"/>
        <v>1.1815384615384614</v>
      </c>
      <c r="H36" s="159">
        <f t="shared" si="7"/>
        <v>1.1815384615384614</v>
      </c>
      <c r="I36" s="159">
        <f t="shared" si="8"/>
        <v>1.1815384615384614</v>
      </c>
      <c r="J36" s="159">
        <f t="shared" si="5"/>
        <v>1.1815384615384614</v>
      </c>
      <c r="L36" s="160">
        <v>2.1000000000000001E-2</v>
      </c>
      <c r="M36" s="161">
        <v>1</v>
      </c>
      <c r="N36" s="149"/>
      <c r="R36" s="108" t="s">
        <v>412</v>
      </c>
      <c r="S36" s="108" t="s">
        <v>407</v>
      </c>
      <c r="T36" s="108" t="s">
        <v>408</v>
      </c>
      <c r="U36" s="108" t="s">
        <v>409</v>
      </c>
      <c r="V36" s="108" t="s">
        <v>410</v>
      </c>
      <c r="W36" s="108" t="s">
        <v>411</v>
      </c>
    </row>
    <row r="37" spans="2:27">
      <c r="B37" s="155" t="s">
        <v>264</v>
      </c>
      <c r="G37" s="159">
        <f t="shared" si="6"/>
        <v>1.2369230769230766</v>
      </c>
      <c r="H37" s="159">
        <f t="shared" si="7"/>
        <v>1.2369230769230766</v>
      </c>
      <c r="I37" s="159">
        <f t="shared" si="8"/>
        <v>1.2369230769230766</v>
      </c>
      <c r="J37" s="159">
        <f t="shared" si="5"/>
        <v>1.2369230769230766</v>
      </c>
      <c r="L37" s="160">
        <v>2.1000000000000001E-2</v>
      </c>
      <c r="M37" s="161">
        <v>1</v>
      </c>
      <c r="N37" s="149"/>
      <c r="R37" s="108" t="s">
        <v>413</v>
      </c>
      <c r="S37" s="108" t="s">
        <v>414</v>
      </c>
      <c r="T37" s="168" t="s">
        <v>415</v>
      </c>
      <c r="U37" s="108" t="s">
        <v>409</v>
      </c>
      <c r="V37" s="108" t="s">
        <v>411</v>
      </c>
      <c r="W37" s="108" t="s">
        <v>411</v>
      </c>
    </row>
    <row r="38" spans="2:27">
      <c r="B38" s="155" t="s">
        <v>153</v>
      </c>
      <c r="G38" s="159">
        <f t="shared" si="6"/>
        <v>0.57230769230769218</v>
      </c>
      <c r="H38" s="159">
        <f t="shared" si="7"/>
        <v>0.57230769230769218</v>
      </c>
      <c r="I38" s="159">
        <f t="shared" si="8"/>
        <v>0.57230769230769218</v>
      </c>
      <c r="J38" s="159">
        <f t="shared" si="5"/>
        <v>0.57230769230769218</v>
      </c>
      <c r="L38" s="160">
        <v>2.1000000000000001E-2</v>
      </c>
      <c r="M38" s="161">
        <v>1</v>
      </c>
      <c r="N38" s="149"/>
      <c r="R38" s="108" t="s">
        <v>416</v>
      </c>
      <c r="S38" s="108" t="s">
        <v>417</v>
      </c>
      <c r="T38" s="108">
        <v>1416</v>
      </c>
      <c r="U38" s="108" t="s">
        <v>418</v>
      </c>
      <c r="V38" s="108" t="s">
        <v>419</v>
      </c>
      <c r="W38" s="168" t="s">
        <v>415</v>
      </c>
    </row>
    <row r="39" spans="2:27">
      <c r="B39" s="155" t="s">
        <v>155</v>
      </c>
      <c r="G39" s="159">
        <f t="shared" si="6"/>
        <v>0.94153846153846144</v>
      </c>
      <c r="H39" s="159">
        <f t="shared" si="7"/>
        <v>0.94153846153846144</v>
      </c>
      <c r="I39" s="159">
        <f t="shared" si="8"/>
        <v>0.94153846153846144</v>
      </c>
      <c r="J39" s="159">
        <f t="shared" si="5"/>
        <v>0.94153846153846144</v>
      </c>
      <c r="L39" s="160">
        <v>2.1000000000000001E-2</v>
      </c>
      <c r="M39" s="161">
        <v>1</v>
      </c>
      <c r="N39" s="149"/>
      <c r="R39" s="108" t="s">
        <v>416</v>
      </c>
      <c r="S39" s="108" t="s">
        <v>417</v>
      </c>
      <c r="T39" s="108">
        <v>1513.7</v>
      </c>
      <c r="U39" s="108" t="s">
        <v>420</v>
      </c>
      <c r="V39" s="168" t="s">
        <v>415</v>
      </c>
      <c r="W39" s="461" t="s">
        <v>421</v>
      </c>
      <c r="X39" s="461"/>
      <c r="Y39" s="461"/>
      <c r="Z39" s="461"/>
      <c r="AA39" s="461"/>
    </row>
    <row r="40" spans="2:27">
      <c r="B40" s="155" t="s">
        <v>10</v>
      </c>
      <c r="G40" s="159">
        <f t="shared" si="6"/>
        <v>0.20307692307692307</v>
      </c>
      <c r="H40" s="159">
        <f t="shared" si="7"/>
        <v>0.20307692307692307</v>
      </c>
      <c r="I40" s="159">
        <f t="shared" si="8"/>
        <v>0.20307692307692307</v>
      </c>
      <c r="J40" s="159">
        <f t="shared" si="5"/>
        <v>0.20307692307692307</v>
      </c>
      <c r="L40" s="160">
        <v>2.1000000000000001E-2</v>
      </c>
      <c r="M40" s="161">
        <v>0.25</v>
      </c>
      <c r="N40" s="149"/>
      <c r="W40" s="461"/>
      <c r="X40" s="461"/>
      <c r="Y40" s="461"/>
      <c r="Z40" s="461"/>
      <c r="AA40" s="461"/>
    </row>
    <row r="41" spans="2:27">
      <c r="B41" s="155" t="s">
        <v>158</v>
      </c>
      <c r="G41" s="159">
        <f t="shared" si="6"/>
        <v>1.4030769230769229</v>
      </c>
      <c r="H41" s="159">
        <f t="shared" si="7"/>
        <v>1.4030769230769229</v>
      </c>
      <c r="I41" s="159">
        <f t="shared" si="8"/>
        <v>1.4030769230769229</v>
      </c>
      <c r="J41" s="159">
        <f t="shared" si="5"/>
        <v>1.4030769230769229</v>
      </c>
      <c r="L41" s="160">
        <v>2.1000000000000001E-2</v>
      </c>
      <c r="M41" s="161">
        <v>1</v>
      </c>
      <c r="N41" s="149"/>
      <c r="W41" s="461"/>
      <c r="X41" s="461"/>
      <c r="Y41" s="461"/>
      <c r="Z41" s="461"/>
      <c r="AA41" s="461"/>
    </row>
    <row r="42" spans="2:27">
      <c r="B42" s="155" t="s">
        <v>265</v>
      </c>
      <c r="G42" s="159">
        <f t="shared" si="6"/>
        <v>1.8646153846153843</v>
      </c>
      <c r="H42" s="159">
        <f t="shared" si="7"/>
        <v>1.8646153846153843</v>
      </c>
      <c r="I42" s="159">
        <f t="shared" si="8"/>
        <v>1.8646153846153843</v>
      </c>
      <c r="J42" s="159">
        <f t="shared" si="5"/>
        <v>1.8646153846153843</v>
      </c>
      <c r="L42" s="160">
        <v>2.1000000000000001E-2</v>
      </c>
      <c r="M42" s="161">
        <v>1</v>
      </c>
      <c r="N42" s="149"/>
      <c r="W42" s="461"/>
      <c r="X42" s="461"/>
      <c r="Y42" s="461"/>
      <c r="Z42" s="461"/>
      <c r="AA42" s="461"/>
    </row>
    <row r="43" spans="2:27">
      <c r="B43" s="155" t="s">
        <v>161</v>
      </c>
      <c r="G43" s="159">
        <f t="shared" si="6"/>
        <v>1.8646153846153843</v>
      </c>
      <c r="H43" s="159">
        <f t="shared" si="7"/>
        <v>1.8646153846153843</v>
      </c>
      <c r="I43" s="159">
        <f t="shared" si="8"/>
        <v>1.8646153846153843</v>
      </c>
      <c r="J43" s="159">
        <f t="shared" si="5"/>
        <v>1.8646153846153843</v>
      </c>
      <c r="L43" s="160">
        <v>2.1000000000000001E-2</v>
      </c>
      <c r="M43" s="161">
        <v>1</v>
      </c>
      <c r="N43" s="149"/>
    </row>
    <row r="44" spans="2:27">
      <c r="B44" s="155" t="s">
        <v>5</v>
      </c>
      <c r="G44" s="163">
        <f>G21</f>
        <v>1.6615384615384614</v>
      </c>
      <c r="H44" s="163">
        <f>H21</f>
        <v>0.94153846153846144</v>
      </c>
      <c r="I44" s="163">
        <f>I21</f>
        <v>1.2923076923076922</v>
      </c>
      <c r="J44" s="159">
        <f t="shared" si="5"/>
        <v>0.94153846153846144</v>
      </c>
      <c r="L44" s="160">
        <v>2.1000000000000001E-2</v>
      </c>
      <c r="M44" s="161">
        <v>1</v>
      </c>
      <c r="N44" s="149"/>
    </row>
    <row r="45" spans="2:27">
      <c r="B45" s="155" t="s">
        <v>164</v>
      </c>
      <c r="G45" s="159">
        <f t="shared" si="6"/>
        <v>1.6984615384615382</v>
      </c>
      <c r="H45" s="159">
        <f t="shared" si="7"/>
        <v>1.6984615384615382</v>
      </c>
      <c r="I45" s="159">
        <f t="shared" si="8"/>
        <v>1.6984615384615382</v>
      </c>
      <c r="J45" s="159">
        <f t="shared" si="5"/>
        <v>1.6984615384615382</v>
      </c>
      <c r="L45" s="160">
        <v>2.1000000000000001E-2</v>
      </c>
      <c r="M45" s="161">
        <v>1</v>
      </c>
      <c r="N45" s="149"/>
    </row>
    <row r="46" spans="2:27">
      <c r="B46" s="155" t="s">
        <v>266</v>
      </c>
      <c r="G46" s="159">
        <f t="shared" si="6"/>
        <v>1.44</v>
      </c>
      <c r="H46" s="159">
        <f t="shared" si="7"/>
        <v>1.44</v>
      </c>
      <c r="I46" s="159">
        <f t="shared" si="8"/>
        <v>1.44</v>
      </c>
      <c r="J46" s="159">
        <f t="shared" si="5"/>
        <v>1.44</v>
      </c>
      <c r="L46" s="160">
        <v>2.1000000000000001E-2</v>
      </c>
      <c r="M46" s="161">
        <v>1</v>
      </c>
      <c r="N46" s="149"/>
    </row>
    <row r="47" spans="2:27">
      <c r="B47" s="162" t="s">
        <v>3</v>
      </c>
      <c r="G47" s="159">
        <f t="shared" si="6"/>
        <v>0.84923076923076912</v>
      </c>
      <c r="H47" s="159">
        <f t="shared" si="7"/>
        <v>0.84923076923076912</v>
      </c>
      <c r="I47" s="159">
        <f t="shared" si="8"/>
        <v>0.84923076923076912</v>
      </c>
      <c r="J47" s="159">
        <f t="shared" si="5"/>
        <v>0.84923076923076912</v>
      </c>
      <c r="L47" s="160">
        <v>2.1000000000000001E-2</v>
      </c>
      <c r="M47" s="161">
        <v>1</v>
      </c>
      <c r="N47" s="149"/>
    </row>
    <row r="48" spans="2:27">
      <c r="B48" s="155" t="s">
        <v>11</v>
      </c>
      <c r="G48" s="159">
        <f t="shared" si="6"/>
        <v>0.84923076923076912</v>
      </c>
      <c r="H48" s="159">
        <f t="shared" si="7"/>
        <v>0.84923076923076912</v>
      </c>
      <c r="I48" s="159">
        <f t="shared" si="8"/>
        <v>0.84923076923076912</v>
      </c>
      <c r="J48" s="159">
        <f t="shared" si="5"/>
        <v>0.84923076923076912</v>
      </c>
      <c r="L48" s="160">
        <v>2.1000000000000001E-2</v>
      </c>
      <c r="M48" s="161">
        <v>1</v>
      </c>
      <c r="N48" s="149"/>
    </row>
    <row r="50" spans="2:12">
      <c r="J50" s="158"/>
      <c r="L50" s="160">
        <f>AVERAGE(L31:L48)</f>
        <v>2.1000000000000005E-2</v>
      </c>
    </row>
    <row r="56" spans="2:12" ht="30">
      <c r="B56" s="279" t="s">
        <v>832</v>
      </c>
      <c r="C56" s="280" t="s">
        <v>833</v>
      </c>
      <c r="D56" s="138">
        <v>7.0400000000000004E-2</v>
      </c>
    </row>
    <row r="57" spans="2:12">
      <c r="B57" s="281" t="s">
        <v>3</v>
      </c>
      <c r="C57" s="282">
        <v>12.656658263829009</v>
      </c>
      <c r="D57" s="283">
        <f>C57*$D$56</f>
        <v>0.89102874177356228</v>
      </c>
    </row>
    <row r="58" spans="2:12">
      <c r="B58" s="281" t="s">
        <v>834</v>
      </c>
      <c r="C58" s="282">
        <v>45.794204797954812</v>
      </c>
      <c r="D58" s="283">
        <f t="shared" ref="D58:D67" si="9">C58*$D$56</f>
        <v>3.2239120177760188</v>
      </c>
    </row>
    <row r="59" spans="2:12">
      <c r="B59" s="281" t="s">
        <v>4</v>
      </c>
      <c r="C59" s="282">
        <v>56.971802114558251</v>
      </c>
      <c r="D59" s="283">
        <f t="shared" si="9"/>
        <v>4.0108148688649008</v>
      </c>
    </row>
    <row r="60" spans="2:12">
      <c r="B60" s="281" t="s">
        <v>5</v>
      </c>
      <c r="C60" s="282">
        <v>14.289973062869723</v>
      </c>
      <c r="D60" s="283">
        <f t="shared" si="9"/>
        <v>1.0060141036260286</v>
      </c>
    </row>
    <row r="61" spans="2:12">
      <c r="B61" s="281" t="s">
        <v>6</v>
      </c>
      <c r="C61" s="282">
        <v>15.98362928524149</v>
      </c>
      <c r="D61" s="283">
        <f t="shared" si="9"/>
        <v>1.1252475016810009</v>
      </c>
    </row>
    <row r="62" spans="2:12">
      <c r="B62" s="281" t="s">
        <v>835</v>
      </c>
      <c r="C62" s="282">
        <v>15.252452894286778</v>
      </c>
      <c r="D62" s="283">
        <f t="shared" si="9"/>
        <v>1.0737726837577892</v>
      </c>
    </row>
    <row r="63" spans="2:12">
      <c r="B63" s="281" t="s">
        <v>8</v>
      </c>
      <c r="C63" s="282">
        <v>12.76253350138645</v>
      </c>
      <c r="D63" s="283">
        <f t="shared" si="9"/>
        <v>0.89848235849760616</v>
      </c>
    </row>
    <row r="64" spans="2:12">
      <c r="B64" s="281" t="s">
        <v>9</v>
      </c>
      <c r="C64" s="282">
        <v>9.5809179430278242</v>
      </c>
      <c r="D64" s="283">
        <f t="shared" si="9"/>
        <v>0.67449662318915882</v>
      </c>
    </row>
    <row r="65" spans="2:13">
      <c r="B65" s="281" t="s">
        <v>10</v>
      </c>
      <c r="C65" s="282">
        <v>6.0495189796425537</v>
      </c>
      <c r="D65" s="283">
        <f t="shared" si="9"/>
        <v>0.42588613616683579</v>
      </c>
    </row>
    <row r="66" spans="2:13">
      <c r="B66" s="281" t="s">
        <v>11</v>
      </c>
      <c r="C66" s="282">
        <v>12.887541280192677</v>
      </c>
      <c r="D66" s="283">
        <f t="shared" si="9"/>
        <v>0.9072829061255645</v>
      </c>
    </row>
    <row r="67" spans="2:13">
      <c r="B67" s="281" t="s">
        <v>836</v>
      </c>
      <c r="C67" s="282">
        <v>14.157051986345268</v>
      </c>
      <c r="D67" s="283">
        <f t="shared" si="9"/>
        <v>0.99665645983870688</v>
      </c>
    </row>
    <row r="72" spans="2:13">
      <c r="G72" s="108" t="s">
        <v>851</v>
      </c>
      <c r="H72" s="108" t="s">
        <v>852</v>
      </c>
    </row>
    <row r="73" spans="2:13">
      <c r="D73" s="156">
        <v>7.08</v>
      </c>
      <c r="E73" s="156">
        <v>5.18</v>
      </c>
      <c r="F73" s="156">
        <v>6.08</v>
      </c>
      <c r="G73" s="161">
        <v>0.45</v>
      </c>
      <c r="H73" s="302">
        <f>$G73/D73</f>
        <v>6.3559322033898302E-2</v>
      </c>
      <c r="I73" s="302">
        <f t="shared" ref="I73:J73" si="10">$G73/E73</f>
        <v>8.6872586872586879E-2</v>
      </c>
      <c r="J73" s="302">
        <f t="shared" si="10"/>
        <v>7.4013157894736836E-2</v>
      </c>
      <c r="K73" s="156"/>
      <c r="L73" s="161"/>
      <c r="M73" s="302"/>
    </row>
    <row r="74" spans="2:13">
      <c r="D74" s="156">
        <v>6.08</v>
      </c>
      <c r="E74" s="156">
        <v>4.18</v>
      </c>
      <c r="F74" s="156">
        <v>5.08</v>
      </c>
      <c r="G74" s="161">
        <v>0.45</v>
      </c>
      <c r="H74" s="302">
        <f t="shared" ref="H74:H90" si="11">$G74/D74</f>
        <v>7.4013157894736836E-2</v>
      </c>
      <c r="I74" s="302">
        <f t="shared" ref="I74:I90" si="12">$G74/E74</f>
        <v>0.1076555023923445</v>
      </c>
      <c r="J74" s="302">
        <f t="shared" ref="J74:J90" si="13">$G74/F74</f>
        <v>8.8582677165354326E-2</v>
      </c>
      <c r="K74" s="156"/>
      <c r="L74" s="161"/>
      <c r="M74" s="302"/>
    </row>
    <row r="75" spans="2:13">
      <c r="D75" s="156">
        <v>5.2799999999999994</v>
      </c>
      <c r="E75" s="156">
        <v>3.38</v>
      </c>
      <c r="F75" s="156">
        <v>4.2799999999999994</v>
      </c>
      <c r="G75" s="161">
        <v>1</v>
      </c>
      <c r="H75" s="302">
        <f t="shared" si="11"/>
        <v>0.18939393939393942</v>
      </c>
      <c r="I75" s="302">
        <f t="shared" si="12"/>
        <v>0.29585798816568049</v>
      </c>
      <c r="J75" s="302">
        <f t="shared" si="13"/>
        <v>0.23364485981308414</v>
      </c>
      <c r="K75" s="156"/>
      <c r="L75" s="161"/>
      <c r="M75" s="302"/>
    </row>
    <row r="76" spans="2:13">
      <c r="D76" s="156">
        <v>6.08</v>
      </c>
      <c r="E76" s="156">
        <v>4.18</v>
      </c>
      <c r="F76" s="156">
        <v>5.08</v>
      </c>
      <c r="G76" s="161">
        <v>0.45</v>
      </c>
      <c r="H76" s="302">
        <f t="shared" si="11"/>
        <v>7.4013157894736836E-2</v>
      </c>
      <c r="I76" s="302">
        <f t="shared" si="12"/>
        <v>0.1076555023923445</v>
      </c>
      <c r="J76" s="302">
        <f t="shared" si="13"/>
        <v>8.8582677165354326E-2</v>
      </c>
      <c r="K76" s="156"/>
      <c r="L76" s="161"/>
      <c r="M76" s="302"/>
    </row>
    <row r="77" spans="2:13">
      <c r="D77" s="156">
        <v>6.7</v>
      </c>
      <c r="E77" s="156">
        <v>4.5999999999999996</v>
      </c>
      <c r="F77" s="156">
        <v>5.6</v>
      </c>
      <c r="G77" s="161">
        <v>1</v>
      </c>
      <c r="H77" s="302">
        <f t="shared" si="11"/>
        <v>0.14925373134328357</v>
      </c>
      <c r="I77" s="302">
        <f t="shared" si="12"/>
        <v>0.21739130434782611</v>
      </c>
      <c r="J77" s="302">
        <f t="shared" si="13"/>
        <v>0.17857142857142858</v>
      </c>
      <c r="K77" s="156"/>
      <c r="L77" s="161"/>
      <c r="M77" s="302"/>
    </row>
    <row r="78" spans="2:13">
      <c r="D78" s="156">
        <v>9.3000000000000007</v>
      </c>
      <c r="E78" s="156">
        <v>6.4</v>
      </c>
      <c r="F78" s="156">
        <v>7.8</v>
      </c>
      <c r="G78" s="161">
        <v>1</v>
      </c>
      <c r="H78" s="302">
        <f t="shared" si="11"/>
        <v>0.1075268817204301</v>
      </c>
      <c r="I78" s="302">
        <f t="shared" si="12"/>
        <v>0.15625</v>
      </c>
      <c r="J78" s="302">
        <f t="shared" si="13"/>
        <v>0.12820512820512822</v>
      </c>
      <c r="K78" s="156"/>
      <c r="L78" s="161"/>
      <c r="M78" s="302"/>
    </row>
    <row r="79" spans="2:13">
      <c r="D79" s="156">
        <v>9.6</v>
      </c>
      <c r="E79" s="156">
        <v>6.6999999999999993</v>
      </c>
      <c r="F79" s="156">
        <v>8.1</v>
      </c>
      <c r="G79" s="161">
        <v>0.45</v>
      </c>
      <c r="H79" s="302">
        <f t="shared" si="11"/>
        <v>4.6875E-2</v>
      </c>
      <c r="I79" s="302">
        <f t="shared" si="12"/>
        <v>6.7164179104477625E-2</v>
      </c>
      <c r="J79" s="302">
        <f t="shared" si="13"/>
        <v>5.5555555555555559E-2</v>
      </c>
      <c r="K79" s="156"/>
      <c r="L79" s="161"/>
      <c r="M79" s="302"/>
    </row>
    <row r="80" spans="2:13">
      <c r="D80" s="156">
        <v>6</v>
      </c>
      <c r="E80" s="156">
        <v>3.0999999999999996</v>
      </c>
      <c r="F80" s="156">
        <v>4.5</v>
      </c>
      <c r="G80" s="161">
        <v>0.5</v>
      </c>
      <c r="H80" s="302">
        <f t="shared" si="11"/>
        <v>8.3333333333333329E-2</v>
      </c>
      <c r="I80" s="302">
        <f t="shared" si="12"/>
        <v>0.16129032258064518</v>
      </c>
      <c r="J80" s="302">
        <f t="shared" si="13"/>
        <v>0.1111111111111111</v>
      </c>
      <c r="K80" s="156"/>
      <c r="L80" s="161"/>
      <c r="M80" s="302"/>
    </row>
    <row r="81" spans="4:13">
      <c r="D81" s="156">
        <v>9</v>
      </c>
      <c r="E81" s="156">
        <v>5.0999999999999996</v>
      </c>
      <c r="F81" s="156">
        <v>7</v>
      </c>
      <c r="G81" s="161">
        <v>0.5</v>
      </c>
      <c r="H81" s="302">
        <f t="shared" si="11"/>
        <v>5.5555555555555552E-2</v>
      </c>
      <c r="I81" s="302">
        <f t="shared" si="12"/>
        <v>9.8039215686274522E-2</v>
      </c>
      <c r="J81" s="302">
        <f t="shared" si="13"/>
        <v>7.1428571428571425E-2</v>
      </c>
      <c r="K81" s="156"/>
      <c r="L81" s="161"/>
      <c r="M81" s="302"/>
    </row>
    <row r="82" spans="4:13">
      <c r="D82" s="156">
        <v>3</v>
      </c>
      <c r="E82" s="156">
        <v>1.1000000000000001</v>
      </c>
      <c r="F82" s="156">
        <v>2</v>
      </c>
      <c r="G82" s="161">
        <v>0.2</v>
      </c>
      <c r="H82" s="302">
        <f t="shared" si="11"/>
        <v>6.6666666666666666E-2</v>
      </c>
      <c r="I82" s="302">
        <f t="shared" si="12"/>
        <v>0.18181818181818182</v>
      </c>
      <c r="J82" s="302">
        <f t="shared" si="13"/>
        <v>0.1</v>
      </c>
      <c r="K82" s="156"/>
      <c r="L82" s="161"/>
      <c r="M82" s="302"/>
    </row>
    <row r="83" spans="4:13">
      <c r="D83" s="156">
        <v>12.5</v>
      </c>
      <c r="E83" s="156">
        <v>7.6</v>
      </c>
      <c r="F83" s="156">
        <v>10</v>
      </c>
      <c r="G83" s="161">
        <v>0.6</v>
      </c>
      <c r="H83" s="302">
        <f t="shared" si="11"/>
        <v>4.8000000000000001E-2</v>
      </c>
      <c r="I83" s="302">
        <f t="shared" si="12"/>
        <v>7.8947368421052627E-2</v>
      </c>
      <c r="J83" s="302">
        <f t="shared" si="13"/>
        <v>0.06</v>
      </c>
      <c r="K83" s="156"/>
      <c r="L83" s="161"/>
      <c r="M83" s="302"/>
    </row>
    <row r="84" spans="4:13">
      <c r="D84" s="156">
        <v>14</v>
      </c>
      <c r="E84" s="156">
        <v>10.1</v>
      </c>
      <c r="F84" s="156">
        <v>12</v>
      </c>
      <c r="G84" s="161">
        <v>1</v>
      </c>
      <c r="H84" s="302">
        <f t="shared" si="11"/>
        <v>7.1428571428571425E-2</v>
      </c>
      <c r="I84" s="302">
        <f t="shared" si="12"/>
        <v>9.9009900990099015E-2</v>
      </c>
      <c r="J84" s="302">
        <f t="shared" si="13"/>
        <v>8.3333333333333329E-2</v>
      </c>
      <c r="K84" s="156"/>
      <c r="L84" s="161"/>
      <c r="M84" s="302"/>
    </row>
    <row r="85" spans="4:13">
      <c r="D85" s="156">
        <v>14</v>
      </c>
      <c r="E85" s="156">
        <v>10.1</v>
      </c>
      <c r="F85" s="156">
        <v>12</v>
      </c>
      <c r="G85" s="161">
        <v>1</v>
      </c>
      <c r="H85" s="302">
        <f t="shared" si="11"/>
        <v>7.1428571428571425E-2</v>
      </c>
      <c r="I85" s="302">
        <f t="shared" si="12"/>
        <v>9.9009900990099015E-2</v>
      </c>
      <c r="J85" s="302">
        <f t="shared" si="13"/>
        <v>8.3333333333333329E-2</v>
      </c>
      <c r="K85" s="156"/>
      <c r="L85" s="161"/>
      <c r="M85" s="302"/>
    </row>
    <row r="86" spans="4:13">
      <c r="D86" s="156">
        <v>9</v>
      </c>
      <c r="E86" s="156">
        <v>5.0999999999999996</v>
      </c>
      <c r="F86" s="156">
        <v>7</v>
      </c>
      <c r="G86" s="161">
        <v>0.45</v>
      </c>
      <c r="H86" s="302">
        <f t="shared" si="11"/>
        <v>0.05</v>
      </c>
      <c r="I86" s="302">
        <f t="shared" si="12"/>
        <v>8.8235294117647065E-2</v>
      </c>
      <c r="J86" s="302">
        <f t="shared" si="13"/>
        <v>6.4285714285714293E-2</v>
      </c>
      <c r="K86" s="156"/>
      <c r="L86" s="161"/>
      <c r="M86" s="302"/>
    </row>
    <row r="87" spans="4:13">
      <c r="D87" s="156">
        <v>15</v>
      </c>
      <c r="E87" s="156">
        <v>9.1999999999999993</v>
      </c>
      <c r="F87" s="156">
        <v>12</v>
      </c>
      <c r="G87" s="161">
        <v>0.5</v>
      </c>
      <c r="H87" s="302">
        <f t="shared" si="11"/>
        <v>3.3333333333333333E-2</v>
      </c>
      <c r="I87" s="302">
        <f t="shared" si="12"/>
        <v>5.4347826086956527E-2</v>
      </c>
      <c r="J87" s="302">
        <f t="shared" si="13"/>
        <v>4.1666666666666664E-2</v>
      </c>
      <c r="K87" s="156"/>
      <c r="L87" s="161"/>
      <c r="M87" s="302"/>
    </row>
    <row r="88" spans="4:13">
      <c r="D88" s="156">
        <v>12.7</v>
      </c>
      <c r="E88" s="156">
        <v>7.8000000000000007</v>
      </c>
      <c r="F88" s="156">
        <v>10.199999999999999</v>
      </c>
      <c r="G88" s="161">
        <v>0.5</v>
      </c>
      <c r="H88" s="302">
        <f t="shared" si="11"/>
        <v>3.937007874015748E-2</v>
      </c>
      <c r="I88" s="302">
        <f t="shared" si="12"/>
        <v>6.4102564102564097E-2</v>
      </c>
      <c r="J88" s="302">
        <f t="shared" si="13"/>
        <v>4.9019607843137261E-2</v>
      </c>
      <c r="K88" s="156"/>
      <c r="L88" s="161"/>
      <c r="M88" s="302"/>
    </row>
    <row r="89" spans="4:13">
      <c r="D89" s="156">
        <v>8.5</v>
      </c>
      <c r="E89" s="156">
        <v>4.5999999999999996</v>
      </c>
      <c r="F89" s="156">
        <v>6.5</v>
      </c>
      <c r="G89" s="161">
        <v>0.45</v>
      </c>
      <c r="H89" s="302">
        <f t="shared" si="11"/>
        <v>5.2941176470588235E-2</v>
      </c>
      <c r="I89" s="302">
        <f t="shared" si="12"/>
        <v>9.7826086956521743E-2</v>
      </c>
      <c r="J89" s="302">
        <f t="shared" si="13"/>
        <v>6.9230769230769235E-2</v>
      </c>
      <c r="K89" s="156"/>
      <c r="L89" s="161"/>
      <c r="M89" s="302"/>
    </row>
    <row r="90" spans="4:13">
      <c r="D90" s="156">
        <v>8.5</v>
      </c>
      <c r="E90" s="156">
        <v>4.5999999999999996</v>
      </c>
      <c r="F90" s="156">
        <v>6.5</v>
      </c>
      <c r="G90" s="161">
        <v>0.45</v>
      </c>
      <c r="H90" s="302">
        <f t="shared" si="11"/>
        <v>5.2941176470588235E-2</v>
      </c>
      <c r="I90" s="302">
        <f t="shared" si="12"/>
        <v>9.7826086956521743E-2</v>
      </c>
      <c r="J90" s="302">
        <f t="shared" si="13"/>
        <v>6.9230769230769235E-2</v>
      </c>
      <c r="K90" s="156"/>
      <c r="L90" s="161"/>
      <c r="M90" s="302"/>
    </row>
    <row r="91" spans="4:13">
      <c r="K91" s="302">
        <f>AVERAGE(H73:J90)</f>
        <v>9.5161644935634435E-2</v>
      </c>
    </row>
  </sheetData>
  <mergeCells count="1">
    <mergeCell ref="W39:AA42"/>
  </mergeCell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sheetPr codeName="Sheet1"/>
  <dimension ref="B2:E12"/>
  <sheetViews>
    <sheetView workbookViewId="0">
      <selection activeCell="C20" sqref="C20"/>
    </sheetView>
  </sheetViews>
  <sheetFormatPr defaultRowHeight="12.75"/>
  <cols>
    <col min="3" max="3" width="73.28515625" customWidth="1"/>
    <col min="4" max="4" width="13.5703125" customWidth="1"/>
    <col min="5" max="5" width="64.42578125" customWidth="1"/>
  </cols>
  <sheetData>
    <row r="2" spans="2:5">
      <c r="B2" s="15" t="s">
        <v>12</v>
      </c>
      <c r="C2" s="195" t="s">
        <v>224</v>
      </c>
      <c r="D2" s="195" t="s">
        <v>225</v>
      </c>
      <c r="E2" s="195" t="s">
        <v>226</v>
      </c>
    </row>
    <row r="3" spans="2:5">
      <c r="B3" s="15">
        <v>1</v>
      </c>
      <c r="C3" s="15" t="s">
        <v>427</v>
      </c>
      <c r="D3" s="15" t="s">
        <v>899</v>
      </c>
      <c r="E3" s="15" t="s">
        <v>902</v>
      </c>
    </row>
    <row r="4" spans="2:5">
      <c r="B4" s="15">
        <f>B3+1</f>
        <v>2</v>
      </c>
      <c r="C4" s="15" t="s">
        <v>428</v>
      </c>
      <c r="D4" s="15" t="s">
        <v>899</v>
      </c>
      <c r="E4" s="15"/>
    </row>
    <row r="5" spans="2:5">
      <c r="B5" s="15">
        <f t="shared" ref="B5:B12" si="0">B4+1</f>
        <v>3</v>
      </c>
      <c r="C5" s="15" t="s">
        <v>429</v>
      </c>
      <c r="D5" s="15" t="s">
        <v>899</v>
      </c>
      <c r="E5" s="15" t="s">
        <v>432</v>
      </c>
    </row>
    <row r="6" spans="2:5">
      <c r="B6" s="15">
        <f t="shared" si="0"/>
        <v>4</v>
      </c>
      <c r="C6" s="15" t="s">
        <v>430</v>
      </c>
      <c r="D6" s="15" t="s">
        <v>899</v>
      </c>
      <c r="E6" s="15"/>
    </row>
    <row r="7" spans="2:5">
      <c r="B7" s="15">
        <f>B6+1</f>
        <v>5</v>
      </c>
      <c r="C7" s="15" t="s">
        <v>446</v>
      </c>
      <c r="D7" s="219" t="s">
        <v>899</v>
      </c>
      <c r="E7" s="15" t="s">
        <v>831</v>
      </c>
    </row>
    <row r="8" spans="2:5">
      <c r="B8" s="15">
        <f t="shared" si="0"/>
        <v>6</v>
      </c>
      <c r="C8" s="15" t="s">
        <v>447</v>
      </c>
      <c r="D8" s="15" t="s">
        <v>899</v>
      </c>
      <c r="E8" s="15"/>
    </row>
    <row r="9" spans="2:5">
      <c r="B9" s="15">
        <f t="shared" si="0"/>
        <v>7</v>
      </c>
      <c r="C9" s="15" t="s">
        <v>843</v>
      </c>
      <c r="D9" s="15" t="s">
        <v>899</v>
      </c>
      <c r="E9" s="15"/>
    </row>
    <row r="10" spans="2:5">
      <c r="B10" s="15">
        <f t="shared" si="0"/>
        <v>8</v>
      </c>
      <c r="C10" s="15" t="s">
        <v>898</v>
      </c>
      <c r="D10" s="15"/>
      <c r="E10" s="15" t="s">
        <v>903</v>
      </c>
    </row>
    <row r="11" spans="2:5">
      <c r="B11" s="15">
        <f t="shared" si="0"/>
        <v>9</v>
      </c>
      <c r="C11" s="15" t="s">
        <v>900</v>
      </c>
      <c r="D11" s="15" t="s">
        <v>899</v>
      </c>
      <c r="E11" s="15"/>
    </row>
    <row r="12" spans="2:5">
      <c r="B12" s="15">
        <f t="shared" si="0"/>
        <v>10</v>
      </c>
      <c r="C12" s="15" t="s">
        <v>901</v>
      </c>
      <c r="D12" s="15" t="s">
        <v>899</v>
      </c>
      <c r="E12" s="15"/>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B2:E4"/>
  <sheetViews>
    <sheetView workbookViewId="0">
      <selection activeCell="B5" sqref="B5"/>
    </sheetView>
  </sheetViews>
  <sheetFormatPr defaultRowHeight="12.75"/>
  <cols>
    <col min="2" max="2" width="20" customWidth="1"/>
    <col min="5" max="5" width="100.42578125" customWidth="1"/>
  </cols>
  <sheetData>
    <row r="2" spans="2:5">
      <c r="E2" t="s">
        <v>928</v>
      </c>
    </row>
    <row r="3" spans="2:5">
      <c r="B3" t="s">
        <v>926</v>
      </c>
      <c r="C3">
        <v>7</v>
      </c>
      <c r="D3" t="s">
        <v>927</v>
      </c>
      <c r="E3" t="s">
        <v>929</v>
      </c>
    </row>
    <row r="4" spans="2:5">
      <c r="B4" t="s">
        <v>930</v>
      </c>
      <c r="C4">
        <v>5</v>
      </c>
      <c r="D4" t="s">
        <v>927</v>
      </c>
      <c r="E4" t="s">
        <v>931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N45"/>
  <sheetViews>
    <sheetView workbookViewId="0">
      <selection activeCell="N16" sqref="N16"/>
    </sheetView>
  </sheetViews>
  <sheetFormatPr defaultRowHeight="12.75"/>
  <cols>
    <col min="2" max="2" width="22.5703125" customWidth="1"/>
    <col min="3" max="3" width="17.85546875" customWidth="1"/>
    <col min="5" max="5" width="22.7109375" customWidth="1"/>
    <col min="6" max="6" width="44.7109375" customWidth="1"/>
    <col min="7" max="7" width="15.7109375" customWidth="1"/>
    <col min="8" max="8" width="16.140625" customWidth="1"/>
  </cols>
  <sheetData>
    <row r="1" spans="1:14">
      <c r="B1" t="s">
        <v>932</v>
      </c>
    </row>
    <row r="2" spans="1:14">
      <c r="C2">
        <v>2010</v>
      </c>
      <c r="D2">
        <v>2011</v>
      </c>
      <c r="E2">
        <v>2012</v>
      </c>
      <c r="F2">
        <v>2013</v>
      </c>
    </row>
    <row r="3" spans="1:14">
      <c r="B3" s="290" t="s">
        <v>845</v>
      </c>
      <c r="C3" s="291">
        <v>11.248117555391218</v>
      </c>
      <c r="D3" s="291">
        <v>13.499587836917271</v>
      </c>
      <c r="E3" s="291">
        <v>14.780213662907045</v>
      </c>
      <c r="F3" s="291">
        <v>12.814197954139672</v>
      </c>
      <c r="G3" s="8">
        <f>SUM(C3:F3)</f>
        <v>52.342117009355206</v>
      </c>
    </row>
    <row r="4" spans="1:14">
      <c r="A4" t="s">
        <v>958</v>
      </c>
    </row>
    <row r="5" spans="1:14">
      <c r="B5" s="381"/>
      <c r="C5" s="381" t="s">
        <v>946</v>
      </c>
      <c r="D5" s="381"/>
      <c r="E5" s="381"/>
      <c r="F5" s="381"/>
      <c r="G5" s="381" t="s">
        <v>947</v>
      </c>
      <c r="H5" s="381"/>
      <c r="I5" s="381"/>
      <c r="J5" s="381"/>
      <c r="K5" s="381" t="s">
        <v>948</v>
      </c>
      <c r="L5" s="381" t="s">
        <v>949</v>
      </c>
    </row>
    <row r="6" spans="1:14">
      <c r="B6" s="381" t="s">
        <v>844</v>
      </c>
      <c r="C6" s="381">
        <v>2010</v>
      </c>
      <c r="D6" s="381">
        <v>2011</v>
      </c>
      <c r="E6" s="381">
        <v>2012</v>
      </c>
      <c r="F6" s="381">
        <v>2013</v>
      </c>
      <c r="G6" s="381">
        <v>2010</v>
      </c>
      <c r="H6" s="381">
        <v>2011</v>
      </c>
      <c r="I6" s="381">
        <v>2012</v>
      </c>
      <c r="J6" s="381">
        <v>2013</v>
      </c>
      <c r="K6" s="381"/>
      <c r="L6" s="381"/>
    </row>
    <row r="7" spans="1:14">
      <c r="B7" t="s">
        <v>950</v>
      </c>
    </row>
    <row r="8" spans="1:14">
      <c r="B8" t="s">
        <v>951</v>
      </c>
      <c r="C8" s="377">
        <v>5.6270642591989599</v>
      </c>
      <c r="D8" s="377">
        <v>8.1789942449013324</v>
      </c>
      <c r="E8" s="377">
        <v>4.9634836601544521</v>
      </c>
      <c r="F8" s="377">
        <v>5.6918321112680133</v>
      </c>
      <c r="G8" s="377">
        <v>1.5605660280582658</v>
      </c>
      <c r="H8" s="377">
        <v>1.5605660280582658</v>
      </c>
      <c r="I8" s="377">
        <v>1.5605660280582658</v>
      </c>
      <c r="J8" s="377">
        <v>1.5605660280582658</v>
      </c>
      <c r="K8" s="377">
        <v>24.461374275522758</v>
      </c>
      <c r="L8" s="377">
        <v>6.2422641122330633</v>
      </c>
    </row>
    <row r="9" spans="1:14">
      <c r="B9" t="s">
        <v>952</v>
      </c>
      <c r="C9" s="377">
        <v>2.5724654554859399</v>
      </c>
      <c r="D9" s="377">
        <v>3.4234140969222153</v>
      </c>
      <c r="E9" s="377">
        <v>3.1082629500632493</v>
      </c>
      <c r="F9" s="377">
        <v>2.8600083191411727</v>
      </c>
      <c r="G9" s="377">
        <v>7.0585781853531362</v>
      </c>
      <c r="H9" s="377">
        <v>7.0585781853531362</v>
      </c>
      <c r="I9" s="377">
        <v>7.0585781853531362</v>
      </c>
      <c r="J9" s="377">
        <v>7.0585781853531362</v>
      </c>
      <c r="K9" s="377">
        <v>11.964150821612577</v>
      </c>
      <c r="L9" s="377">
        <v>28.234312741412545</v>
      </c>
    </row>
    <row r="10" spans="1:14">
      <c r="B10" t="s">
        <v>953</v>
      </c>
      <c r="C10" s="377">
        <v>1.3613919359377178</v>
      </c>
      <c r="D10" s="377">
        <v>2.0159325466593145</v>
      </c>
      <c r="E10" s="377">
        <v>2.3364083375781775E-2</v>
      </c>
      <c r="F10" s="377">
        <v>8.6720852228609147E-2</v>
      </c>
      <c r="G10" s="377">
        <v>0.85768805604690201</v>
      </c>
      <c r="H10" s="377">
        <v>0.85768805604690201</v>
      </c>
      <c r="I10" s="377">
        <v>0.85768805604690201</v>
      </c>
      <c r="J10" s="377">
        <v>0.85768805604690201</v>
      </c>
      <c r="K10" s="377">
        <v>3.4874094182014233</v>
      </c>
      <c r="L10" s="377">
        <v>3.4307522241876081</v>
      </c>
    </row>
    <row r="11" spans="1:14">
      <c r="B11" t="s">
        <v>954</v>
      </c>
      <c r="C11" s="377">
        <v>0.74706154788691492</v>
      </c>
      <c r="D11" s="377">
        <v>0.44232694129641459</v>
      </c>
      <c r="E11" s="377">
        <v>1.122091028621071</v>
      </c>
      <c r="F11" s="377">
        <v>0.26315737422191887</v>
      </c>
      <c r="G11" s="377">
        <v>0</v>
      </c>
      <c r="H11" s="377">
        <v>0</v>
      </c>
      <c r="I11" s="377">
        <v>0</v>
      </c>
      <c r="J11" s="377">
        <v>0</v>
      </c>
      <c r="K11" s="377">
        <v>2.5746368920263194</v>
      </c>
      <c r="L11" s="377">
        <v>0</v>
      </c>
    </row>
    <row r="12" spans="1:14">
      <c r="B12" t="s">
        <v>918</v>
      </c>
      <c r="C12" s="377"/>
      <c r="D12" s="377"/>
      <c r="E12" s="377"/>
      <c r="F12" s="377"/>
      <c r="G12" s="377"/>
      <c r="H12" s="377"/>
      <c r="I12" s="377"/>
      <c r="J12" s="377"/>
      <c r="K12" s="377"/>
      <c r="L12" s="377"/>
    </row>
    <row r="13" spans="1:14">
      <c r="B13" t="s">
        <v>405</v>
      </c>
      <c r="C13" s="377">
        <v>41.098997040433119</v>
      </c>
      <c r="D13" s="377">
        <v>43.678347568857717</v>
      </c>
      <c r="E13" s="377">
        <v>37.503847974990492</v>
      </c>
      <c r="F13" s="377">
        <v>37.434184123781336</v>
      </c>
      <c r="G13" s="377">
        <v>10.225001859911758</v>
      </c>
      <c r="H13" s="377">
        <v>15.664871408683725</v>
      </c>
      <c r="I13" s="377">
        <v>19.923243085965474</v>
      </c>
      <c r="J13" s="377">
        <v>23.304597769184916</v>
      </c>
      <c r="K13" s="377">
        <v>159.71537670806265</v>
      </c>
      <c r="L13" s="377">
        <v>69.117714123745884</v>
      </c>
    </row>
    <row r="14" spans="1:14">
      <c r="B14" s="379" t="s">
        <v>845</v>
      </c>
      <c r="C14" s="380">
        <v>11.248117555391218</v>
      </c>
      <c r="D14" s="380">
        <v>13.499587836917271</v>
      </c>
      <c r="E14" s="380">
        <v>14.780213662907045</v>
      </c>
      <c r="F14" s="380">
        <v>12.814197954139672</v>
      </c>
      <c r="G14" s="380">
        <v>6.4265001629487628</v>
      </c>
      <c r="H14" s="380">
        <v>6.4762736705553898</v>
      </c>
      <c r="I14" s="380">
        <v>6.5583617577297071</v>
      </c>
      <c r="J14" s="380">
        <v>6.5891105773333294</v>
      </c>
      <c r="K14" s="380">
        <v>52.342117009355206</v>
      </c>
      <c r="L14" s="380">
        <v>26.050246168567188</v>
      </c>
      <c r="N14" t="s">
        <v>960</v>
      </c>
    </row>
    <row r="15" spans="1:14">
      <c r="B15" t="s">
        <v>954</v>
      </c>
      <c r="C15" s="377">
        <v>7.7652173187145763</v>
      </c>
      <c r="D15" s="377">
        <v>11.710384571091708</v>
      </c>
      <c r="E15" s="377">
        <v>13.090961259007599</v>
      </c>
      <c r="F15" s="377">
        <v>6.1251097617050618</v>
      </c>
      <c r="G15" s="377">
        <v>0</v>
      </c>
      <c r="H15" s="377">
        <v>0</v>
      </c>
      <c r="I15" s="377">
        <v>0</v>
      </c>
      <c r="J15" s="377">
        <v>0</v>
      </c>
      <c r="K15" s="377">
        <v>38.691672910518946</v>
      </c>
      <c r="L15" s="377">
        <v>0</v>
      </c>
      <c r="N15" t="s">
        <v>978</v>
      </c>
    </row>
    <row r="16" spans="1:14">
      <c r="B16" t="s">
        <v>955</v>
      </c>
      <c r="C16" s="377">
        <v>8.574358278836371</v>
      </c>
      <c r="D16" s="377">
        <v>9.4800897240638733</v>
      </c>
      <c r="E16" s="377">
        <v>9.2203421438725854</v>
      </c>
      <c r="F16" s="377">
        <v>10.096059437782969</v>
      </c>
      <c r="G16" s="377">
        <v>3.4695532139817331</v>
      </c>
      <c r="H16" s="377">
        <v>4.3308340838365256</v>
      </c>
      <c r="I16" s="377">
        <v>5.3086041321783206</v>
      </c>
      <c r="J16" s="377">
        <v>6.3495327246720823</v>
      </c>
      <c r="K16" s="377">
        <v>37.370849584555799</v>
      </c>
      <c r="L16" s="377">
        <v>19.458524154668659</v>
      </c>
    </row>
    <row r="17" spans="1:12">
      <c r="B17" t="s">
        <v>956</v>
      </c>
      <c r="C17" s="377">
        <v>12.049345923795045</v>
      </c>
      <c r="D17" s="377">
        <v>10.195405051475518</v>
      </c>
      <c r="E17" s="377">
        <v>4.5303498972698435</v>
      </c>
      <c r="F17" s="377">
        <v>5.2386268058926362</v>
      </c>
      <c r="G17" s="377">
        <v>5.6364754278516109</v>
      </c>
      <c r="H17" s="377">
        <v>5.5836515973788492</v>
      </c>
      <c r="I17" s="377">
        <v>5.5411751313154198</v>
      </c>
      <c r="J17" s="377">
        <v>5.4986210985372947</v>
      </c>
      <c r="K17" s="377">
        <v>32.013727678433042</v>
      </c>
      <c r="L17" s="377">
        <v>22.259923255083176</v>
      </c>
    </row>
    <row r="18" spans="1:12">
      <c r="B18" t="s">
        <v>957</v>
      </c>
      <c r="C18" s="377">
        <v>6.0370286059115301</v>
      </c>
      <c r="D18" s="377">
        <v>6.7423274256179866</v>
      </c>
      <c r="E18" s="377">
        <v>4.1212323587456012</v>
      </c>
      <c r="F18" s="377">
        <v>5.6244854977558134</v>
      </c>
      <c r="G18" s="377">
        <v>1.860813860582414</v>
      </c>
      <c r="H18" s="377">
        <v>2.2736727157376446</v>
      </c>
      <c r="I18" s="377">
        <v>2.7021340742989333</v>
      </c>
      <c r="J18" s="377">
        <v>3.1181913172751301</v>
      </c>
      <c r="K18" s="377">
        <v>22.525073888030931</v>
      </c>
      <c r="L18" s="377">
        <v>9.9548119678941234</v>
      </c>
    </row>
    <row r="20" spans="1:12">
      <c r="A20" t="s">
        <v>959</v>
      </c>
    </row>
    <row r="22" spans="1:12">
      <c r="B22" t="s">
        <v>933</v>
      </c>
      <c r="C22" t="s">
        <v>934</v>
      </c>
      <c r="D22" t="s">
        <v>935</v>
      </c>
      <c r="E22" t="s">
        <v>936</v>
      </c>
      <c r="F22" t="s">
        <v>937</v>
      </c>
      <c r="G22" t="s">
        <v>938</v>
      </c>
      <c r="H22" t="s">
        <v>939</v>
      </c>
    </row>
    <row r="23" spans="1:12">
      <c r="B23">
        <v>2010</v>
      </c>
      <c r="C23" t="s">
        <v>918</v>
      </c>
      <c r="D23" t="s">
        <v>404</v>
      </c>
      <c r="E23" t="s">
        <v>940</v>
      </c>
      <c r="F23" t="s">
        <v>941</v>
      </c>
      <c r="G23" s="5">
        <v>4356166.1270000013</v>
      </c>
      <c r="H23" s="378">
        <v>0.49727924199396512</v>
      </c>
    </row>
    <row r="24" spans="1:12">
      <c r="B24">
        <v>2010</v>
      </c>
      <c r="C24" t="s">
        <v>918</v>
      </c>
      <c r="D24" t="s">
        <v>404</v>
      </c>
      <c r="E24" t="s">
        <v>940</v>
      </c>
      <c r="F24" t="s">
        <v>942</v>
      </c>
      <c r="G24" s="5">
        <v>22998774.732999999</v>
      </c>
      <c r="H24" s="378">
        <v>2.6254309092182666</v>
      </c>
    </row>
    <row r="25" spans="1:12">
      <c r="B25">
        <v>2010</v>
      </c>
      <c r="C25" t="s">
        <v>918</v>
      </c>
      <c r="D25" t="s">
        <v>404</v>
      </c>
      <c r="E25" t="s">
        <v>940</v>
      </c>
      <c r="F25" t="s">
        <v>943</v>
      </c>
      <c r="G25" s="5">
        <v>92368.607000000004</v>
      </c>
      <c r="H25" s="378">
        <v>1.0544361535721691E-2</v>
      </c>
    </row>
    <row r="26" spans="1:12">
      <c r="B26">
        <v>2010</v>
      </c>
      <c r="C26" t="s">
        <v>918</v>
      </c>
      <c r="D26" t="s">
        <v>404</v>
      </c>
      <c r="E26" t="s">
        <v>940</v>
      </c>
      <c r="F26" t="s">
        <v>464</v>
      </c>
      <c r="G26" s="5">
        <v>15752876.922950003</v>
      </c>
      <c r="H26" s="378">
        <v>1.7982736776175443</v>
      </c>
    </row>
    <row r="27" spans="1:12">
      <c r="B27">
        <v>2011</v>
      </c>
      <c r="C27" t="s">
        <v>918</v>
      </c>
      <c r="D27" t="s">
        <v>404</v>
      </c>
      <c r="E27" t="s">
        <v>940</v>
      </c>
      <c r="F27" t="s">
        <v>941</v>
      </c>
      <c r="G27" s="5">
        <v>16417870.469000001</v>
      </c>
      <c r="H27" s="378">
        <v>1.8741861072121537</v>
      </c>
    </row>
    <row r="28" spans="1:12">
      <c r="B28">
        <v>2011</v>
      </c>
      <c r="C28" t="s">
        <v>918</v>
      </c>
      <c r="D28" t="s">
        <v>404</v>
      </c>
      <c r="E28" t="s">
        <v>940</v>
      </c>
      <c r="F28" t="s">
        <v>942</v>
      </c>
      <c r="G28" s="5">
        <v>29354751.938456003</v>
      </c>
      <c r="H28" s="378">
        <v>3.3509990406164434</v>
      </c>
    </row>
    <row r="29" spans="1:12">
      <c r="B29">
        <v>2011</v>
      </c>
      <c r="C29" t="s">
        <v>918</v>
      </c>
      <c r="D29" t="s">
        <v>404</v>
      </c>
      <c r="E29" t="s">
        <v>940</v>
      </c>
      <c r="F29" t="s">
        <v>944</v>
      </c>
      <c r="G29" s="5">
        <v>3011.8500000000004</v>
      </c>
      <c r="H29" s="378">
        <v>3.4381847945041955E-4</v>
      </c>
    </row>
    <row r="30" spans="1:12">
      <c r="B30">
        <v>2011</v>
      </c>
      <c r="C30" t="s">
        <v>918</v>
      </c>
      <c r="D30" t="s">
        <v>404</v>
      </c>
      <c r="E30" t="s">
        <v>940</v>
      </c>
      <c r="F30" t="s">
        <v>943</v>
      </c>
      <c r="G30" s="5">
        <v>117584.37899999999</v>
      </c>
      <c r="H30" s="378">
        <v>1.3422874402749585E-2</v>
      </c>
    </row>
    <row r="31" spans="1:12">
      <c r="B31">
        <v>2011</v>
      </c>
      <c r="C31" t="s">
        <v>918</v>
      </c>
      <c r="D31" t="s">
        <v>404</v>
      </c>
      <c r="E31" t="s">
        <v>940</v>
      </c>
      <c r="F31" t="s">
        <v>464</v>
      </c>
      <c r="G31" s="5">
        <v>17992768.445050005</v>
      </c>
      <c r="H31" s="378">
        <v>2.0539690527366474</v>
      </c>
    </row>
    <row r="32" spans="1:12">
      <c r="B32">
        <v>2012</v>
      </c>
      <c r="C32" t="s">
        <v>918</v>
      </c>
      <c r="D32" t="s">
        <v>404</v>
      </c>
      <c r="E32" t="s">
        <v>940</v>
      </c>
      <c r="F32" t="s">
        <v>941</v>
      </c>
      <c r="G32" s="5">
        <v>4585544.7100000009</v>
      </c>
      <c r="H32" s="378">
        <v>0.52346400124224601</v>
      </c>
    </row>
    <row r="33" spans="2:10">
      <c r="B33">
        <v>2012</v>
      </c>
      <c r="C33" t="s">
        <v>918</v>
      </c>
      <c r="D33" t="s">
        <v>404</v>
      </c>
      <c r="E33" t="s">
        <v>940</v>
      </c>
      <c r="F33" t="s">
        <v>942</v>
      </c>
      <c r="G33" s="5">
        <v>46944217.795999989</v>
      </c>
      <c r="H33" s="378">
        <v>5.3589289846204338</v>
      </c>
    </row>
    <row r="34" spans="2:10">
      <c r="B34">
        <v>2012</v>
      </c>
      <c r="C34" t="s">
        <v>918</v>
      </c>
      <c r="D34" t="s">
        <v>404</v>
      </c>
      <c r="E34" t="s">
        <v>940</v>
      </c>
      <c r="F34" t="s">
        <v>944</v>
      </c>
      <c r="G34" s="5">
        <v>134639.70000000001</v>
      </c>
      <c r="H34" s="378">
        <v>1.5369828790426254E-2</v>
      </c>
    </row>
    <row r="35" spans="2:10">
      <c r="B35">
        <v>2012</v>
      </c>
      <c r="C35" t="s">
        <v>918</v>
      </c>
      <c r="D35" t="s">
        <v>404</v>
      </c>
      <c r="E35" t="s">
        <v>940</v>
      </c>
      <c r="F35" t="s">
        <v>943</v>
      </c>
      <c r="G35" s="5">
        <v>133904.71999999997</v>
      </c>
      <c r="H35" s="378">
        <v>1.5285926856449805E-2</v>
      </c>
    </row>
    <row r="36" spans="2:10">
      <c r="B36">
        <v>2012</v>
      </c>
      <c r="C36" t="s">
        <v>918</v>
      </c>
      <c r="D36" t="s">
        <v>404</v>
      </c>
      <c r="E36" t="s">
        <v>940</v>
      </c>
      <c r="F36" t="s">
        <v>464</v>
      </c>
      <c r="G36" s="5">
        <v>31996184.724150006</v>
      </c>
      <c r="H36" s="378">
        <v>3.652532559568499</v>
      </c>
    </row>
    <row r="37" spans="2:10">
      <c r="B37">
        <v>2013</v>
      </c>
      <c r="C37" t="s">
        <v>918</v>
      </c>
      <c r="D37" t="s">
        <v>404</v>
      </c>
      <c r="E37" t="s">
        <v>940</v>
      </c>
      <c r="F37" t="s">
        <v>941</v>
      </c>
      <c r="G37" s="5">
        <v>17036088.58977</v>
      </c>
      <c r="H37" s="378">
        <v>1.9447589966002852</v>
      </c>
    </row>
    <row r="38" spans="2:10">
      <c r="B38">
        <v>2013</v>
      </c>
      <c r="C38" t="s">
        <v>918</v>
      </c>
      <c r="D38" t="s">
        <v>404</v>
      </c>
      <c r="E38" t="s">
        <v>940</v>
      </c>
      <c r="F38" t="s">
        <v>942</v>
      </c>
      <c r="G38" s="5">
        <v>9269348.8630000018</v>
      </c>
      <c r="H38" s="378">
        <v>1.058144850525423</v>
      </c>
    </row>
    <row r="39" spans="2:10">
      <c r="B39">
        <v>2013</v>
      </c>
      <c r="C39" t="s">
        <v>918</v>
      </c>
      <c r="D39" t="s">
        <v>404</v>
      </c>
      <c r="E39" t="s">
        <v>940</v>
      </c>
      <c r="F39" t="s">
        <v>944</v>
      </c>
      <c r="G39" s="5">
        <v>4375119.0930705909</v>
      </c>
      <c r="H39" s="378">
        <v>0.49944282168871723</v>
      </c>
    </row>
    <row r="40" spans="2:10">
      <c r="B40">
        <v>2013</v>
      </c>
      <c r="C40" t="s">
        <v>918</v>
      </c>
      <c r="D40" t="s">
        <v>404</v>
      </c>
      <c r="E40" t="s">
        <v>940</v>
      </c>
      <c r="F40" t="s">
        <v>945</v>
      </c>
      <c r="G40" s="5">
        <v>4843835.1600000011</v>
      </c>
      <c r="H40" s="378">
        <v>0.55294922622852027</v>
      </c>
    </row>
    <row r="41" spans="2:10">
      <c r="B41">
        <v>2013</v>
      </c>
      <c r="C41" t="s">
        <v>918</v>
      </c>
      <c r="D41" t="s">
        <v>404</v>
      </c>
      <c r="E41" t="s">
        <v>940</v>
      </c>
      <c r="F41" t="s">
        <v>943</v>
      </c>
      <c r="G41" s="5">
        <v>1309283.5035999999</v>
      </c>
      <c r="H41" s="378">
        <v>0.14946158484963235</v>
      </c>
    </row>
    <row r="42" spans="2:10">
      <c r="H42" s="382">
        <f>SUM(H23:H41)</f>
        <v>25.994787864783575</v>
      </c>
      <c r="I42" t="s">
        <v>961</v>
      </c>
    </row>
    <row r="45" spans="2:10">
      <c r="F45" t="s">
        <v>941</v>
      </c>
      <c r="H45" s="384">
        <f>H23+H27+H32+H37</f>
        <v>4.83968834704865</v>
      </c>
      <c r="I45" s="383">
        <f>H45/L14</f>
        <v>0.18578282584094452</v>
      </c>
      <c r="J45" t="s">
        <v>977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vt:i4>
      </vt:variant>
    </vt:vector>
  </HeadingPairs>
  <TitlesOfParts>
    <vt:vector size="21" baseType="lpstr">
      <vt:lpstr>7PSourceSummary</vt:lpstr>
      <vt:lpstr>forRPM</vt:lpstr>
      <vt:lpstr>SC New</vt:lpstr>
      <vt:lpstr>SC Retro</vt:lpstr>
      <vt:lpstr>Measure InputOutput_Out</vt:lpstr>
      <vt:lpstr>Measure InputOutput</vt:lpstr>
      <vt:lpstr>Measure InputOutput-New_Out</vt:lpstr>
      <vt:lpstr>Measure InputOutput-New</vt:lpstr>
      <vt:lpstr>MMap</vt:lpstr>
      <vt:lpstr>Savings</vt:lpstr>
      <vt:lpstr>Cost</vt:lpstr>
      <vt:lpstr>Market Data</vt:lpstr>
      <vt:lpstr>6P Applic</vt:lpstr>
      <vt:lpstr>6P Savings</vt:lpstr>
      <vt:lpstr>To Do 7P</vt:lpstr>
      <vt:lpstr>Measure Life</vt:lpstr>
      <vt:lpstr>Achievment</vt:lpstr>
      <vt:lpstr>MeasureOutput</vt:lpstr>
      <vt:lpstr>MeasureOutputN</vt:lpstr>
      <vt:lpstr>SCNew</vt:lpstr>
      <vt:lpstr>SCRetro</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cp:lastPrinted>2014-12-09T00:48:59Z</cp:lastPrinted>
  <dcterms:created xsi:type="dcterms:W3CDTF">2014-11-24T03:35:51Z</dcterms:created>
  <dcterms:modified xsi:type="dcterms:W3CDTF">2015-03-19T16:30:07Z</dcterms:modified>
</cp:coreProperties>
</file>